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comments16.xml" ContentType="application/vnd.openxmlformats-officedocument.spreadsheetml.comments+xml"/>
  <Override PartName="/xl/drawings/drawing7.xml" ContentType="application/vnd.openxmlformats-officedocument.drawing+xml"/>
  <Override PartName="/xl/charts/chart6.xml" ContentType="application/vnd.openxmlformats-officedocument.drawingml.chart+xml"/>
  <Override PartName="/xl/comments17.xml" ContentType="application/vnd.openxmlformats-officedocument.spreadsheetml.comments+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drawings/drawing10.xml" ContentType="application/vnd.openxmlformats-officedocument.drawing+xml"/>
  <Override PartName="/xl/charts/chart8.xml" ContentType="application/vnd.openxmlformats-officedocument.drawingml.chart+xml"/>
  <Override PartName="/xl/comments33.xml" ContentType="application/vnd.openxmlformats-officedocument.spreadsheetml.comments+xml"/>
  <Override PartName="/xl/comments34.xml" ContentType="application/vnd.openxmlformats-officedocument.spreadsheetml.comments+xml"/>
  <Override PartName="/xl/drawings/drawing11.xml" ContentType="application/vnd.openxmlformats-officedocument.drawing+xml"/>
  <Override PartName="/xl/comments35.xml" ContentType="application/vnd.openxmlformats-officedocument.spreadsheetml.comments+xml"/>
  <Override PartName="/xl/charts/chart9.xml" ContentType="application/vnd.openxmlformats-officedocument.drawingml.chart+xml"/>
  <Override PartName="/xl/comments36.xml" ContentType="application/vnd.openxmlformats-officedocument.spreadsheetml.comments+xml"/>
  <Override PartName="/xl/comments3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PC\Dropbox\PEF Plan Financiero\"/>
    </mc:Choice>
  </mc:AlternateContent>
  <xr:revisionPtr revIDLastSave="0" documentId="13_ncr:1_{11C74515-AF8F-4B63-8E7D-35E77849A4F2}" xr6:coauthVersionLast="47" xr6:coauthVersionMax="47" xr10:uidLastSave="{00000000-0000-0000-0000-000000000000}"/>
  <bookViews>
    <workbookView xWindow="-120" yWindow="-120" windowWidth="29040" windowHeight="15840" activeTab="2" xr2:uid="{711E98ED-0666-4EF6-82D3-F8A4AF4609F2}"/>
  </bookViews>
  <sheets>
    <sheet name="Índice" sheetId="14662" r:id="rId1"/>
    <sheet name="Condiciones de Uso" sheetId="14658" r:id="rId2"/>
    <sheet name="Datos Básicos" sheetId="4129" r:id="rId3"/>
    <sheet name="Parametros" sheetId="14665" r:id="rId4"/>
    <sheet name="Bal. Inicial Previo" sheetId="14705" state="hidden" r:id="rId5"/>
    <sheet name="Inv. Iniciales ANC" sheetId="14685" r:id="rId6"/>
    <sheet name="Inv. Adicionales ANC" sheetId="14689" state="hidden" r:id="rId7"/>
    <sheet name="Gastos Iniciales" sheetId="14693" r:id="rId8"/>
    <sheet name="Inversiones AC" sheetId="14622" r:id="rId9"/>
    <sheet name="Financiación" sheetId="14690" r:id="rId10"/>
    <sheet name="Financiación Inicial" sheetId="11" state="hidden" r:id="rId11"/>
    <sheet name="Préstamos" sheetId="14692" state="hidden" r:id="rId12"/>
    <sheet name="Leasing" sheetId="14694" state="hidden" r:id="rId13"/>
    <sheet name="Renting" sheetId="14695" state="hidden" r:id="rId14"/>
    <sheet name="Plantilla" sheetId="14687" state="hidden" r:id="rId15"/>
    <sheet name="RR.HH." sheetId="14686" r:id="rId16"/>
    <sheet name="Gastos de marketing" sheetId="14708" r:id="rId17"/>
    <sheet name="Gastos Fijos Datos" sheetId="14655" r:id="rId18"/>
    <sheet name="Precios-CV" sheetId="14652" r:id="rId19"/>
    <sheet name="Politicas Cobros y Pagos" sheetId="14647" state="hidden" r:id="rId20"/>
    <sheet name="Estimaciones Ventas" sheetId="14653" r:id="rId21"/>
    <sheet name="Bal. Inicial Previo 00" sheetId="14626" state="hidden" r:id="rId22"/>
    <sheet name="Prev.Ventas 0" sheetId="7" state="hidden" r:id="rId23"/>
    <sheet name="Prev.Ventas 1" sheetId="14630" state="hidden" r:id="rId24"/>
    <sheet name="Prev.Ventas 2" sheetId="14637" state="hidden" r:id="rId25"/>
    <sheet name="Prev.Ventas 3" sheetId="14668" state="hidden" r:id="rId26"/>
    <sheet name="Prev.Ventas 4" sheetId="14669" state="hidden" r:id="rId27"/>
    <sheet name="Produccion" sheetId="14699" state="hidden" r:id="rId28"/>
    <sheet name="Distr CV 0" sheetId="14703" state="hidden" r:id="rId29"/>
    <sheet name="Distr CV 1" sheetId="14698" state="hidden" r:id="rId30"/>
    <sheet name="Distr CV 2" sheetId="14700" state="hidden" r:id="rId31"/>
    <sheet name="Distr CV 3" sheetId="14701" state="hidden" r:id="rId32"/>
    <sheet name="Distr CV 4" sheetId="14702" state="hidden" r:id="rId33"/>
    <sheet name="Distr CV 5" sheetId="14704" state="hidden" r:id="rId34"/>
    <sheet name="Resumen Ventas 5 años" sheetId="14683" r:id="rId35"/>
    <sheet name="PyG 0" sheetId="8" state="hidden" r:id="rId36"/>
    <sheet name="PyG 1" sheetId="14631" state="hidden" r:id="rId37"/>
    <sheet name="PyG 2" sheetId="14640" state="hidden" r:id="rId38"/>
    <sheet name="PyG 3" sheetId="14670" state="hidden" r:id="rId39"/>
    <sheet name="PyG 4" sheetId="14671" state="hidden" r:id="rId40"/>
    <sheet name="Balances anuales" sheetId="14667" r:id="rId41"/>
    <sheet name="Balances anuales (2)" sheetId="14706" state="hidden" r:id="rId42"/>
    <sheet name="PPyGG anuales" sheetId="14617" r:id="rId43"/>
    <sheet name="RETA 2026" sheetId="14711" state="hidden" r:id="rId44"/>
    <sheet name="IRPF Prof y Autónomos" sheetId="14657" r:id="rId45"/>
    <sheet name="Imp.Sociedades" sheetId="14659" r:id="rId46"/>
    <sheet name="Cobros y pagos 0" sheetId="14623" state="hidden" r:id="rId47"/>
    <sheet name="Cobros y pagos 1" sheetId="14632" state="hidden" r:id="rId48"/>
    <sheet name="Cobros y pagos 2" sheetId="14638" state="hidden" r:id="rId49"/>
    <sheet name="Cobros y pagos 3" sheetId="14678" state="hidden" r:id="rId50"/>
    <sheet name="Cobros y pagos 4" sheetId="14679" state="hidden" r:id="rId51"/>
    <sheet name="Ret IRPF" sheetId="14681" state="hidden" r:id="rId52"/>
    <sheet name="G.F. 0" sheetId="14624" state="hidden" r:id="rId53"/>
    <sheet name="G.F. 1" sheetId="14629" state="hidden" r:id="rId54"/>
    <sheet name="G.F. 2" sheetId="14636" state="hidden" r:id="rId55"/>
    <sheet name="G.F. 3" sheetId="14672" state="hidden" r:id="rId56"/>
    <sheet name="G.F. 4" sheetId="14673" state="hidden" r:id="rId57"/>
    <sheet name="IVA 0" sheetId="14628" state="hidden" r:id="rId58"/>
    <sheet name="IVA 1" sheetId="14634" state="hidden" r:id="rId59"/>
    <sheet name="IVA 2" sheetId="14639" state="hidden" r:id="rId60"/>
    <sheet name="IVA 3" sheetId="14674" state="hidden" r:id="rId61"/>
    <sheet name="IVA 4" sheetId="14675" state="hidden" r:id="rId62"/>
    <sheet name="Resumen Gastos Fijos" sheetId="14682" r:id="rId63"/>
    <sheet name="Amortizaciones" sheetId="14661" r:id="rId64"/>
    <sheet name="Gastos Financieros" sheetId="14648" r:id="rId65"/>
    <sheet name="Tesorería 0" sheetId="14625" state="hidden" r:id="rId66"/>
    <sheet name="Tesorería 1" sheetId="14633" state="hidden" r:id="rId67"/>
    <sheet name="Tesorería 2" sheetId="14641" state="hidden" r:id="rId68"/>
    <sheet name="Tesorería 3" sheetId="14676" state="hidden" r:id="rId69"/>
    <sheet name="Tesorería 4" sheetId="14677" state="hidden" r:id="rId70"/>
    <sheet name="Otros cobros y pagos" sheetId="14645" state="hidden" r:id="rId71"/>
    <sheet name="Resumen Tesorerias" sheetId="14684" r:id="rId72"/>
    <sheet name="P. Equilibrio" sheetId="14643" r:id="rId73"/>
    <sheet name="Ratios Básicos" sheetId="4128" r:id="rId74"/>
    <sheet name="Viabilidad" sheetId="14712" state="hidden" r:id="rId75"/>
    <sheet name="Valoración Empresa" sheetId="14696" r:id="rId76"/>
    <sheet name="Datos Evaluación" sheetId="14649" r:id="rId77"/>
    <sheet name="Ficha Inversores" sheetId="14710" state="hidden" r:id="rId78"/>
    <sheet name="Tablas Plan de Negocio" sheetId="14707" state="hidden" r:id="rId79"/>
  </sheets>
  <definedNames>
    <definedName name="___INDEX_SHEET___ASAP_Utilities" localSheetId="7">[0]!_R1C1</definedName>
    <definedName name="___INDEX_SHEET___ASAP_Utilities" localSheetId="6">[0]!_R1C1</definedName>
    <definedName name="___INDEX_SHEET___ASAP_Utilities" localSheetId="14">[0]!_R1C1</definedName>
    <definedName name="aa">'Datos Básicos'!$O$19</definedName>
    <definedName name="anni">Parametros!$B$77:$F$77</definedName>
    <definedName name="annivert">Parametros!$B$77:$B$81</definedName>
    <definedName name="_xlnm.Print_Area" localSheetId="63">Amortizaciones!$A$1:$L$41</definedName>
    <definedName name="_xlnm.Print_Area" localSheetId="40">'Balances anuales'!$1:$1048576</definedName>
    <definedName name="_xlnm.Print_Area" localSheetId="41">'Balances anuales (2)'!$1:$1048576</definedName>
    <definedName name="_xlnm.Print_Area" localSheetId="46">'Cobros y pagos 0'!$A$1:$S$57</definedName>
    <definedName name="_xlnm.Print_Area" localSheetId="47">'Cobros y pagos 1'!$1:$1048576</definedName>
    <definedName name="_xlnm.Print_Area" localSheetId="48">'Cobros y pagos 2'!$1:$1048576</definedName>
    <definedName name="_xlnm.Print_Area" localSheetId="49">'Cobros y pagos 3'!$1:$1048576</definedName>
    <definedName name="_xlnm.Print_Area" localSheetId="50">'Cobros y pagos 4'!$1:$1048576</definedName>
    <definedName name="_xlnm.Print_Area" localSheetId="1">'Condiciones de Uso'!$A$1:$J$66</definedName>
    <definedName name="_xlnm.Print_Area" localSheetId="2">'Datos Básicos'!$A$1:$I$40</definedName>
    <definedName name="_xlnm.Print_Area" localSheetId="76">'Datos Evaluación'!$A$1:$G$69</definedName>
    <definedName name="_xlnm.Print_Area" localSheetId="20">'Estimaciones Ventas'!$A$1:$N$66</definedName>
    <definedName name="_xlnm.Print_Area" localSheetId="77">'Ficha Inversores'!$A$1:$F$75</definedName>
    <definedName name="_xlnm.Print_Area" localSheetId="9">Financiación!$A$1:$H$81</definedName>
    <definedName name="_xlnm.Print_Area" localSheetId="10">'Financiación Inicial'!$A$1:$E$38</definedName>
    <definedName name="_xlnm.Print_Area" localSheetId="7">'Gastos Iniciales'!$A$1:$F$29</definedName>
    <definedName name="_xlnm.Print_Area" localSheetId="0">Índice!$A$1:$K$74</definedName>
    <definedName name="_xlnm.Print_Area" localSheetId="5">'Inv. Iniciales ANC'!$A$1:$J$63</definedName>
    <definedName name="_xlnm.Print_Area" localSheetId="8">'Inversiones AC'!$A$1:$F$48</definedName>
    <definedName name="_xlnm.Print_Area" localSheetId="44">'IRPF Prof y Autónomos'!$A$1:$O$40</definedName>
    <definedName name="_xlnm.Print_Area" localSheetId="12">Leasing!$A$1:$N$56</definedName>
    <definedName name="_xlnm.Print_Area" localSheetId="72">'P. Equilibrio'!$B$1:$K$33</definedName>
    <definedName name="_xlnm.Print_Area" localSheetId="3">Parametros!$A$1:$H$48</definedName>
    <definedName name="_xlnm.Print_Area" localSheetId="14">Plantilla!$A$1:$O$99</definedName>
    <definedName name="_xlnm.Print_Area" localSheetId="19">'Politicas Cobros y Pagos'!$A$1:$J$95</definedName>
    <definedName name="_xlnm.Print_Area" localSheetId="18">'Precios-CV'!$A$1:$K$64</definedName>
    <definedName name="_xlnm.Print_Area" localSheetId="11">Préstamos!$A$1:$N$56</definedName>
    <definedName name="_xlnm.Print_Area" localSheetId="73">'Ratios Básicos'!$A$1:$G$45</definedName>
    <definedName name="_xlnm.Print_Area" localSheetId="13">Renting!$A$1:$N$52</definedName>
    <definedName name="_xlnm.Print_Area" localSheetId="71">'Resumen Tesorerias'!$A$1:$G$59</definedName>
    <definedName name="_xlnm.Print_Area" localSheetId="34">'Resumen Ventas 5 años'!$A$1:$J$90</definedName>
    <definedName name="_xlnm.Print_Area" localSheetId="43">'RETA 2026'!$B$1:$K$28</definedName>
    <definedName name="_xlnm.Print_Area" localSheetId="15">'RR.HH.'!$A$1:$F$50</definedName>
    <definedName name="_xlnm.Print_Area" localSheetId="75">'Valoración Empresa'!$A$1:$H$34</definedName>
    <definedName name="catlaborales">'RR.HH.'!$A$19:$A$26</definedName>
    <definedName name="CNV_Inversiones" localSheetId="63">Amortizaciones!$B$7:$B$15,Amortizaciones!#REF!,Amortizaciones!#REF!,Amortizaciones!#REF!,Amortizaciones!#REF!,Amortizaciones!#REF!,Amortizaciones!#REF!,Amortizaciones!$C$8:$C$15,Amortizaciones!#REF!,Amortizaciones!#REF!</definedName>
    <definedName name="consolidacion">'Datos Básicos'!$F$13</definedName>
    <definedName name="euro">Parametros!$G$13</definedName>
    <definedName name="finTemporada">Parametros!$C$14</definedName>
    <definedName name="inflacion">Parametros!$C$11</definedName>
    <definedName name="inicioTemporada">Parametros!$B$14</definedName>
    <definedName name="inv_propia">Financiación!$C$14:$H$17</definedName>
    <definedName name="irpf">'Datos Básicos'!$I$28</definedName>
    <definedName name="Isoc">'Datos Básicos'!$C$36</definedName>
    <definedName name="ITP">'Datos Básicos'!$C$81</definedName>
    <definedName name="IVAcc">'Datos Básicos'!$D$32</definedName>
    <definedName name="IVAdev">'Datos Básicos'!$D$31</definedName>
    <definedName name="IVAmensual">'Datos Básicos'!$D$30</definedName>
    <definedName name="mes0">'Datos Básicos'!$C$21</definedName>
    <definedName name="meses">Parametros!$B$75:$M$75</definedName>
    <definedName name="mesesrampainicial">'Estimaciones Ventas'!$Q$3</definedName>
    <definedName name="Moneda">Parametros!$G$11</definedName>
    <definedName name="morisidad">Parametros!$I$6</definedName>
    <definedName name="periodicidad">Parametros!$B$92:$C$98</definedName>
    <definedName name="productos">'Precios-CV'!$A$19:$A$26</definedName>
    <definedName name="recmorosos">Parametros!$I$8</definedName>
    <definedName name="resprevio">'Financiación Inicial'!$D$9:$D$12</definedName>
    <definedName name="ret_irpf">'Datos Básicos'!$J$30</definedName>
    <definedName name="tesoreriasec">Parametros!$C$9</definedName>
    <definedName name="_xlnm.Print_Titles" localSheetId="64">'Gastos Financieros'!$1:$3</definedName>
    <definedName name="_xlnm.Print_Titles" localSheetId="70">'Otros cobros y pagos'!$1:$3</definedName>
    <definedName name="_xlnm.Print_Titles" localSheetId="14">Plantilla!$1:$2</definedName>
    <definedName name="_xlnm.Print_Titles" localSheetId="19">'Politicas Cobros y Pagos'!$1:$2</definedName>
    <definedName name="version">'Datos Básicos'!$A$2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4657" l="1"/>
  <c r="D35" i="14657"/>
  <c r="J14" i="14711"/>
  <c r="J6" i="14657"/>
  <c r="C6" i="14653"/>
  <c r="D6" i="14653"/>
  <c r="E6" i="14653"/>
  <c r="F6" i="14653"/>
  <c r="G6" i="14653"/>
  <c r="H6" i="14653"/>
  <c r="I6" i="14653"/>
  <c r="J6" i="14653"/>
  <c r="K6" i="14653"/>
  <c r="L6" i="14653"/>
  <c r="M6" i="14653"/>
  <c r="C36" i="14657" l="1"/>
  <c r="B40" i="4129"/>
  <c r="C40" i="4129" s="1"/>
  <c r="D40" i="4129" s="1"/>
  <c r="E40" i="4129" s="1"/>
  <c r="F40" i="4129" s="1"/>
  <c r="J12" i="14711"/>
  <c r="G35" i="14657"/>
  <c r="F35" i="14657"/>
  <c r="E35" i="14657"/>
  <c r="M15" i="14711"/>
  <c r="M16" i="14711"/>
  <c r="M17" i="14711"/>
  <c r="M18" i="14711"/>
  <c r="M19" i="14711"/>
  <c r="M20" i="14711"/>
  <c r="M21" i="14711"/>
  <c r="M22" i="14711"/>
  <c r="M23" i="14711"/>
  <c r="M24" i="14711"/>
  <c r="M25" i="14711"/>
  <c r="M26" i="14711"/>
  <c r="M27" i="14711"/>
  <c r="M28" i="14711"/>
  <c r="M14" i="14711"/>
  <c r="I51" i="4129"/>
  <c r="J51" i="4129" s="1"/>
  <c r="K51" i="4129" s="1"/>
  <c r="H53" i="4129"/>
  <c r="C34" i="14690"/>
  <c r="C22" i="4129"/>
  <c r="A2" i="14712"/>
  <c r="D40" i="14712" a="1"/>
  <c r="D20" i="14712" a="1"/>
  <c r="I53" i="4129" l="1"/>
  <c r="J53" i="4129" s="1"/>
  <c r="K53" i="4129" s="1"/>
  <c r="D5" i="14712" l="1" a="1"/>
  <c r="A22" i="14631" a="1"/>
  <c r="A22" i="14631" s="1"/>
  <c r="A22" i="14640" a="1"/>
  <c r="A22" i="14640" s="1"/>
  <c r="A22" i="14670" a="1"/>
  <c r="A22" i="14670" s="1"/>
  <c r="A22" i="14671" a="1"/>
  <c r="A22" i="14671" s="1"/>
  <c r="A22" i="8" a="1"/>
  <c r="A23" i="8" s="1"/>
  <c r="A22" i="8" l="1"/>
  <c r="A23" i="14671"/>
  <c r="A23" i="14670"/>
  <c r="A23" i="14640"/>
  <c r="A23" i="14631"/>
  <c r="G17" i="14629" l="1"/>
  <c r="C34" i="14657" l="1"/>
  <c r="D34" i="14657" l="1"/>
  <c r="E34" i="14657" l="1"/>
  <c r="F34" i="14657" l="1"/>
  <c r="O32" i="14653"/>
  <c r="K32" i="14653"/>
  <c r="G34" i="14657" l="1"/>
  <c r="I28" i="14711"/>
  <c r="G28" i="14711"/>
  <c r="E28" i="14711"/>
  <c r="B28" i="14711"/>
  <c r="I27" i="14711"/>
  <c r="G27" i="14711"/>
  <c r="E27" i="14711"/>
  <c r="B27" i="14711"/>
  <c r="I26" i="14711"/>
  <c r="G26" i="14711"/>
  <c r="E26" i="14711"/>
  <c r="B26" i="14711"/>
  <c r="I25" i="14711"/>
  <c r="G25" i="14711"/>
  <c r="E25" i="14711"/>
  <c r="B25" i="14711"/>
  <c r="I24" i="14711"/>
  <c r="G24" i="14711"/>
  <c r="E24" i="14711"/>
  <c r="B24" i="14711"/>
  <c r="I23" i="14711"/>
  <c r="G23" i="14711"/>
  <c r="E23" i="14711"/>
  <c r="B23" i="14711"/>
  <c r="I22" i="14711"/>
  <c r="G22" i="14711"/>
  <c r="E22" i="14711"/>
  <c r="B22" i="14711"/>
  <c r="I21" i="14711"/>
  <c r="G21" i="14711"/>
  <c r="E21" i="14711"/>
  <c r="B21" i="14711"/>
  <c r="C37" i="14657" s="1"/>
  <c r="B37" i="14686" s="1"/>
  <c r="I20" i="14711"/>
  <c r="G20" i="14711"/>
  <c r="E20" i="14711"/>
  <c r="I19" i="14711"/>
  <c r="F19" i="14711"/>
  <c r="G19" i="14711" s="1"/>
  <c r="E19" i="14711"/>
  <c r="I18" i="14711"/>
  <c r="F18" i="14711"/>
  <c r="G18" i="14711" s="1"/>
  <c r="E18" i="14711"/>
  <c r="C18" i="14711"/>
  <c r="B19" i="14711" s="1"/>
  <c r="B18" i="14711"/>
  <c r="I17" i="14711"/>
  <c r="F17" i="14711"/>
  <c r="G17" i="14711" s="1"/>
  <c r="E17" i="14711"/>
  <c r="B17" i="14711"/>
  <c r="I16" i="14711"/>
  <c r="G16" i="14711"/>
  <c r="E16" i="14711"/>
  <c r="B16" i="14711"/>
  <c r="I15" i="14711"/>
  <c r="G15" i="14711"/>
  <c r="E15" i="14711"/>
  <c r="B15" i="14711"/>
  <c r="I14" i="14711"/>
  <c r="G14" i="14711"/>
  <c r="E14" i="14711"/>
  <c r="F12" i="14711"/>
  <c r="H12" i="14711" l="1"/>
  <c r="C19" i="14711"/>
  <c r="B20" i="14711" s="1"/>
  <c r="L9" i="14657"/>
  <c r="M9" i="14657"/>
  <c r="L10" i="14657"/>
  <c r="M10" i="14657"/>
  <c r="L11" i="14657"/>
  <c r="M11" i="14657"/>
  <c r="L12" i="14657"/>
  <c r="M12" i="14657"/>
  <c r="L13" i="14657"/>
  <c r="M13" i="14657"/>
  <c r="L15" i="14657"/>
  <c r="M15" i="14657"/>
  <c r="C145" i="14665" l="1"/>
  <c r="C156" i="14665" s="1"/>
  <c r="C157" i="14665" s="1"/>
  <c r="C158" i="14665" l="1"/>
  <c r="C146" i="14665"/>
  <c r="C148" i="14665"/>
  <c r="C150" i="14665"/>
  <c r="C152" i="14665"/>
  <c r="C154" i="14665"/>
  <c r="C155" i="14665"/>
  <c r="D145" i="14665"/>
  <c r="D156" i="14665" s="1"/>
  <c r="D157" i="14665" s="1"/>
  <c r="C147" i="14665"/>
  <c r="C149" i="14665"/>
  <c r="C151" i="14665"/>
  <c r="C153" i="14665"/>
  <c r="D148" i="14665" l="1"/>
  <c r="D158" i="14665"/>
  <c r="D151" i="14665"/>
  <c r="D146" i="14665"/>
  <c r="D153" i="14665"/>
  <c r="D149" i="14665"/>
  <c r="D154" i="14665"/>
  <c r="D152" i="14665"/>
  <c r="D150" i="14665"/>
  <c r="D147" i="14665"/>
  <c r="D155" i="14665"/>
  <c r="E145" i="14665"/>
  <c r="E158" i="14665" s="1"/>
  <c r="A113" i="14665"/>
  <c r="B113" i="14665"/>
  <c r="A61" i="14665"/>
  <c r="B118" i="14665" l="1"/>
  <c r="B115" i="14665"/>
  <c r="B116" i="14665" s="1"/>
  <c r="D63" i="14665"/>
  <c r="E63" i="14665" s="1"/>
  <c r="F63" i="14665" s="1"/>
  <c r="G63" i="14665" s="1"/>
  <c r="H63" i="14665" s="1"/>
  <c r="I63" i="14665" s="1"/>
  <c r="A62" i="14665"/>
  <c r="F145" i="14665"/>
  <c r="F158" i="14665" s="1"/>
  <c r="E148" i="14665"/>
  <c r="E149" i="14665"/>
  <c r="E155" i="14665"/>
  <c r="E151" i="14665"/>
  <c r="E150" i="14665"/>
  <c r="E153" i="14665"/>
  <c r="E156" i="14665"/>
  <c r="E157" i="14665" s="1"/>
  <c r="E152" i="14665"/>
  <c r="E154" i="14665"/>
  <c r="E147" i="14665"/>
  <c r="E146" i="14665"/>
  <c r="A63" i="14665"/>
  <c r="A64" i="14665" s="1"/>
  <c r="A65" i="14665" s="1"/>
  <c r="A66" i="14665" s="1"/>
  <c r="A67" i="14665" s="1"/>
  <c r="A68" i="14665" s="1"/>
  <c r="A69" i="14665" s="1"/>
  <c r="A70" i="14665" s="1"/>
  <c r="A71" i="14665" s="1"/>
  <c r="A72" i="14665" s="1"/>
  <c r="D64" i="14665" s="1"/>
  <c r="E64" i="14665" s="1"/>
  <c r="F64" i="14665" s="1"/>
  <c r="G64" i="14665" s="1"/>
  <c r="H64" i="14665" s="1"/>
  <c r="I64" i="14665" s="1"/>
  <c r="B114" i="14665"/>
  <c r="C113" i="14665"/>
  <c r="C115" i="14665" s="1"/>
  <c r="B123" i="14665" l="1"/>
  <c r="B119" i="14665"/>
  <c r="B120" i="14665"/>
  <c r="C118" i="14665"/>
  <c r="G145" i="14665"/>
  <c r="G158" i="14665" s="1"/>
  <c r="F150" i="14665"/>
  <c r="F152" i="14665"/>
  <c r="F155" i="14665"/>
  <c r="F149" i="14665"/>
  <c r="F151" i="14665"/>
  <c r="F153" i="14665"/>
  <c r="F156" i="14665"/>
  <c r="F157" i="14665" s="1"/>
  <c r="F148" i="14665"/>
  <c r="F154" i="14665"/>
  <c r="F146" i="14665"/>
  <c r="F147" i="14665"/>
  <c r="C114" i="14665"/>
  <c r="C116" i="14665" s="1"/>
  <c r="D113" i="14665"/>
  <c r="D115" i="14665" s="1"/>
  <c r="D118" i="14665" l="1"/>
  <c r="C119" i="14665"/>
  <c r="C120" i="14665"/>
  <c r="C121" i="14665" s="1"/>
  <c r="B121" i="14665"/>
  <c r="C123" i="14665"/>
  <c r="B124" i="14665"/>
  <c r="B125" i="14665"/>
  <c r="B128" i="14665"/>
  <c r="E113" i="14665"/>
  <c r="E115" i="14665" s="1"/>
  <c r="H145" i="14665"/>
  <c r="H158" i="14665" s="1"/>
  <c r="G148" i="14665"/>
  <c r="G150" i="14665"/>
  <c r="G151" i="14665"/>
  <c r="G153" i="14665"/>
  <c r="G156" i="14665"/>
  <c r="G157" i="14665" s="1"/>
  <c r="G149" i="14665"/>
  <c r="G152" i="14665"/>
  <c r="G155" i="14665"/>
  <c r="G147" i="14665"/>
  <c r="G146" i="14665"/>
  <c r="G154" i="14665"/>
  <c r="D114" i="14665"/>
  <c r="D116" i="14665" s="1"/>
  <c r="C128" i="14665" l="1"/>
  <c r="B129" i="14665"/>
  <c r="B133" i="14665"/>
  <c r="B130" i="14665"/>
  <c r="D123" i="14665"/>
  <c r="C124" i="14665"/>
  <c r="C125" i="14665"/>
  <c r="C126" i="14665" s="1"/>
  <c r="F113" i="14665"/>
  <c r="F115" i="14665" s="1"/>
  <c r="F116" i="14665" s="1"/>
  <c r="B126" i="14665"/>
  <c r="E118" i="14665"/>
  <c r="D119" i="14665"/>
  <c r="D120" i="14665"/>
  <c r="D121" i="14665" s="1"/>
  <c r="E114" i="14665"/>
  <c r="E116" i="14665" s="1"/>
  <c r="H147" i="14665"/>
  <c r="H149" i="14665"/>
  <c r="H151" i="14665"/>
  <c r="H153" i="14665"/>
  <c r="H148" i="14665"/>
  <c r="H150" i="14665"/>
  <c r="H152" i="14665"/>
  <c r="H154" i="14665"/>
  <c r="H146" i="14665"/>
  <c r="H155" i="14665"/>
  <c r="H156" i="14665"/>
  <c r="H157" i="14665" s="1"/>
  <c r="F114" i="14665"/>
  <c r="D124" i="14665" l="1"/>
  <c r="E123" i="14665"/>
  <c r="D125" i="14665"/>
  <c r="D126" i="14665" s="1"/>
  <c r="G113" i="14665"/>
  <c r="G115" i="14665" s="1"/>
  <c r="G116" i="14665" s="1"/>
  <c r="C133" i="14665"/>
  <c r="B138" i="14665"/>
  <c r="B134" i="14665"/>
  <c r="B135" i="14665"/>
  <c r="F118" i="14665"/>
  <c r="E119" i="14665"/>
  <c r="E120" i="14665"/>
  <c r="E121" i="14665" s="1"/>
  <c r="B131" i="14665"/>
  <c r="D128" i="14665"/>
  <c r="C129" i="14665"/>
  <c r="C130" i="14665"/>
  <c r="H113" i="14665"/>
  <c r="H115" i="14665" s="1"/>
  <c r="G114" i="14665"/>
  <c r="C131" i="14665" l="1"/>
  <c r="E124" i="14665"/>
  <c r="F123" i="14665"/>
  <c r="E125" i="14665"/>
  <c r="E126" i="14665" s="1"/>
  <c r="B136" i="14665"/>
  <c r="D130" i="14665"/>
  <c r="D129" i="14665"/>
  <c r="E128" i="14665"/>
  <c r="C138" i="14665"/>
  <c r="B139" i="14665"/>
  <c r="B140" i="14665"/>
  <c r="C134" i="14665"/>
  <c r="D133" i="14665"/>
  <c r="C135" i="14665"/>
  <c r="C136" i="14665" s="1"/>
  <c r="G118" i="14665"/>
  <c r="F120" i="14665"/>
  <c r="F121" i="14665" s="1"/>
  <c r="F119" i="14665"/>
  <c r="I113" i="14665"/>
  <c r="I115" i="14665" s="1"/>
  <c r="H114" i="14665"/>
  <c r="H116" i="14665" s="1"/>
  <c r="E133" i="14665" l="1"/>
  <c r="D135" i="14665"/>
  <c r="D134" i="14665"/>
  <c r="H118" i="14665"/>
  <c r="G120" i="14665"/>
  <c r="G121" i="14665" s="1"/>
  <c r="G119" i="14665"/>
  <c r="F124" i="14665"/>
  <c r="G123" i="14665"/>
  <c r="F125" i="14665"/>
  <c r="B141" i="14665"/>
  <c r="C139" i="14665"/>
  <c r="C140" i="14665"/>
  <c r="D138" i="14665"/>
  <c r="E129" i="14665"/>
  <c r="F128" i="14665"/>
  <c r="E130" i="14665"/>
  <c r="D131" i="14665"/>
  <c r="J113" i="14665"/>
  <c r="J115" i="14665" s="1"/>
  <c r="I114" i="14665"/>
  <c r="I116" i="14665" s="1"/>
  <c r="F126" i="14665" l="1"/>
  <c r="I118" i="14665"/>
  <c r="H119" i="14665"/>
  <c r="H120" i="14665"/>
  <c r="H121" i="14665" s="1"/>
  <c r="E131" i="14665"/>
  <c r="G124" i="14665"/>
  <c r="H123" i="14665"/>
  <c r="G125" i="14665"/>
  <c r="D136" i="14665"/>
  <c r="E134" i="14665"/>
  <c r="F133" i="14665"/>
  <c r="E135" i="14665"/>
  <c r="F129" i="14665"/>
  <c r="F130" i="14665"/>
  <c r="G128" i="14665"/>
  <c r="D139" i="14665"/>
  <c r="E138" i="14665"/>
  <c r="D140" i="14665"/>
  <c r="D141" i="14665" s="1"/>
  <c r="C141" i="14665"/>
  <c r="J114" i="14665"/>
  <c r="J116" i="14665" s="1"/>
  <c r="K113" i="14665"/>
  <c r="K115" i="14665" s="1"/>
  <c r="E136" i="14665" l="1"/>
  <c r="G126" i="14665"/>
  <c r="F138" i="14665"/>
  <c r="E140" i="14665"/>
  <c r="E139" i="14665"/>
  <c r="H125" i="14665"/>
  <c r="I123" i="14665"/>
  <c r="H124" i="14665"/>
  <c r="G129" i="14665"/>
  <c r="G130" i="14665"/>
  <c r="H128" i="14665"/>
  <c r="F131" i="14665"/>
  <c r="J118" i="14665"/>
  <c r="I119" i="14665"/>
  <c r="I120" i="14665"/>
  <c r="I121" i="14665" s="1"/>
  <c r="F135" i="14665"/>
  <c r="G133" i="14665"/>
  <c r="F134" i="14665"/>
  <c r="K114" i="14665"/>
  <c r="K116" i="14665" s="1"/>
  <c r="L113" i="14665"/>
  <c r="L115" i="14665" s="1"/>
  <c r="G131" i="14665" l="1"/>
  <c r="E141" i="14665"/>
  <c r="H129" i="14665"/>
  <c r="H130" i="14665"/>
  <c r="I128" i="14665"/>
  <c r="F136" i="14665"/>
  <c r="I125" i="14665"/>
  <c r="J123" i="14665"/>
  <c r="I124" i="14665"/>
  <c r="G138" i="14665"/>
  <c r="F140" i="14665"/>
  <c r="F139" i="14665"/>
  <c r="H126" i="14665"/>
  <c r="G134" i="14665"/>
  <c r="H133" i="14665"/>
  <c r="G135" i="14665"/>
  <c r="K118" i="14665"/>
  <c r="J119" i="14665"/>
  <c r="J120" i="14665"/>
  <c r="J121" i="14665" s="1"/>
  <c r="M113" i="14665"/>
  <c r="M115" i="14665" s="1"/>
  <c r="L114" i="14665"/>
  <c r="L116" i="14665" s="1"/>
  <c r="I126" i="14665" l="1"/>
  <c r="L118" i="14665"/>
  <c r="K119" i="14665"/>
  <c r="K120" i="14665"/>
  <c r="K121" i="14665" s="1"/>
  <c r="I130" i="14665"/>
  <c r="J128" i="14665"/>
  <c r="I129" i="14665"/>
  <c r="H131" i="14665"/>
  <c r="G139" i="14665"/>
  <c r="G140" i="14665"/>
  <c r="H138" i="14665"/>
  <c r="J125" i="14665"/>
  <c r="J124" i="14665"/>
  <c r="K123" i="14665"/>
  <c r="H135" i="14665"/>
  <c r="H134" i="14665"/>
  <c r="I133" i="14665"/>
  <c r="G136" i="14665"/>
  <c r="F141" i="14665"/>
  <c r="N115" i="14665"/>
  <c r="M114" i="14665"/>
  <c r="M116" i="14665" s="1"/>
  <c r="I131" i="14665" l="1"/>
  <c r="J130" i="14665"/>
  <c r="J129" i="14665"/>
  <c r="K128" i="14665"/>
  <c r="G141" i="14665"/>
  <c r="I134" i="14665"/>
  <c r="J133" i="14665"/>
  <c r="I135" i="14665"/>
  <c r="L123" i="14665"/>
  <c r="K125" i="14665"/>
  <c r="K124" i="14665"/>
  <c r="L119" i="14665"/>
  <c r="L120" i="14665"/>
  <c r="H136" i="14665"/>
  <c r="J126" i="14665"/>
  <c r="I138" i="14665"/>
  <c r="H139" i="14665"/>
  <c r="H140" i="14665"/>
  <c r="M118" i="14665"/>
  <c r="N116" i="14665"/>
  <c r="N114" i="14665"/>
  <c r="K126" i="14665" l="1"/>
  <c r="K133" i="14665"/>
  <c r="J135" i="14665"/>
  <c r="J134" i="14665"/>
  <c r="I136" i="14665"/>
  <c r="H141" i="14665"/>
  <c r="M119" i="14665"/>
  <c r="N119" i="14665" s="1"/>
  <c r="M120" i="14665"/>
  <c r="I139" i="14665"/>
  <c r="J138" i="14665"/>
  <c r="I140" i="14665"/>
  <c r="L128" i="14665"/>
  <c r="K129" i="14665"/>
  <c r="K130" i="14665"/>
  <c r="J131" i="14665"/>
  <c r="L125" i="14665"/>
  <c r="L124" i="14665"/>
  <c r="M123" i="14665"/>
  <c r="L121" i="14665"/>
  <c r="H52" i="4129"/>
  <c r="I52" i="4129" s="1"/>
  <c r="M121" i="14665" l="1"/>
  <c r="N121" i="14665" s="1"/>
  <c r="N120" i="14665"/>
  <c r="J139" i="14665"/>
  <c r="J140" i="14665"/>
  <c r="K138" i="14665"/>
  <c r="M125" i="14665"/>
  <c r="N125" i="14665" s="1"/>
  <c r="M124" i="14665"/>
  <c r="L129" i="14665"/>
  <c r="L130" i="14665"/>
  <c r="M128" i="14665"/>
  <c r="L126" i="14665"/>
  <c r="I141" i="14665"/>
  <c r="J136" i="14665"/>
  <c r="K134" i="14665"/>
  <c r="K135" i="14665"/>
  <c r="L133" i="14665"/>
  <c r="K131" i="14665"/>
  <c r="J52" i="4129"/>
  <c r="R6" i="14657"/>
  <c r="L131" i="14665" l="1"/>
  <c r="M129" i="14665"/>
  <c r="M130" i="14665"/>
  <c r="N130" i="14665" s="1"/>
  <c r="M126" i="14665"/>
  <c r="N126" i="14665" s="1"/>
  <c r="N124" i="14665"/>
  <c r="K140" i="14665"/>
  <c r="L138" i="14665"/>
  <c r="K139" i="14665"/>
  <c r="J141" i="14665"/>
  <c r="L135" i="14665"/>
  <c r="M133" i="14665"/>
  <c r="L134" i="14665"/>
  <c r="K136" i="14665"/>
  <c r="K52" i="4129"/>
  <c r="C25" i="14655"/>
  <c r="C23" i="14655"/>
  <c r="B23" i="14655"/>
  <c r="B25" i="14655"/>
  <c r="L136" i="14665" l="1"/>
  <c r="M134" i="14665"/>
  <c r="M135" i="14665"/>
  <c r="N135" i="14665" s="1"/>
  <c r="K141" i="14665"/>
  <c r="L140" i="14665"/>
  <c r="M138" i="14665"/>
  <c r="L139" i="14665"/>
  <c r="M131" i="14665"/>
  <c r="N131" i="14665" s="1"/>
  <c r="N129" i="14665"/>
  <c r="H49" i="4129"/>
  <c r="L141" i="14665" l="1"/>
  <c r="M139" i="14665"/>
  <c r="M140" i="14665"/>
  <c r="N140" i="14665" s="1"/>
  <c r="M136" i="14665"/>
  <c r="N136" i="14665" s="1"/>
  <c r="N134" i="14665"/>
  <c r="I49" i="4129"/>
  <c r="H50" i="4129"/>
  <c r="I50" i="4129" s="1"/>
  <c r="J50" i="4129" s="1"/>
  <c r="K50" i="4129" s="1"/>
  <c r="M141" i="14665" l="1"/>
  <c r="N141" i="14665" s="1"/>
  <c r="N139" i="14665"/>
  <c r="J49" i="4129"/>
  <c r="K49" i="4129" s="1"/>
  <c r="L49" i="4129" s="1"/>
  <c r="B38" i="14665"/>
  <c r="H11" i="14665" l="1"/>
  <c r="O57" i="14653" l="1"/>
  <c r="O44" i="14653"/>
  <c r="O31" i="14653"/>
  <c r="A2" i="14710" l="1"/>
  <c r="F37" i="14708" l="1"/>
  <c r="F38" i="14708" s="1"/>
  <c r="H26" i="14708" l="1"/>
  <c r="H27" i="14708"/>
  <c r="J27" i="14708" s="1"/>
  <c r="L27" i="14708" s="1"/>
  <c r="N27" i="14708" s="1"/>
  <c r="J26" i="14708"/>
  <c r="L26" i="14708" s="1"/>
  <c r="N26" i="14708" s="1"/>
  <c r="B19" i="14652"/>
  <c r="B20" i="14652"/>
  <c r="O45" i="14653"/>
  <c r="O58" i="14653" s="1"/>
  <c r="H21" i="14705"/>
  <c r="C17" i="14690" s="1"/>
  <c r="B13" i="11" s="1"/>
  <c r="B21" i="14652"/>
  <c r="B22" i="14652"/>
  <c r="B7" i="14667"/>
  <c r="C19" i="14690"/>
  <c r="H12" i="14622"/>
  <c r="I12" i="14622" s="1"/>
  <c r="A62" i="14710"/>
  <c r="F65" i="14710"/>
  <c r="C72" i="14710"/>
  <c r="G38" i="14696"/>
  <c r="D23" i="14708"/>
  <c r="A2" i="14708"/>
  <c r="I11" i="14708"/>
  <c r="K11" i="14708" s="1"/>
  <c r="M11" i="14708" s="1"/>
  <c r="I12" i="14708"/>
  <c r="K12" i="14708" s="1"/>
  <c r="M12" i="14708" s="1"/>
  <c r="F12" i="14708"/>
  <c r="H12" i="14708" s="1"/>
  <c r="U25" i="14655" s="1"/>
  <c r="F11" i="14708"/>
  <c r="H11" i="14708" s="1"/>
  <c r="I10" i="14708"/>
  <c r="K10" i="14708"/>
  <c r="M10" i="14708"/>
  <c r="N10" i="14708"/>
  <c r="L10" i="14708"/>
  <c r="J10" i="14708"/>
  <c r="H10" i="14708"/>
  <c r="M6" i="14708"/>
  <c r="K6" i="14708"/>
  <c r="I6" i="14708"/>
  <c r="G6" i="14708"/>
  <c r="H6" i="14708"/>
  <c r="J6" i="14708"/>
  <c r="L6" i="14708"/>
  <c r="N6" i="14708"/>
  <c r="G7" i="14708"/>
  <c r="I7" i="14708" s="1"/>
  <c r="K7" i="14708" s="1"/>
  <c r="M7" i="14708" s="1"/>
  <c r="G8" i="14708"/>
  <c r="I8" i="14708" s="1"/>
  <c r="K8" i="14708" s="1"/>
  <c r="M8" i="14708" s="1"/>
  <c r="B78" i="14648"/>
  <c r="B63" i="14648"/>
  <c r="B48" i="14648"/>
  <c r="B33" i="14648"/>
  <c r="B18" i="14648"/>
  <c r="A27" i="14648" a="1"/>
  <c r="A42" i="14648" a="1"/>
  <c r="A43" i="14648" s="1"/>
  <c r="A57" i="14648" a="1"/>
  <c r="A58" i="14648" s="1"/>
  <c r="A72" i="14648" a="1"/>
  <c r="A75" i="14648" s="1"/>
  <c r="B19" i="14706"/>
  <c r="B11" i="14667"/>
  <c r="B6" i="14667"/>
  <c r="J9" i="14661"/>
  <c r="J7" i="14661"/>
  <c r="L16" i="14661"/>
  <c r="L8" i="14661"/>
  <c r="B22" i="14706"/>
  <c r="C5" i="11"/>
  <c r="H14" i="14622"/>
  <c r="H13" i="14622"/>
  <c r="I13" i="14622" s="1"/>
  <c r="G9" i="14622"/>
  <c r="I9" i="14622" s="1"/>
  <c r="H8" i="14622"/>
  <c r="G24" i="14622"/>
  <c r="H23" i="14622"/>
  <c r="G23" i="14622"/>
  <c r="B18" i="14667" s="1"/>
  <c r="G22" i="14622"/>
  <c r="G21" i="14622"/>
  <c r="B9" i="14706" s="1"/>
  <c r="G20" i="14622"/>
  <c r="B7" i="14706" s="1"/>
  <c r="G16" i="14622"/>
  <c r="I16" i="14622" s="1"/>
  <c r="A63" i="14685"/>
  <c r="A55" i="14685"/>
  <c r="A15" i="14661" s="1"/>
  <c r="A50" i="14685"/>
  <c r="A43" i="14685"/>
  <c r="A37" i="14685"/>
  <c r="A31" i="14685"/>
  <c r="A26" i="14685"/>
  <c r="A20" i="14685"/>
  <c r="A12" i="14689" s="1" a="1"/>
  <c r="A10" i="14685"/>
  <c r="A5" i="14689" s="1" a="1"/>
  <c r="B78" i="14689"/>
  <c r="B71" i="14689"/>
  <c r="C30" i="11"/>
  <c r="B30" i="11"/>
  <c r="B32" i="14706" s="1"/>
  <c r="B29" i="11"/>
  <c r="B28" i="11"/>
  <c r="D41" i="14667" s="1"/>
  <c r="B27" i="11"/>
  <c r="H65" i="14645" s="1"/>
  <c r="H66" i="14645" s="1"/>
  <c r="B25" i="11"/>
  <c r="B20" i="11"/>
  <c r="C14" i="11"/>
  <c r="C13" i="11"/>
  <c r="B12" i="11"/>
  <c r="B11" i="11"/>
  <c r="D11" i="11" s="1"/>
  <c r="B10" i="11"/>
  <c r="B8" i="11"/>
  <c r="C7" i="11"/>
  <c r="N19" i="14653"/>
  <c r="P19" i="14653" s="1"/>
  <c r="H19" i="14708" s="1"/>
  <c r="N20" i="14653"/>
  <c r="H7" i="14653" s="1"/>
  <c r="N21" i="14653"/>
  <c r="J8" i="14653" s="1"/>
  <c r="N22" i="14653"/>
  <c r="N23" i="14653"/>
  <c r="J10" i="14653" s="1"/>
  <c r="N24" i="14653"/>
  <c r="N25" i="14653"/>
  <c r="J12" i="14653" s="1"/>
  <c r="N26" i="14653"/>
  <c r="D4" i="14626"/>
  <c r="A2" i="14683"/>
  <c r="A46" i="14683"/>
  <c r="A31" i="14683"/>
  <c r="A48" i="14683"/>
  <c r="F29" i="14626"/>
  <c r="F27" i="14626"/>
  <c r="A41" i="14667"/>
  <c r="F25" i="14626" s="1"/>
  <c r="C36" i="4129"/>
  <c r="F23" i="14626"/>
  <c r="F24" i="14626"/>
  <c r="F22" i="14626"/>
  <c r="E21" i="14626"/>
  <c r="F19" i="14626"/>
  <c r="F18" i="14626"/>
  <c r="E17" i="14626"/>
  <c r="F12" i="14626"/>
  <c r="F14" i="14626"/>
  <c r="F13" i="14626"/>
  <c r="F11" i="14626"/>
  <c r="E9" i="14626"/>
  <c r="B29" i="14626"/>
  <c r="A21" i="14667"/>
  <c r="A7" i="14706" s="1"/>
  <c r="B27" i="14626"/>
  <c r="B24" i="14626"/>
  <c r="B23" i="14626"/>
  <c r="B21" i="14626"/>
  <c r="B22" i="14626"/>
  <c r="B20" i="14626"/>
  <c r="A19" i="14626"/>
  <c r="B14" i="14626"/>
  <c r="B12" i="14626"/>
  <c r="B10" i="14626"/>
  <c r="A9" i="14626"/>
  <c r="N14" i="14657"/>
  <c r="K9" i="14657"/>
  <c r="C27" i="14657"/>
  <c r="I28" i="4129"/>
  <c r="H1" i="14681" s="1"/>
  <c r="H3" i="14681" s="1"/>
  <c r="A20" i="14684"/>
  <c r="B20" i="14657"/>
  <c r="A5" i="14657"/>
  <c r="A2" i="14657"/>
  <c r="A1" i="14657"/>
  <c r="A5" i="14659"/>
  <c r="A1" i="14659"/>
  <c r="F13" i="4129"/>
  <c r="A21" i="14622"/>
  <c r="A35" i="4129"/>
  <c r="C27" i="14705"/>
  <c r="B42" i="14662"/>
  <c r="B41" i="14662"/>
  <c r="F27" i="4129"/>
  <c r="A18" i="14649"/>
  <c r="B61" i="14643"/>
  <c r="B74" i="14643"/>
  <c r="B87" i="14643"/>
  <c r="B100" i="14643"/>
  <c r="B91" i="14643" a="1"/>
  <c r="I91" i="14643" s="1"/>
  <c r="B78" i="14643" a="1"/>
  <c r="B65" i="14643" a="1"/>
  <c r="B52" i="14643" a="1"/>
  <c r="B52" i="14643" s="1"/>
  <c r="A102" i="14645" a="1"/>
  <c r="A92" i="14645" a="1"/>
  <c r="A82" i="14645" a="1"/>
  <c r="A85" i="14645" s="1"/>
  <c r="A72" i="14645" a="1"/>
  <c r="A28" i="14645" a="1"/>
  <c r="A28" i="14645" s="1"/>
  <c r="A38" i="14645" s="1"/>
  <c r="A18" i="14645" a="1"/>
  <c r="A19" i="14645" s="1"/>
  <c r="A1" i="14641"/>
  <c r="A1" i="14676"/>
  <c r="A1" i="14677"/>
  <c r="A1" i="14633"/>
  <c r="C38" i="14641" a="1"/>
  <c r="C38" i="14676" a="1"/>
  <c r="C38" i="14676" s="1"/>
  <c r="C38" i="14677" a="1"/>
  <c r="C38" i="14633" a="1"/>
  <c r="B39" i="14641" a="1"/>
  <c r="B39" i="14676" a="1"/>
  <c r="B39" i="14677" a="1"/>
  <c r="B40" i="14677" s="1"/>
  <c r="B39" i="14633" a="1"/>
  <c r="B41" i="14633" s="1"/>
  <c r="A35" i="14641"/>
  <c r="A35" i="14676"/>
  <c r="A35" i="14677"/>
  <c r="A35" i="14633"/>
  <c r="A33" i="14641"/>
  <c r="A33" i="14676"/>
  <c r="A33" i="14677"/>
  <c r="A33" i="14633"/>
  <c r="A28" i="14641" a="1"/>
  <c r="A28" i="14676" a="1"/>
  <c r="A28" i="14677" a="1"/>
  <c r="A31" i="14677" s="1"/>
  <c r="A28" i="14633" a="1"/>
  <c r="A19" i="14684"/>
  <c r="A13" i="14684"/>
  <c r="A14" i="14684"/>
  <c r="A16" i="14684"/>
  <c r="A8" i="14684"/>
  <c r="B66" i="14648"/>
  <c r="B51" i="14648"/>
  <c r="B36" i="14648"/>
  <c r="B21" i="14648"/>
  <c r="O104" i="14648"/>
  <c r="O99" i="14648"/>
  <c r="O94" i="14648"/>
  <c r="O89" i="14648"/>
  <c r="O84" i="14648"/>
  <c r="O86" i="14648"/>
  <c r="O71" i="14648"/>
  <c r="O66" i="14648"/>
  <c r="O56" i="14648"/>
  <c r="O51" i="14648"/>
  <c r="O41" i="14648"/>
  <c r="O36" i="14648"/>
  <c r="O26" i="14648"/>
  <c r="O21" i="14648"/>
  <c r="B107" i="14648"/>
  <c r="B102" i="14648"/>
  <c r="B97" i="14648"/>
  <c r="B92" i="14648"/>
  <c r="B87" i="14648"/>
  <c r="B79" i="14648"/>
  <c r="B64" i="14648"/>
  <c r="B49" i="14648"/>
  <c r="B34" i="14648"/>
  <c r="B104" i="14648"/>
  <c r="B99" i="14648"/>
  <c r="B94" i="14648"/>
  <c r="B89" i="14648"/>
  <c r="B84" i="14648"/>
  <c r="B71" i="14648"/>
  <c r="B56" i="14648"/>
  <c r="B41" i="14648"/>
  <c r="E51" i="14690"/>
  <c r="B26" i="14648"/>
  <c r="B52" i="14685" a="1"/>
  <c r="B52" i="14685" s="1"/>
  <c r="B55" i="14685" s="1"/>
  <c r="B45" i="14685" a="1"/>
  <c r="C45" i="14685" s="1"/>
  <c r="B39" i="14685" a="1"/>
  <c r="D39" i="14685" s="1"/>
  <c r="B33" i="14685" a="1"/>
  <c r="C33" i="14685" s="1"/>
  <c r="B28" i="14685" a="1"/>
  <c r="B28" i="14685" s="1"/>
  <c r="B31" i="14685" s="1"/>
  <c r="B22" i="14685" a="1"/>
  <c r="B19" i="14685"/>
  <c r="B20" i="14685" s="1"/>
  <c r="A7" i="14661"/>
  <c r="B7" i="14661"/>
  <c r="A53" i="14682"/>
  <c r="A55" i="14624"/>
  <c r="A55" i="14636" s="1"/>
  <c r="A28" i="14682"/>
  <c r="A27" i="14624"/>
  <c r="A25" i="14624"/>
  <c r="A22" i="14636" s="1" a="1"/>
  <c r="A24" i="14636" s="1"/>
  <c r="A20" i="14624"/>
  <c r="A17" i="14673" s="1" a="1"/>
  <c r="A18" i="14673" s="1"/>
  <c r="A15" i="14624"/>
  <c r="A15" i="14629" s="1"/>
  <c r="O30" i="14628"/>
  <c r="O18" i="14628"/>
  <c r="O30" i="14639"/>
  <c r="O18" i="14639"/>
  <c r="O4" i="14639"/>
  <c r="O30" i="14674"/>
  <c r="O18" i="14674"/>
  <c r="O4" i="14674"/>
  <c r="O30" i="14675"/>
  <c r="O18" i="14675"/>
  <c r="O4" i="14675"/>
  <c r="O30" i="14634"/>
  <c r="O18" i="14634"/>
  <c r="O4" i="14634"/>
  <c r="A39" i="14628"/>
  <c r="A40" i="14628"/>
  <c r="A29" i="14639"/>
  <c r="A30" i="14628"/>
  <c r="A30" i="14639" s="1"/>
  <c r="A29" i="14674"/>
  <c r="A29" i="14675"/>
  <c r="A29" i="14634"/>
  <c r="B15" i="14628"/>
  <c r="B15" i="14634" s="1"/>
  <c r="N32" i="14624"/>
  <c r="N32" i="14636"/>
  <c r="N4" i="14636"/>
  <c r="N32" i="14672"/>
  <c r="N4" i="14672"/>
  <c r="N32" i="14673"/>
  <c r="N4" i="14673"/>
  <c r="N32" i="14629"/>
  <c r="N4" i="14629"/>
  <c r="A60" i="14624"/>
  <c r="A60" i="14673" s="1"/>
  <c r="A58" i="14636"/>
  <c r="A58" i="14672"/>
  <c r="A58" i="14673"/>
  <c r="A58" i="14629"/>
  <c r="A32" i="14636"/>
  <c r="A32" i="14672"/>
  <c r="A32" i="14673"/>
  <c r="A32" i="14629"/>
  <c r="A6" i="14636"/>
  <c r="A6" i="14672"/>
  <c r="A6" i="14673"/>
  <c r="A6" i="14629"/>
  <c r="A4" i="14636"/>
  <c r="A4" i="14672"/>
  <c r="A4" i="14673"/>
  <c r="A4" i="14629"/>
  <c r="N44" i="14681"/>
  <c r="N17" i="14681"/>
  <c r="N26" i="14681"/>
  <c r="N35" i="14681"/>
  <c r="A49" i="14681"/>
  <c r="A45" i="14681" a="1"/>
  <c r="A43" i="14681"/>
  <c r="A40" i="14681"/>
  <c r="A36" i="14681" a="1"/>
  <c r="A36" i="14681" s="1"/>
  <c r="A34" i="14681"/>
  <c r="A31" i="14681"/>
  <c r="A27" i="14681" a="1"/>
  <c r="A27" i="14681" s="1"/>
  <c r="A25" i="14681"/>
  <c r="A16" i="14681"/>
  <c r="A22" i="14681"/>
  <c r="A18" i="14681" a="1"/>
  <c r="A48" i="14623" a="1"/>
  <c r="A52" i="14623" s="1"/>
  <c r="R31" i="14638"/>
  <c r="R31" i="14678"/>
  <c r="R31" i="14679"/>
  <c r="R31" i="14632"/>
  <c r="P18" i="14638"/>
  <c r="P18" i="14678"/>
  <c r="P18" i="14679"/>
  <c r="P18" i="14632"/>
  <c r="P46" i="14638"/>
  <c r="P46" i="14678"/>
  <c r="P46" i="14679"/>
  <c r="P46" i="14632"/>
  <c r="A45" i="14623"/>
  <c r="A45" i="14632" s="1"/>
  <c r="A34" i="14638"/>
  <c r="A34" i="14678"/>
  <c r="A34" i="14679"/>
  <c r="A34" i="14632"/>
  <c r="A32" i="14623"/>
  <c r="A32" i="14679" s="1"/>
  <c r="A19" i="14638" a="1"/>
  <c r="A19" i="14678" a="1"/>
  <c r="A26" i="14678" s="1"/>
  <c r="A19" i="14679" a="1"/>
  <c r="A19" i="14632" a="1"/>
  <c r="A26" i="14632" s="1"/>
  <c r="A17" i="14638"/>
  <c r="A17" i="14678"/>
  <c r="A17" i="14679"/>
  <c r="A17" i="14632"/>
  <c r="A6" i="14638"/>
  <c r="A6" i="14678"/>
  <c r="A6" i="14679"/>
  <c r="A6" i="14632"/>
  <c r="A4" i="14623"/>
  <c r="A4" i="14638" s="1"/>
  <c r="A1" i="14638"/>
  <c r="A1" i="14678"/>
  <c r="A1" i="14679"/>
  <c r="A1" i="14632"/>
  <c r="A29" i="14631"/>
  <c r="A29" i="14640"/>
  <c r="A29" i="14670"/>
  <c r="A29" i="14671"/>
  <c r="A29" i="8"/>
  <c r="A25" i="14631" a="1"/>
  <c r="A26" i="14631" s="1"/>
  <c r="A25" i="14640" a="1"/>
  <c r="A26" i="14640" s="1"/>
  <c r="A25" i="14670" a="1"/>
  <c r="A26" i="14670" s="1"/>
  <c r="A25" i="14671" a="1"/>
  <c r="A26" i="14671" s="1"/>
  <c r="A25" i="8" a="1"/>
  <c r="A26" i="8" s="1"/>
  <c r="A20" i="14631"/>
  <c r="A20" i="14640"/>
  <c r="A20" i="14670"/>
  <c r="A20" i="14671"/>
  <c r="A20" i="8"/>
  <c r="A15" i="14631" a="1"/>
  <c r="A16" i="14631" s="1"/>
  <c r="A15" i="14640" a="1"/>
  <c r="A15" i="14670" a="1"/>
  <c r="A18" i="14670" s="1"/>
  <c r="A15" i="14671" a="1"/>
  <c r="A17" i="14671" s="1"/>
  <c r="A15" i="8" a="1"/>
  <c r="A16" i="8" s="1"/>
  <c r="A13" i="14631"/>
  <c r="A13" i="14640"/>
  <c r="A13" i="14670"/>
  <c r="A13" i="14671"/>
  <c r="A13" i="8"/>
  <c r="A9" i="14631" a="1"/>
  <c r="A9" i="14640" a="1"/>
  <c r="A11" i="14640" s="1"/>
  <c r="A9" i="14670" a="1"/>
  <c r="A11" i="14670" s="1"/>
  <c r="A9" i="14671" a="1"/>
  <c r="A10" i="14671" s="1"/>
  <c r="A9" i="8" a="1"/>
  <c r="A4" i="14631" a="1"/>
  <c r="A7" i="14631" s="1"/>
  <c r="A4" i="14640" a="1"/>
  <c r="A6" i="14640" s="1"/>
  <c r="A4" i="14670" a="1"/>
  <c r="A6" i="14670" s="1"/>
  <c r="A4" i="14671" a="1"/>
  <c r="A4" i="8" a="1"/>
  <c r="A5" i="8" s="1"/>
  <c r="C19" i="14686"/>
  <c r="B9" i="14687" a="1"/>
  <c r="C18" i="14687"/>
  <c r="A51" i="14706"/>
  <c r="A49" i="14706"/>
  <c r="A45" i="14706" a="1"/>
  <c r="A34" i="14706" a="1"/>
  <c r="A24" i="14706"/>
  <c r="A22" i="14706"/>
  <c r="A21" i="14706"/>
  <c r="A20" i="14706"/>
  <c r="A19" i="14706"/>
  <c r="A16" i="14706"/>
  <c r="A14" i="14706"/>
  <c r="A13" i="14706"/>
  <c r="A12" i="14706"/>
  <c r="A11" i="14706"/>
  <c r="A10" i="14706"/>
  <c r="A9" i="14706"/>
  <c r="A6" i="14706"/>
  <c r="A5" i="14706"/>
  <c r="A31" i="14640"/>
  <c r="A31" i="14670"/>
  <c r="A31" i="14671"/>
  <c r="A31" i="14631"/>
  <c r="A89" i="14703"/>
  <c r="A70" i="14700"/>
  <c r="A70" i="14701"/>
  <c r="A70" i="14702"/>
  <c r="A70" i="14704"/>
  <c r="A70" i="14698"/>
  <c r="A57" i="14703"/>
  <c r="A57" i="14701" s="1"/>
  <c r="B41" i="14703"/>
  <c r="B41" i="14704" s="1"/>
  <c r="A44" i="14700"/>
  <c r="A44" i="14701"/>
  <c r="A44" i="14702"/>
  <c r="A44" i="14704"/>
  <c r="A44" i="14698"/>
  <c r="A31" i="14703"/>
  <c r="A31" i="14702" s="1"/>
  <c r="A18" i="14700"/>
  <c r="A18" i="14701"/>
  <c r="A18" i="14702"/>
  <c r="A18" i="14704"/>
  <c r="A18" i="14698"/>
  <c r="A6" i="14700"/>
  <c r="A6" i="14701"/>
  <c r="A6" i="14702"/>
  <c r="A6" i="14704"/>
  <c r="A6" i="14698"/>
  <c r="A67" i="14703"/>
  <c r="A54" i="14703"/>
  <c r="A40" i="14703"/>
  <c r="A91" i="14703" a="1"/>
  <c r="A111" i="14700" a="1"/>
  <c r="A118" i="14700" s="1"/>
  <c r="A111" i="14701" a="1"/>
  <c r="A114" i="14701" s="1"/>
  <c r="A111" i="14702" a="1"/>
  <c r="A117" i="14702" s="1"/>
  <c r="A111" i="14704" a="1"/>
  <c r="A118" i="14704" s="1"/>
  <c r="A111" i="14698" a="1"/>
  <c r="A122" i="14698" s="1"/>
  <c r="A85" i="14700"/>
  <c r="A91" i="14700" s="1" a="1"/>
  <c r="A85" i="14701"/>
  <c r="A91" i="14701" s="1" a="1"/>
  <c r="A85" i="14702"/>
  <c r="A91" i="14702" s="1" a="1"/>
  <c r="A101" i="14702" s="1"/>
  <c r="A85" i="14704"/>
  <c r="A91" i="14704" s="1" a="1"/>
  <c r="A91" i="14704" s="1"/>
  <c r="A85" i="14698"/>
  <c r="A91" i="14698" s="1" a="1"/>
  <c r="A67" i="14700"/>
  <c r="A67" i="14701"/>
  <c r="A67" i="14702"/>
  <c r="A67" i="14704"/>
  <c r="A67" i="14698"/>
  <c r="A54" i="14700"/>
  <c r="A40" i="14700"/>
  <c r="A54" i="14701"/>
  <c r="A40" i="14701"/>
  <c r="A54" i="14702"/>
  <c r="A40" i="14702"/>
  <c r="A54" i="14704"/>
  <c r="A40" i="14704"/>
  <c r="A54" i="14698"/>
  <c r="A40" i="14698"/>
  <c r="N58" i="14700"/>
  <c r="N45" i="14700"/>
  <c r="N31" i="14700"/>
  <c r="N19" i="14700"/>
  <c r="N58" i="14701"/>
  <c r="N45" i="14701"/>
  <c r="N31" i="14701"/>
  <c r="N19" i="14701"/>
  <c r="N58" i="14702"/>
  <c r="N45" i="14702"/>
  <c r="N31" i="14702"/>
  <c r="N19" i="14702"/>
  <c r="N58" i="14704"/>
  <c r="N45" i="14704"/>
  <c r="N31" i="14704"/>
  <c r="N19" i="14704"/>
  <c r="N58" i="14698"/>
  <c r="N45" i="14698"/>
  <c r="N31" i="14698"/>
  <c r="N19" i="14698"/>
  <c r="I18" i="14703"/>
  <c r="I18" i="14704" s="1"/>
  <c r="A19" i="14700"/>
  <c r="A19" i="14701"/>
  <c r="A19" i="14702"/>
  <c r="A71" i="14702" s="1"/>
  <c r="A19" i="14704"/>
  <c r="A45" i="14704" s="1"/>
  <c r="A19" i="14698"/>
  <c r="A58" i="14698" s="1"/>
  <c r="A7" i="14700"/>
  <c r="A7" i="14701"/>
  <c r="A7" i="14702"/>
  <c r="A7" i="14704"/>
  <c r="A7" i="14698"/>
  <c r="A236" i="14703"/>
  <c r="A218" i="14703"/>
  <c r="A200" i="14703"/>
  <c r="A182" i="14703"/>
  <c r="A164" i="14703"/>
  <c r="A146" i="14703"/>
  <c r="A128" i="14703"/>
  <c r="A236" i="14700"/>
  <c r="A236" i="14701"/>
  <c r="A236" i="14702"/>
  <c r="A236" i="14704"/>
  <c r="A236" i="14698"/>
  <c r="A218" i="14700"/>
  <c r="A218" i="14701"/>
  <c r="A218" i="14702"/>
  <c r="A218" i="14704"/>
  <c r="A218" i="14698"/>
  <c r="A200" i="14700"/>
  <c r="A200" i="14701"/>
  <c r="A200" i="14702"/>
  <c r="A200" i="14704"/>
  <c r="A200" i="14698"/>
  <c r="A182" i="14700"/>
  <c r="A182" i="14701"/>
  <c r="A182" i="14702"/>
  <c r="A182" i="14704"/>
  <c r="A182" i="14698"/>
  <c r="A164" i="14700"/>
  <c r="A164" i="14701"/>
  <c r="A164" i="14702"/>
  <c r="A164" i="14704"/>
  <c r="A164" i="14698"/>
  <c r="A146" i="14700"/>
  <c r="A146" i="14701"/>
  <c r="A146" i="14702"/>
  <c r="A146" i="14704"/>
  <c r="A146" i="14698"/>
  <c r="A128" i="14700"/>
  <c r="A128" i="14701"/>
  <c r="A128" i="14702"/>
  <c r="A128" i="14704"/>
  <c r="A128" i="14698"/>
  <c r="A237" i="14700" a="1"/>
  <c r="A246" i="14700" s="1"/>
  <c r="A237" i="14701" a="1"/>
  <c r="A249" i="14701" s="1"/>
  <c r="A237" i="14702" a="1"/>
  <c r="A244" i="14702" s="1"/>
  <c r="A237" i="14704" a="1"/>
  <c r="A242" i="14704" s="1"/>
  <c r="A237" i="14698" a="1"/>
  <c r="A242" i="14698" s="1"/>
  <c r="A219" i="14700" a="1"/>
  <c r="A220" i="14700" s="1"/>
  <c r="A224" i="14700"/>
  <c r="A219" i="14701" a="1"/>
  <c r="A226" i="14701" s="1"/>
  <c r="A219" i="14702" a="1"/>
  <c r="A222" i="14702" s="1"/>
  <c r="A219" i="14704" a="1"/>
  <c r="A227" i="14704" s="1"/>
  <c r="A219" i="14698" a="1"/>
  <c r="A226" i="14698" s="1"/>
  <c r="A201" i="14700" a="1"/>
  <c r="A208" i="14700" s="1"/>
  <c r="A201" i="14701" a="1"/>
  <c r="A204" i="14701" s="1"/>
  <c r="A201" i="14702" a="1"/>
  <c r="A212" i="14702" s="1"/>
  <c r="A201" i="14704" a="1"/>
  <c r="A206" i="14704" s="1"/>
  <c r="A201" i="14698" a="1"/>
  <c r="A208" i="14698" s="1"/>
  <c r="A183" i="14700" a="1"/>
  <c r="A183" i="14701" a="1"/>
  <c r="A186" i="14701" s="1"/>
  <c r="A183" i="14702" a="1"/>
  <c r="A183" i="14704" a="1"/>
  <c r="A190" i="14704" s="1"/>
  <c r="A183" i="14698" a="1"/>
  <c r="A165" i="14700" a="1"/>
  <c r="A171" i="14700" s="1"/>
  <c r="A165" i="14701" a="1"/>
  <c r="A177" i="14701" s="1"/>
  <c r="A165" i="14702" a="1"/>
  <c r="A172" i="14702" s="1"/>
  <c r="A165" i="14704" a="1"/>
  <c r="A168" i="14704" s="1"/>
  <c r="A165" i="14698" a="1"/>
  <c r="A147" i="14700" a="1"/>
  <c r="A148" i="14700" s="1"/>
  <c r="A147" i="14701" a="1"/>
  <c r="A151" i="14701" s="1"/>
  <c r="A147" i="14702" a="1"/>
  <c r="A154" i="14702" s="1"/>
  <c r="A147" i="14704" a="1"/>
  <c r="A148" i="14704" s="1"/>
  <c r="A147" i="14698" a="1"/>
  <c r="A156" i="14698" s="1"/>
  <c r="A129" i="14700" a="1"/>
  <c r="A130" i="14700" s="1"/>
  <c r="A129" i="14701" a="1"/>
  <c r="A129" i="14702" a="1"/>
  <c r="A138" i="14702" s="1"/>
  <c r="A129" i="14704" a="1"/>
  <c r="A135" i="14704" s="1"/>
  <c r="A129" i="14698" a="1"/>
  <c r="A141" i="14698" s="1"/>
  <c r="A90" i="14701"/>
  <c r="A237" i="14703" a="1"/>
  <c r="A219" i="14703" a="1"/>
  <c r="A220" i="14703" s="1"/>
  <c r="A201" i="14703" a="1"/>
  <c r="A183" i="14703" a="1"/>
  <c r="A183" i="14703"/>
  <c r="A192" i="14703"/>
  <c r="A194" i="14703"/>
  <c r="A165" i="14703" a="1"/>
  <c r="A172" i="14703" s="1"/>
  <c r="A147" i="14703" a="1"/>
  <c r="A156" i="14703" s="1"/>
  <c r="A147" i="14703"/>
  <c r="A151" i="14703"/>
  <c r="A152" i="14703"/>
  <c r="A129" i="14703" a="1"/>
  <c r="A129" i="14703" s="1"/>
  <c r="A140" i="14703"/>
  <c r="A111" i="14703" a="1"/>
  <c r="A123" i="14703" s="1"/>
  <c r="A45" i="14703"/>
  <c r="N19" i="14703"/>
  <c r="N31" i="14703"/>
  <c r="N45" i="14703"/>
  <c r="N58" i="14703"/>
  <c r="B23" i="14652"/>
  <c r="B24" i="14652"/>
  <c r="B25" i="14652"/>
  <c r="B26" i="14652"/>
  <c r="E3" i="14655"/>
  <c r="E19" i="14655" s="1"/>
  <c r="G3" i="14655"/>
  <c r="G10" i="14655" s="1"/>
  <c r="H3" i="14655"/>
  <c r="H8" i="14655" s="1"/>
  <c r="I3" i="14655"/>
  <c r="J3" i="14655"/>
  <c r="J18" i="14655" s="1"/>
  <c r="K3" i="14655"/>
  <c r="L3" i="14655"/>
  <c r="L9" i="14655" s="1"/>
  <c r="M3" i="14655"/>
  <c r="N3" i="14655"/>
  <c r="O3" i="14655"/>
  <c r="O10" i="14655" s="1"/>
  <c r="P3" i="14655"/>
  <c r="A137" i="14707"/>
  <c r="A7" i="14655"/>
  <c r="B20" i="14693"/>
  <c r="D10" i="14667" s="1"/>
  <c r="F10" i="14667" s="1"/>
  <c r="H10" i="14667" s="1"/>
  <c r="J10" i="14667" s="1"/>
  <c r="L10" i="14667" s="1"/>
  <c r="N10" i="14667" s="1"/>
  <c r="D18" i="14687"/>
  <c r="E18" i="14687"/>
  <c r="F18" i="14687"/>
  <c r="G18" i="14687"/>
  <c r="H18" i="14687"/>
  <c r="I18" i="14687"/>
  <c r="J18" i="14687"/>
  <c r="K18" i="14687"/>
  <c r="L18" i="14687"/>
  <c r="M18" i="14687"/>
  <c r="N18" i="14687"/>
  <c r="B57" i="14685" a="1"/>
  <c r="B57" i="14685" s="1"/>
  <c r="E58" i="14685"/>
  <c r="E59" i="14685"/>
  <c r="E60" i="14685"/>
  <c r="E61" i="14685"/>
  <c r="E62" i="14685"/>
  <c r="B9" i="14685"/>
  <c r="E7" i="14685"/>
  <c r="E8" i="14685"/>
  <c r="E10" i="14685" s="1"/>
  <c r="C8" i="14661" s="1"/>
  <c r="E13" i="14685"/>
  <c r="E14" i="14685"/>
  <c r="E15" i="14685"/>
  <c r="E16" i="14685"/>
  <c r="E17" i="14685"/>
  <c r="E18" i="14685"/>
  <c r="E19" i="14685"/>
  <c r="E22" i="14685"/>
  <c r="E23" i="14685"/>
  <c r="E24" i="14685"/>
  <c r="E25" i="14685"/>
  <c r="E29" i="14685"/>
  <c r="E30" i="14685"/>
  <c r="E34" i="14685"/>
  <c r="E35" i="14685"/>
  <c r="E36" i="14685"/>
  <c r="E40" i="14685"/>
  <c r="E41" i="14685"/>
  <c r="E42" i="14685"/>
  <c r="E46" i="14685"/>
  <c r="E47" i="14685"/>
  <c r="E48" i="14685"/>
  <c r="E49" i="14685"/>
  <c r="E52" i="14685"/>
  <c r="E53" i="14685"/>
  <c r="E54" i="14685"/>
  <c r="D62" i="14685"/>
  <c r="D10" i="14685" a="1"/>
  <c r="D10" i="14685" s="1"/>
  <c r="B30" i="14661" s="1"/>
  <c r="D19" i="14685"/>
  <c r="A76" i="14707"/>
  <c r="A74" i="14707"/>
  <c r="A72" i="14707"/>
  <c r="C81" i="4129"/>
  <c r="C52" i="14685"/>
  <c r="I57" i="14685" a="1"/>
  <c r="I52" i="14685" a="1"/>
  <c r="J52" i="14685" s="1"/>
  <c r="I45" i="14685" a="1"/>
  <c r="I39" i="14685" a="1"/>
  <c r="I33" i="14685" a="1"/>
  <c r="I33" i="14685" s="1"/>
  <c r="I37" i="14685" s="1"/>
  <c r="I28" i="14685" a="1"/>
  <c r="J28" i="14685" s="1"/>
  <c r="I22" i="14685" a="1"/>
  <c r="I20" i="14685"/>
  <c r="I10" i="14685"/>
  <c r="C14" i="14690"/>
  <c r="C78" i="4129"/>
  <c r="C80" i="4129"/>
  <c r="A39" i="14707"/>
  <c r="G45" i="14707"/>
  <c r="A23" i="14707"/>
  <c r="B55" i="14707" a="1"/>
  <c r="B58" i="14707" s="1"/>
  <c r="D48" i="14665"/>
  <c r="C55" i="14689"/>
  <c r="E15" i="14661" s="1"/>
  <c r="D55" i="14689"/>
  <c r="F15" i="14661" s="1"/>
  <c r="E55" i="14689"/>
  <c r="G15" i="14661" s="1"/>
  <c r="F55" i="14689"/>
  <c r="H15" i="14661" s="1"/>
  <c r="C20" i="14689"/>
  <c r="E9" i="14661" s="1"/>
  <c r="D20" i="14689"/>
  <c r="F9" i="14661" s="1"/>
  <c r="E20" i="14689"/>
  <c r="G9" i="14661" s="1"/>
  <c r="F20" i="14689"/>
  <c r="H9" i="14661" s="1"/>
  <c r="C26" i="14689"/>
  <c r="E10" i="14661" s="1"/>
  <c r="D26" i="14689"/>
  <c r="F10" i="14661" s="1"/>
  <c r="E26" i="14689"/>
  <c r="G10" i="14661" s="1"/>
  <c r="F26" i="14689"/>
  <c r="H10" i="14661" s="1"/>
  <c r="C37" i="14689"/>
  <c r="E12" i="14661" s="1"/>
  <c r="D37" i="14689"/>
  <c r="F12" i="14661" s="1"/>
  <c r="E37" i="14689"/>
  <c r="G12" i="14661" s="1"/>
  <c r="F37" i="14689"/>
  <c r="H12" i="14661" s="1"/>
  <c r="C43" i="14689"/>
  <c r="E13" i="14661" s="1"/>
  <c r="D43" i="14689"/>
  <c r="F13" i="14661" s="1"/>
  <c r="E43" i="14689"/>
  <c r="G13" i="14661" s="1"/>
  <c r="F43" i="14689"/>
  <c r="H13" i="14661" s="1"/>
  <c r="C50" i="14689"/>
  <c r="E14" i="14661" s="1"/>
  <c r="D50" i="14689"/>
  <c r="E50" i="14689"/>
  <c r="G14" i="14661" s="1"/>
  <c r="F50" i="14689"/>
  <c r="H14" i="14661" s="1"/>
  <c r="C63" i="14689"/>
  <c r="D63" i="14689"/>
  <c r="E63" i="14689"/>
  <c r="F63" i="14689"/>
  <c r="A84" i="14648"/>
  <c r="A6" i="14648"/>
  <c r="D62" i="14665"/>
  <c r="B53" i="14665"/>
  <c r="B23" i="14622"/>
  <c r="I8" i="14665"/>
  <c r="I6" i="14665"/>
  <c r="D54" i="14665"/>
  <c r="D55" i="14665" s="1"/>
  <c r="D56" i="14665" s="1"/>
  <c r="D57" i="14665" s="1"/>
  <c r="G54" i="14665"/>
  <c r="G55" i="14665" s="1"/>
  <c r="G56" i="14665" s="1"/>
  <c r="G57" i="14665" s="1"/>
  <c r="E54" i="14665"/>
  <c r="E55" i="14665" s="1"/>
  <c r="E56" i="14665" s="1"/>
  <c r="E57" i="14665" s="1"/>
  <c r="F54" i="14665"/>
  <c r="H54" i="14665"/>
  <c r="H55" i="14665" s="1"/>
  <c r="H56" i="14665" s="1"/>
  <c r="H57" i="14665" s="1"/>
  <c r="I54" i="14665"/>
  <c r="I55" i="14665" s="1"/>
  <c r="I56" i="14665" s="1"/>
  <c r="I57" i="14665" s="1"/>
  <c r="J54" i="14665"/>
  <c r="J55" i="14665" s="1"/>
  <c r="J56" i="14665" s="1"/>
  <c r="J57" i="14665" s="1"/>
  <c r="K54" i="14665"/>
  <c r="K55" i="14665" s="1"/>
  <c r="K56" i="14665" s="1"/>
  <c r="K57" i="14665" s="1"/>
  <c r="L54" i="14665"/>
  <c r="L55" i="14665" s="1"/>
  <c r="L56" i="14665" s="1"/>
  <c r="L57" i="14665" s="1"/>
  <c r="M54" i="14665"/>
  <c r="M55" i="14665" s="1"/>
  <c r="M56" i="14665" s="1"/>
  <c r="M57" i="14665" s="1"/>
  <c r="C54" i="14665"/>
  <c r="F18" i="14667"/>
  <c r="B24" i="14622"/>
  <c r="D6" i="8"/>
  <c r="D38" i="14665"/>
  <c r="L18" i="14667"/>
  <c r="J18" i="14667"/>
  <c r="H18" i="14667"/>
  <c r="L10" i="14706"/>
  <c r="J10" i="14706"/>
  <c r="H10" i="14706"/>
  <c r="F10" i="14706"/>
  <c r="B35" i="14690"/>
  <c r="B34" i="14690"/>
  <c r="B32" i="14690"/>
  <c r="H39" i="14705"/>
  <c r="B31" i="14690" s="1"/>
  <c r="C21" i="14690" s="1"/>
  <c r="B16" i="14692"/>
  <c r="C16" i="14692"/>
  <c r="D16" i="14692"/>
  <c r="B61" i="14690"/>
  <c r="B62" i="14690"/>
  <c r="B16" i="14694"/>
  <c r="B58" i="14690"/>
  <c r="H47" i="14705"/>
  <c r="B57" i="14690" s="1"/>
  <c r="C23" i="14690" s="1"/>
  <c r="B59" i="14690"/>
  <c r="C16" i="14694"/>
  <c r="D16" i="14694"/>
  <c r="B15" i="14694"/>
  <c r="C15" i="14694"/>
  <c r="D15" i="14694"/>
  <c r="B23" i="14693"/>
  <c r="D19" i="14705" s="1"/>
  <c r="D9" i="14705" s="1"/>
  <c r="B25" i="14693"/>
  <c r="B22" i="14622"/>
  <c r="B9" i="14622"/>
  <c r="B7" i="14622" s="1"/>
  <c r="A2" i="14706"/>
  <c r="F33" i="14665"/>
  <c r="E24" i="14665"/>
  <c r="D30" i="4129"/>
  <c r="C15" i="14634"/>
  <c r="C15" i="14639"/>
  <c r="C15" i="14674"/>
  <c r="C15" i="14675"/>
  <c r="C15" i="14628"/>
  <c r="D32" i="4129"/>
  <c r="A32" i="4129"/>
  <c r="D31" i="4129"/>
  <c r="I32" i="14653"/>
  <c r="I45" i="14653" s="1"/>
  <c r="I58" i="14653" s="1"/>
  <c r="I71" i="14653" s="1"/>
  <c r="E32" i="14653"/>
  <c r="E45" i="14653" s="1"/>
  <c r="E58" i="14653" s="1"/>
  <c r="E71" i="14653" s="1"/>
  <c r="M32" i="14653"/>
  <c r="M45" i="14653" s="1"/>
  <c r="M58" i="14653" s="1"/>
  <c r="M71" i="14653" s="1"/>
  <c r="B32" i="14653"/>
  <c r="B45" i="14653" s="1"/>
  <c r="B58" i="14653" s="1"/>
  <c r="B71" i="14653" s="1"/>
  <c r="C32" i="14653"/>
  <c r="C45" i="14653" s="1"/>
  <c r="D32" i="14653"/>
  <c r="F32" i="14653"/>
  <c r="G32" i="14653"/>
  <c r="H32" i="14653"/>
  <c r="H45" i="14653" s="1"/>
  <c r="H58" i="14653" s="1"/>
  <c r="H71" i="14653" s="1"/>
  <c r="J32" i="14653"/>
  <c r="J45" i="14653" s="1"/>
  <c r="J58" i="14653" s="1"/>
  <c r="J71" i="14653" s="1"/>
  <c r="L32" i="14653"/>
  <c r="G37" i="14686" a="1"/>
  <c r="G37" i="14686" s="1"/>
  <c r="E49" i="14690"/>
  <c r="F49" i="14690" s="1"/>
  <c r="E50" i="14690"/>
  <c r="F50" i="14690" s="1"/>
  <c r="G50" i="14690" s="1"/>
  <c r="H50" i="14690" s="1"/>
  <c r="A27" i="4129"/>
  <c r="A11" i="14628"/>
  <c r="C31" i="14689"/>
  <c r="E11" i="14661" s="1"/>
  <c r="D31" i="14689"/>
  <c r="F11" i="14661" s="1"/>
  <c r="E31" i="14689"/>
  <c r="G11" i="14661" s="1"/>
  <c r="F31" i="14689"/>
  <c r="A17" i="14628"/>
  <c r="A24" i="14628"/>
  <c r="K8" i="14657"/>
  <c r="A106" i="14698"/>
  <c r="A106" i="14700"/>
  <c r="A106" i="14701"/>
  <c r="A106" i="14702"/>
  <c r="A106" i="14704"/>
  <c r="A106" i="14703"/>
  <c r="A6" i="14647" a="1"/>
  <c r="G6" i="14647" s="1"/>
  <c r="A56" i="14652" a="1"/>
  <c r="B56" i="14652" s="1"/>
  <c r="J32" i="14652" a="1"/>
  <c r="H32" i="14652" a="1"/>
  <c r="F32" i="14652" a="1"/>
  <c r="D32" i="14652" a="1"/>
  <c r="A93" i="14687"/>
  <c r="A74" i="14687"/>
  <c r="A55" i="14687"/>
  <c r="A84" i="14687"/>
  <c r="A82" i="14687"/>
  <c r="A65" i="14687"/>
  <c r="A63" i="14687"/>
  <c r="A46" i="14687"/>
  <c r="A44" i="14687"/>
  <c r="A36" i="14687"/>
  <c r="A25" i="14687"/>
  <c r="A27" i="14687"/>
  <c r="A95" i="14687" a="1"/>
  <c r="A76" i="14687" a="1"/>
  <c r="A57" i="14687" a="1"/>
  <c r="A61" i="14687" s="1"/>
  <c r="A38" i="14687" a="1"/>
  <c r="A40" i="14687" s="1"/>
  <c r="A27" i="14694" a="1"/>
  <c r="A28" i="14694" s="1"/>
  <c r="A60" i="14692" a="1"/>
  <c r="A63" i="14692" s="1"/>
  <c r="A32" i="14692"/>
  <c r="A28" i="14692" a="1"/>
  <c r="A29" i="14692" s="1"/>
  <c r="A13" i="11"/>
  <c r="A14" i="11"/>
  <c r="A9" i="11"/>
  <c r="B53" i="14689" a="1"/>
  <c r="B46" i="14689" a="1"/>
  <c r="B40" i="14689" a="1"/>
  <c r="B42" i="14689" s="1"/>
  <c r="B34" i="14689" a="1"/>
  <c r="B34" i="14689" s="1"/>
  <c r="B29" i="14689" a="1"/>
  <c r="B23" i="14689" a="1"/>
  <c r="B25" i="14689" s="1"/>
  <c r="J33" i="14685"/>
  <c r="C24" i="14625" a="1"/>
  <c r="C24" i="14633" a="1"/>
  <c r="E24" i="14633" s="1"/>
  <c r="C24" i="14641" a="1"/>
  <c r="E24" i="14641" s="1"/>
  <c r="C24" i="14676" a="1"/>
  <c r="C24" i="14677" a="1"/>
  <c r="C8" i="14652"/>
  <c r="C9" i="14652" s="1"/>
  <c r="C10" i="14652" s="1"/>
  <c r="C11" i="14652" s="1"/>
  <c r="C12" i="14652" s="1"/>
  <c r="C13" i="14652" s="1"/>
  <c r="C14" i="14652" s="1"/>
  <c r="D7" i="14652" s="1" a="1"/>
  <c r="B40" i="14622"/>
  <c r="B41" i="14622"/>
  <c r="J46" i="14652" a="1"/>
  <c r="J46" i="14652" s="1"/>
  <c r="J47" i="14652" a="1"/>
  <c r="J47" i="14652" s="1"/>
  <c r="J48" i="14652" a="1"/>
  <c r="J48" i="14652" s="1"/>
  <c r="J49" i="14652" a="1"/>
  <c r="J49" i="14652" s="1"/>
  <c r="J50" i="14652" a="1"/>
  <c r="J50" i="14652" s="1"/>
  <c r="J51" i="14652" a="1"/>
  <c r="J51" i="14652" s="1"/>
  <c r="J52" i="14652" a="1"/>
  <c r="J52" i="14652" s="1"/>
  <c r="J45" i="14652" a="1"/>
  <c r="J45" i="14652" s="1"/>
  <c r="B71" i="14690"/>
  <c r="B72" i="14690"/>
  <c r="B69" i="14690"/>
  <c r="D53" i="14705"/>
  <c r="O12" i="14696"/>
  <c r="C10" i="14689"/>
  <c r="E16" i="14695" a="1"/>
  <c r="F16" i="14695" s="1"/>
  <c r="D16" i="14695"/>
  <c r="B16" i="14695"/>
  <c r="C16" i="14695"/>
  <c r="E16" i="14694" a="1"/>
  <c r="F16" i="14694" s="1"/>
  <c r="B15" i="14695"/>
  <c r="B67" i="14690"/>
  <c r="B56" i="14690"/>
  <c r="B30" i="14690"/>
  <c r="B20" i="14622"/>
  <c r="B21" i="14622"/>
  <c r="B16" i="14622"/>
  <c r="E1" i="14705"/>
  <c r="D49" i="14705"/>
  <c r="D48" i="14705"/>
  <c r="E23" i="14690" a="1"/>
  <c r="E23" i="14690" s="1"/>
  <c r="E21" i="14690" a="1"/>
  <c r="E21" i="14690" s="1"/>
  <c r="E25" i="14690" s="1"/>
  <c r="B48" i="14686" a="1"/>
  <c r="B48" i="14686" s="1"/>
  <c r="B30" i="14686" a="1"/>
  <c r="B30" i="14686" s="1"/>
  <c r="B29" i="14686" a="1"/>
  <c r="B29" i="14686" s="1"/>
  <c r="A20" i="14652"/>
  <c r="A21" i="14652"/>
  <c r="A22" i="14652"/>
  <c r="A23" i="14652"/>
  <c r="D11" i="14648"/>
  <c r="E11" i="14648"/>
  <c r="F11" i="14648"/>
  <c r="G11" i="14648"/>
  <c r="H11" i="14648"/>
  <c r="I11" i="14648"/>
  <c r="J11" i="14648"/>
  <c r="K11" i="14648"/>
  <c r="L11" i="14648"/>
  <c r="M11" i="14648"/>
  <c r="N11" i="14648"/>
  <c r="C11" i="14648"/>
  <c r="N8" i="14699"/>
  <c r="P8" i="14699" s="1"/>
  <c r="Q8" i="14699" s="1"/>
  <c r="N9" i="14699"/>
  <c r="O9" i="14699" s="1" a="1"/>
  <c r="O9" i="14699" s="1"/>
  <c r="N10" i="14699"/>
  <c r="N11" i="14699"/>
  <c r="O11" i="14699" s="1" a="1"/>
  <c r="O11" i="14699" s="1"/>
  <c r="N12" i="14699"/>
  <c r="N13" i="14699"/>
  <c r="O13" i="14699" s="1" a="1"/>
  <c r="O13" i="14699" s="1"/>
  <c r="N14" i="14699"/>
  <c r="N15" i="14699"/>
  <c r="A67" i="14648" a="1"/>
  <c r="A69" i="14648" s="1"/>
  <c r="A52" i="14648" a="1"/>
  <c r="A53" i="14648" s="1"/>
  <c r="A37" i="14648" a="1"/>
  <c r="A38" i="14648" s="1"/>
  <c r="A22" i="14648" a="1"/>
  <c r="A105" i="14648" a="1"/>
  <c r="A100" i="14648" a="1"/>
  <c r="A101" i="14648" s="1"/>
  <c r="A95" i="14648" a="1"/>
  <c r="A90" i="14648" a="1"/>
  <c r="C7" i="14647"/>
  <c r="C24" i="14647" s="1"/>
  <c r="C39" i="14647" s="1"/>
  <c r="D7" i="14647"/>
  <c r="D24" i="14647" s="1"/>
  <c r="D39" i="14647" s="1"/>
  <c r="E7" i="14647"/>
  <c r="E24" i="14647" s="1"/>
  <c r="E39" i="14647" s="1"/>
  <c r="E12" i="14622" a="1"/>
  <c r="E12" i="14622" s="1"/>
  <c r="E34" i="14686"/>
  <c r="C39" i="4129"/>
  <c r="B17" i="14659"/>
  <c r="D38" i="4129"/>
  <c r="D17" i="14659" s="1"/>
  <c r="B18" i="14659" s="1"/>
  <c r="F18" i="14659" s="1"/>
  <c r="C34" i="14686"/>
  <c r="E13" i="14665"/>
  <c r="C79" i="14649" s="1"/>
  <c r="F79" i="14649" s="1"/>
  <c r="C19" i="14652"/>
  <c r="E19" i="14652" s="1"/>
  <c r="K13" i="14657"/>
  <c r="K14" i="14657"/>
  <c r="A24" i="14665"/>
  <c r="A25" i="14665"/>
  <c r="A26" i="14665"/>
  <c r="A27" i="14665"/>
  <c r="A28" i="14665"/>
  <c r="A29" i="14665"/>
  <c r="A30" i="14665"/>
  <c r="A31" i="14665"/>
  <c r="A2" i="14704"/>
  <c r="F24" i="14665"/>
  <c r="K109" i="14700" s="1"/>
  <c r="G4" i="14685"/>
  <c r="G33" i="14685" s="1"/>
  <c r="H55" i="14647"/>
  <c r="H73" i="14647" s="1"/>
  <c r="H88" i="14647" s="1"/>
  <c r="G55" i="14647"/>
  <c r="G73" i="14647" s="1"/>
  <c r="G88" i="14647" s="1"/>
  <c r="F55" i="14647"/>
  <c r="E55" i="14647"/>
  <c r="E73" i="14647" s="1"/>
  <c r="E88" i="14647" s="1"/>
  <c r="D55" i="14647"/>
  <c r="D73" i="14647" s="1"/>
  <c r="D88" i="14647" s="1"/>
  <c r="A64" i="14622"/>
  <c r="B64" i="14622"/>
  <c r="A65" i="14622"/>
  <c r="B65" i="14622"/>
  <c r="A66" i="14622"/>
  <c r="B66" i="14622"/>
  <c r="B63" i="14622"/>
  <c r="A63" i="14622"/>
  <c r="A107" i="14665"/>
  <c r="B107" i="14665"/>
  <c r="A108" i="14665"/>
  <c r="B108" i="14665"/>
  <c r="A109" i="14665"/>
  <c r="B109" i="14665"/>
  <c r="B106" i="14665"/>
  <c r="A106" i="14665"/>
  <c r="C18" i="4129"/>
  <c r="A21" i="14648" s="1"/>
  <c r="A2" i="14703"/>
  <c r="B86" i="14665"/>
  <c r="B85" i="14665"/>
  <c r="A2" i="14702"/>
  <c r="A2" i="14701"/>
  <c r="A2" i="14700"/>
  <c r="A2" i="14699"/>
  <c r="B45" i="14652"/>
  <c r="I45" i="14652" s="1"/>
  <c r="K45" i="14652" s="1"/>
  <c r="D8" i="14647"/>
  <c r="D25" i="14647" s="1"/>
  <c r="D40" i="14647" s="1"/>
  <c r="H8" i="14647"/>
  <c r="H25" i="14647" s="1"/>
  <c r="H40" i="14647" s="1"/>
  <c r="A2" i="14698"/>
  <c r="A16" i="7"/>
  <c r="A16" i="14669" s="1"/>
  <c r="E7" i="14652"/>
  <c r="A102" i="14665"/>
  <c r="C6" i="14686"/>
  <c r="D6" i="14686" s="1"/>
  <c r="C7" i="14686"/>
  <c r="D9" i="14686"/>
  <c r="E9" i="14686" s="1"/>
  <c r="F9" i="14686" s="1"/>
  <c r="C10" i="14686"/>
  <c r="D10" i="14686" s="1"/>
  <c r="E10" i="14686" s="1"/>
  <c r="F10" i="14686" s="1"/>
  <c r="C11" i="14686"/>
  <c r="D11" i="14686" s="1"/>
  <c r="E11" i="14686" s="1"/>
  <c r="F11" i="14686" s="1"/>
  <c r="C12" i="14686"/>
  <c r="D12" i="14686" s="1"/>
  <c r="E12" i="14686" s="1"/>
  <c r="F12" i="14686" s="1"/>
  <c r="C13" i="14686"/>
  <c r="D13" i="14686" s="1"/>
  <c r="E13" i="14686" s="1"/>
  <c r="F13" i="14686" s="1"/>
  <c r="C25" i="14686"/>
  <c r="D25" i="14686" s="1"/>
  <c r="E25" i="14686" s="1"/>
  <c r="F25" i="14686" s="1"/>
  <c r="C26" i="14686"/>
  <c r="D26" i="14686" s="1"/>
  <c r="E26" i="14686" s="1"/>
  <c r="F26" i="14686" s="1"/>
  <c r="A24" i="14686"/>
  <c r="A25" i="14686"/>
  <c r="A26" i="14686"/>
  <c r="C24" i="14686"/>
  <c r="D24" i="14686" s="1"/>
  <c r="E24" i="14686" s="1"/>
  <c r="F24" i="14686" s="1"/>
  <c r="C20" i="14686"/>
  <c r="D20" i="14686" s="1"/>
  <c r="E20" i="14686" s="1"/>
  <c r="F20" i="14686" s="1"/>
  <c r="C21" i="14686"/>
  <c r="C22" i="14686"/>
  <c r="D22" i="14686" s="1"/>
  <c r="E22" i="14686" s="1"/>
  <c r="F22" i="14686" s="1"/>
  <c r="C23" i="14686"/>
  <c r="D23" i="14686" s="1"/>
  <c r="E23" i="14686" s="1"/>
  <c r="F23" i="14686" s="1"/>
  <c r="C54" i="14686"/>
  <c r="D54" i="14686" s="1"/>
  <c r="E54" i="14686" s="1"/>
  <c r="F54" i="14686" s="1"/>
  <c r="C44" i="14686"/>
  <c r="D44" i="14686" s="1"/>
  <c r="E44" i="14686" s="1"/>
  <c r="F44" i="14686" s="1"/>
  <c r="C43" i="14686"/>
  <c r="D43" i="14686" s="1"/>
  <c r="E43" i="14686" s="1"/>
  <c r="F43" i="14686" s="1"/>
  <c r="B14" i="14686"/>
  <c r="B33" i="14649"/>
  <c r="C29" i="14696"/>
  <c r="B23" i="14696"/>
  <c r="B25" i="14696" s="1"/>
  <c r="B27" i="14696" s="1"/>
  <c r="C61" i="14690"/>
  <c r="D61" i="14690"/>
  <c r="C15" i="14695"/>
  <c r="D15" i="14695"/>
  <c r="C71" i="14690"/>
  <c r="D71" i="14690"/>
  <c r="B13" i="14648"/>
  <c r="I29" i="4129"/>
  <c r="J30" i="4129" s="1"/>
  <c r="D5" i="14681" s="1"/>
  <c r="A34" i="14662"/>
  <c r="A35" i="14662" s="1"/>
  <c r="A36" i="14662" s="1"/>
  <c r="A37" i="14662" s="1"/>
  <c r="A38" i="14662" s="1"/>
  <c r="A39" i="14662" s="1"/>
  <c r="B31" i="14696"/>
  <c r="E7" i="14661"/>
  <c r="F7" i="14661"/>
  <c r="D10" i="14689"/>
  <c r="G7" i="14661"/>
  <c r="E10" i="14689"/>
  <c r="H7" i="14661"/>
  <c r="F10" i="14689"/>
  <c r="B85" i="14648"/>
  <c r="B14" i="14648"/>
  <c r="B29" i="14648" s="1"/>
  <c r="B44" i="14648" s="1"/>
  <c r="B59" i="14648" s="1"/>
  <c r="B74" i="14648" s="1"/>
  <c r="B12" i="14648"/>
  <c r="A2" i="14696"/>
  <c r="B70" i="14684"/>
  <c r="E52" i="14690"/>
  <c r="A43" i="14622"/>
  <c r="A19" i="14622"/>
  <c r="A20" i="14622"/>
  <c r="B37" i="14643"/>
  <c r="B25" i="4129"/>
  <c r="C11" i="14690" s="1"/>
  <c r="E35" i="14690"/>
  <c r="A13" i="14662"/>
  <c r="A14" i="14662" s="1"/>
  <c r="A15" i="14662" s="1"/>
  <c r="A23" i="14662"/>
  <c r="A24" i="14662" s="1"/>
  <c r="A25" i="14662" s="1"/>
  <c r="A26" i="14662" s="1"/>
  <c r="A27" i="14662" s="1"/>
  <c r="A8" i="14662"/>
  <c r="A9" i="14662" s="1"/>
  <c r="A10" i="14662" s="1"/>
  <c r="A12" i="14662"/>
  <c r="A22" i="14662"/>
  <c r="A29" i="14662"/>
  <c r="A30" i="14662" s="1"/>
  <c r="A31" i="14662" s="1"/>
  <c r="A32" i="14662" s="1"/>
  <c r="A33" i="14662" s="1"/>
  <c r="E61" i="14690"/>
  <c r="F61" i="14690"/>
  <c r="G61" i="14690"/>
  <c r="H61" i="14690"/>
  <c r="E71" i="14690"/>
  <c r="F71" i="14690"/>
  <c r="G71" i="14690"/>
  <c r="H71" i="14690"/>
  <c r="C12" i="14622"/>
  <c r="B43" i="14622" s="1" a="1"/>
  <c r="H7" i="14647"/>
  <c r="G7" i="14647"/>
  <c r="G24" i="14647" s="1"/>
  <c r="G39" i="14647" s="1"/>
  <c r="F7" i="14647"/>
  <c r="F24" i="14647" s="1"/>
  <c r="F39" i="14647" s="1"/>
  <c r="F8" i="14647"/>
  <c r="F25" i="14647" s="1"/>
  <c r="F40" i="14647" s="1"/>
  <c r="C8" i="14647"/>
  <c r="C25" i="14647" s="1"/>
  <c r="C40" i="14647" s="1"/>
  <c r="E56" i="14647"/>
  <c r="E74" i="14647" s="1"/>
  <c r="E89" i="14647" s="1"/>
  <c r="D56" i="14647"/>
  <c r="C55" i="14647"/>
  <c r="C73" i="14647" s="1"/>
  <c r="C88" i="14647" s="1"/>
  <c r="C56" i="14647"/>
  <c r="D18" i="14665"/>
  <c r="E18" i="14665" s="1"/>
  <c r="F18" i="14665" s="1"/>
  <c r="A19" i="14686"/>
  <c r="A47" i="14686"/>
  <c r="A48" i="14686"/>
  <c r="E60" i="14690"/>
  <c r="F60" i="14690" s="1"/>
  <c r="G60" i="14690" s="1"/>
  <c r="H60" i="14690" s="1"/>
  <c r="E58" i="14690"/>
  <c r="F58" i="14690" s="1"/>
  <c r="G58" i="14690" s="1"/>
  <c r="H58" i="14690" s="1"/>
  <c r="E70" i="14690"/>
  <c r="F70" i="14690" s="1"/>
  <c r="G70" i="14690" s="1"/>
  <c r="H70" i="14690" s="1"/>
  <c r="E69" i="14690"/>
  <c r="F69" i="14690" s="1"/>
  <c r="G69" i="14690" s="1"/>
  <c r="H69" i="14690" s="1"/>
  <c r="D42" i="14665"/>
  <c r="N64" i="14645"/>
  <c r="F37" i="14706" s="1"/>
  <c r="N74" i="14645"/>
  <c r="N84" i="14645"/>
  <c r="N94" i="14645"/>
  <c r="N104" i="14645"/>
  <c r="D65" i="14690"/>
  <c r="E81" i="14649" s="1"/>
  <c r="C37" i="4129"/>
  <c r="A13" i="14659" s="1"/>
  <c r="E36" i="14690"/>
  <c r="E32" i="14690"/>
  <c r="B39" i="14645"/>
  <c r="N39" i="14645" s="1"/>
  <c r="B86" i="14645"/>
  <c r="C86" i="14645"/>
  <c r="D86" i="14645"/>
  <c r="E86" i="14645"/>
  <c r="F86" i="14645"/>
  <c r="G86" i="14645"/>
  <c r="I86" i="14645"/>
  <c r="J86" i="14645"/>
  <c r="K86" i="14645"/>
  <c r="L86" i="14645"/>
  <c r="B50" i="14645"/>
  <c r="N50" i="14645" s="1"/>
  <c r="E33" i="14690"/>
  <c r="F33" i="14690" s="1"/>
  <c r="G33" i="14690" s="1"/>
  <c r="H33" i="14690" s="1"/>
  <c r="G32" i="14690"/>
  <c r="H32" i="14690" s="1"/>
  <c r="B96" i="14645"/>
  <c r="C96" i="14645"/>
  <c r="D96" i="14645"/>
  <c r="E96" i="14645"/>
  <c r="F96" i="14645"/>
  <c r="G96" i="14645"/>
  <c r="I96" i="14645"/>
  <c r="J96" i="14645"/>
  <c r="K96" i="14645"/>
  <c r="L96" i="14645"/>
  <c r="A8" i="14628"/>
  <c r="A24" i="14695"/>
  <c r="A24" i="14694"/>
  <c r="A59" i="14694" s="1" a="1"/>
  <c r="A62" i="14694" s="1"/>
  <c r="C64" i="14690"/>
  <c r="D64" i="14690"/>
  <c r="E64" i="14690"/>
  <c r="F64" i="14690"/>
  <c r="G64" i="14690"/>
  <c r="H64" i="14690"/>
  <c r="M17" i="14662"/>
  <c r="M18" i="14662"/>
  <c r="M19" i="14662"/>
  <c r="A2" i="14695"/>
  <c r="A2" i="14694"/>
  <c r="D23" i="14690"/>
  <c r="D21" i="14690"/>
  <c r="A2" i="14693"/>
  <c r="A22" i="14665"/>
  <c r="B46" i="14652"/>
  <c r="I46" i="14652" s="1"/>
  <c r="K46" i="14652" s="1"/>
  <c r="B57" i="14652"/>
  <c r="I57" i="14652" s="1"/>
  <c r="K57" i="14652" s="1"/>
  <c r="A24" i="14652"/>
  <c r="A19" i="14652"/>
  <c r="A29" i="4129"/>
  <c r="D21" i="4129"/>
  <c r="A18" i="14683"/>
  <c r="D16" i="14649"/>
  <c r="E16" i="14649"/>
  <c r="F16" i="14649"/>
  <c r="G16" i="14649"/>
  <c r="A3" i="14649"/>
  <c r="B10" i="14649"/>
  <c r="A9" i="14649"/>
  <c r="A2" i="14692"/>
  <c r="C39" i="14686"/>
  <c r="D39" i="14686" s="1"/>
  <c r="E39" i="14686" s="1"/>
  <c r="F39" i="14686" s="1"/>
  <c r="A2" i="14690"/>
  <c r="B3" i="14649"/>
  <c r="B4" i="14649"/>
  <c r="B6" i="14649"/>
  <c r="B8" i="14649"/>
  <c r="B9" i="14649"/>
  <c r="B91" i="14649"/>
  <c r="A2" i="4128"/>
  <c r="B2" i="14643"/>
  <c r="D38" i="14643"/>
  <c r="A2" i="14684"/>
  <c r="B106" i="14645"/>
  <c r="C106" i="14645"/>
  <c r="D106" i="14645"/>
  <c r="E106" i="14645"/>
  <c r="F106" i="14645"/>
  <c r="G106" i="14645"/>
  <c r="A2" i="14677"/>
  <c r="I106" i="14645"/>
  <c r="J106" i="14645"/>
  <c r="K106" i="14645"/>
  <c r="L106" i="14645"/>
  <c r="O28" i="14677"/>
  <c r="A2" i="14676"/>
  <c r="O28" i="14676"/>
  <c r="A2" i="14641"/>
  <c r="O28" i="14641"/>
  <c r="A2" i="14633"/>
  <c r="O28" i="14633"/>
  <c r="A2" i="14625"/>
  <c r="O28" i="14625"/>
  <c r="A2" i="14648"/>
  <c r="O91" i="14648"/>
  <c r="O96" i="14648"/>
  <c r="O101" i="14648"/>
  <c r="O106" i="14648"/>
  <c r="A2" i="14682"/>
  <c r="A20" i="14686"/>
  <c r="A21" i="14686"/>
  <c r="A22" i="14686"/>
  <c r="A23" i="14686"/>
  <c r="A1" i="14628"/>
  <c r="A1" i="14634" s="1"/>
  <c r="A2" i="7"/>
  <c r="A2" i="14675" s="1"/>
  <c r="A4" i="14628"/>
  <c r="A5" i="14628"/>
  <c r="A6" i="14628"/>
  <c r="A7" i="14628"/>
  <c r="A12" i="14628"/>
  <c r="A13" i="14628"/>
  <c r="A19" i="14628"/>
  <c r="A20" i="14628"/>
  <c r="A21" i="14628"/>
  <c r="A22" i="14628"/>
  <c r="A26" i="14628"/>
  <c r="A26" i="14674" s="1"/>
  <c r="B30" i="14628"/>
  <c r="B30" i="14674" s="1"/>
  <c r="O7" i="14628"/>
  <c r="A1" i="14673"/>
  <c r="A2" i="14673"/>
  <c r="A1" i="14672"/>
  <c r="A2" i="14672"/>
  <c r="A1" i="14636"/>
  <c r="A2" i="14636"/>
  <c r="A1" i="14629"/>
  <c r="A2" i="14629"/>
  <c r="A2" i="14624"/>
  <c r="A2" i="14679"/>
  <c r="A2" i="14678"/>
  <c r="A2" i="14638"/>
  <c r="A2" i="14632"/>
  <c r="A2" i="14623"/>
  <c r="K10" i="14657"/>
  <c r="K11" i="14657"/>
  <c r="K12" i="14657"/>
  <c r="A2" i="14659"/>
  <c r="A35" i="14659"/>
  <c r="A35" i="14617" s="1"/>
  <c r="A2" i="14617"/>
  <c r="A1" i="14683"/>
  <c r="A33" i="14683"/>
  <c r="A1" i="14669"/>
  <c r="A2" i="14669"/>
  <c r="A28" i="14669"/>
  <c r="A29" i="14669"/>
  <c r="A1" i="14668"/>
  <c r="A2" i="14668"/>
  <c r="A28" i="14668"/>
  <c r="A29" i="14668"/>
  <c r="A1" i="14671"/>
  <c r="A2" i="14671"/>
  <c r="A1" i="14670"/>
  <c r="A2" i="14670"/>
  <c r="A1" i="14640"/>
  <c r="A2" i="14640"/>
  <c r="A1" i="14631"/>
  <c r="A2" i="14631"/>
  <c r="A2" i="8"/>
  <c r="A1" i="14637"/>
  <c r="A2" i="14637"/>
  <c r="A28" i="14637"/>
  <c r="A29" i="14637"/>
  <c r="A1" i="14630"/>
  <c r="A2" i="14630"/>
  <c r="A28" i="14630"/>
  <c r="A29" i="14630"/>
  <c r="A29" i="7"/>
  <c r="A1" i="14626"/>
  <c r="A1" i="14647"/>
  <c r="A2" i="14653"/>
  <c r="A17" i="14653"/>
  <c r="A30" i="14653" s="1"/>
  <c r="A43" i="14653" s="1"/>
  <c r="A56" i="14653" s="1"/>
  <c r="A69" i="14653" s="1"/>
  <c r="B27" i="14653"/>
  <c r="A3" i="14652"/>
  <c r="A25" i="14652"/>
  <c r="A26" i="14652"/>
  <c r="A2" i="14655"/>
  <c r="A2" i="14687"/>
  <c r="C4" i="14687"/>
  <c r="A2" i="14686"/>
  <c r="C40" i="14686"/>
  <c r="D40" i="14686" s="1"/>
  <c r="E40" i="14686" s="1"/>
  <c r="F40" i="14686" s="1"/>
  <c r="C41" i="14686"/>
  <c r="D41" i="14686" s="1"/>
  <c r="E41" i="14686" s="1"/>
  <c r="F41" i="14686" s="1"/>
  <c r="C42" i="14686"/>
  <c r="D42" i="14686" s="1"/>
  <c r="E42" i="14686" s="1"/>
  <c r="F42" i="14686" s="1"/>
  <c r="C53" i="14686"/>
  <c r="D53" i="14686" s="1"/>
  <c r="E53" i="14686" s="1"/>
  <c r="F53" i="14686" s="1"/>
  <c r="A2" i="14645"/>
  <c r="N8" i="14645"/>
  <c r="N9" i="14645"/>
  <c r="A15" i="14645"/>
  <c r="A35" i="14645" s="1"/>
  <c r="N18" i="14645"/>
  <c r="N19" i="14645"/>
  <c r="A25" i="14645"/>
  <c r="A46" i="14645" s="1"/>
  <c r="N28" i="14645"/>
  <c r="N29" i="14645"/>
  <c r="N38" i="14645"/>
  <c r="N40" i="14645"/>
  <c r="N49" i="14645"/>
  <c r="N51" i="14645"/>
  <c r="N62" i="14645"/>
  <c r="N63" i="14645"/>
  <c r="A69" i="14645"/>
  <c r="A89" i="14645" s="1"/>
  <c r="N72" i="14645"/>
  <c r="A79" i="14645"/>
  <c r="A99" i="14645" s="1"/>
  <c r="N82" i="14645"/>
  <c r="N85" i="14645"/>
  <c r="N92" i="14645"/>
  <c r="N95" i="14645"/>
  <c r="N102" i="14645"/>
  <c r="N105" i="14645"/>
  <c r="A2" i="11"/>
  <c r="A2" i="14667"/>
  <c r="A2" i="14661"/>
  <c r="D4" i="14661"/>
  <c r="A2" i="14622"/>
  <c r="C11" i="14622"/>
  <c r="A44" i="14622"/>
  <c r="A2" i="14689"/>
  <c r="A2" i="14685"/>
  <c r="K6" i="14685"/>
  <c r="K7" i="14685"/>
  <c r="K8" i="14685"/>
  <c r="K13" i="14685"/>
  <c r="K14" i="14685"/>
  <c r="K15" i="14685"/>
  <c r="K16" i="14685"/>
  <c r="K17" i="14685"/>
  <c r="K18" i="14685"/>
  <c r="K23" i="14685"/>
  <c r="K24" i="14685"/>
  <c r="K25" i="14685"/>
  <c r="K29" i="14685"/>
  <c r="K30" i="14685"/>
  <c r="K34" i="14685"/>
  <c r="K35" i="14685"/>
  <c r="K36" i="14685"/>
  <c r="K40" i="14685"/>
  <c r="K41" i="14685"/>
  <c r="K42" i="14685"/>
  <c r="K46" i="14685"/>
  <c r="K47" i="14685"/>
  <c r="K48" i="14685"/>
  <c r="K49" i="14685"/>
  <c r="K53" i="14685"/>
  <c r="K54" i="14685"/>
  <c r="K58" i="14685"/>
  <c r="K59" i="14685"/>
  <c r="K60" i="14685"/>
  <c r="K61" i="14685"/>
  <c r="A2" i="14665"/>
  <c r="E23" i="14665"/>
  <c r="F23" i="14665"/>
  <c r="E33" i="14665"/>
  <c r="B2" i="14662"/>
  <c r="J73" i="14662"/>
  <c r="J74" i="14662"/>
  <c r="O21" i="14641"/>
  <c r="O21" i="14676"/>
  <c r="O21" i="14677"/>
  <c r="D27" i="14653"/>
  <c r="E27" i="14653"/>
  <c r="F27" i="14653"/>
  <c r="G27" i="14653"/>
  <c r="H27" i="14653"/>
  <c r="I27" i="14653"/>
  <c r="J27" i="14653"/>
  <c r="K27" i="14653"/>
  <c r="L27" i="14653"/>
  <c r="M27" i="14653"/>
  <c r="C27" i="14653"/>
  <c r="F34" i="14690"/>
  <c r="G34" i="14690" s="1"/>
  <c r="H34" i="14690" s="1"/>
  <c r="G36" i="14690"/>
  <c r="H36" i="14690" s="1"/>
  <c r="B58" i="14652"/>
  <c r="I58" i="14652" s="1"/>
  <c r="K58" i="14652" s="1"/>
  <c r="H10" i="14647"/>
  <c r="H27" i="14647" s="1"/>
  <c r="H42" i="14647" s="1"/>
  <c r="C57" i="14647"/>
  <c r="C75" i="14647" s="1"/>
  <c r="C90" i="14647" s="1"/>
  <c r="D57" i="14647"/>
  <c r="E57" i="14647"/>
  <c r="E75" i="14647" s="1"/>
  <c r="E90" i="14647" s="1"/>
  <c r="E8" i="14647"/>
  <c r="E25" i="14647" s="1"/>
  <c r="E40" i="14647" s="1"/>
  <c r="C9" i="14647"/>
  <c r="F9" i="14647"/>
  <c r="F26" i="14647" s="1"/>
  <c r="F41" i="14647" s="1"/>
  <c r="G56" i="14647"/>
  <c r="G74" i="14647" s="1"/>
  <c r="G89" i="14647" s="1"/>
  <c r="G57" i="14647"/>
  <c r="G75" i="14647" s="1"/>
  <c r="G90" i="14647" s="1"/>
  <c r="F56" i="14647"/>
  <c r="F74" i="14647" s="1"/>
  <c r="F89" i="14647" s="1"/>
  <c r="H56" i="14647"/>
  <c r="H74" i="14647" s="1"/>
  <c r="H89" i="14647" s="1"/>
  <c r="G8" i="14647"/>
  <c r="G58" i="14647"/>
  <c r="G76" i="14647" s="1"/>
  <c r="G91" i="14647" s="1"/>
  <c r="E58" i="14647"/>
  <c r="E76" i="14647" s="1"/>
  <c r="D58" i="14647"/>
  <c r="H57" i="14647"/>
  <c r="H75" i="14647" s="1"/>
  <c r="H90" i="14647" s="1"/>
  <c r="F57" i="14647"/>
  <c r="F75" i="14647" s="1"/>
  <c r="F90" i="14647" s="1"/>
  <c r="B59" i="14652"/>
  <c r="I59" i="14652" s="1"/>
  <c r="K59" i="14652" s="1"/>
  <c r="F58" i="14647"/>
  <c r="F76" i="14647" s="1"/>
  <c r="F91" i="14647" s="1"/>
  <c r="F59" i="14647"/>
  <c r="F77" i="14647" s="1"/>
  <c r="F92" i="14647" s="1"/>
  <c r="B60" i="14652"/>
  <c r="I60" i="14652" s="1"/>
  <c r="K60" i="14652" s="1"/>
  <c r="H58" i="14647"/>
  <c r="H76" i="14647" s="1"/>
  <c r="H91" i="14647" s="1"/>
  <c r="D59" i="14647"/>
  <c r="D77" i="14647" s="1"/>
  <c r="D92" i="14647" s="1"/>
  <c r="D60" i="14647"/>
  <c r="D78" i="14647" s="1"/>
  <c r="D93" i="14647" s="1"/>
  <c r="E59" i="14647"/>
  <c r="E77" i="14647" s="1"/>
  <c r="E92" i="14647" s="1"/>
  <c r="E60" i="14647"/>
  <c r="E78" i="14647" s="1"/>
  <c r="E93" i="14647" s="1"/>
  <c r="G59" i="14647"/>
  <c r="G77" i="14647" s="1"/>
  <c r="G92" i="14647" s="1"/>
  <c r="G60" i="14647"/>
  <c r="G78" i="14647" s="1"/>
  <c r="G93" i="14647" s="1"/>
  <c r="E61" i="14647"/>
  <c r="E79" i="14647" s="1"/>
  <c r="E94" i="14647" s="1"/>
  <c r="F62" i="14647"/>
  <c r="F80" i="14647" s="1"/>
  <c r="F95" i="14647" s="1"/>
  <c r="H60" i="14647"/>
  <c r="H78" i="14647" s="1"/>
  <c r="H93" i="14647" s="1"/>
  <c r="B62" i="14652"/>
  <c r="I62" i="14652" s="1"/>
  <c r="K62" i="14652" s="1"/>
  <c r="H61" i="14647"/>
  <c r="H79" i="14647" s="1"/>
  <c r="H94" i="14647" s="1"/>
  <c r="D61" i="14647"/>
  <c r="D62" i="14647"/>
  <c r="D80" i="14647" s="1"/>
  <c r="D95" i="14647" s="1"/>
  <c r="H62" i="14647"/>
  <c r="F61" i="14647"/>
  <c r="F79" i="14647" s="1"/>
  <c r="F94" i="14647" s="1"/>
  <c r="D9" i="14647"/>
  <c r="D26" i="14647" s="1"/>
  <c r="D41" i="14647" s="1"/>
  <c r="D11" i="14647"/>
  <c r="D28" i="14647" s="1"/>
  <c r="D43" i="14647" s="1"/>
  <c r="D12" i="14647"/>
  <c r="D29" i="14647" s="1"/>
  <c r="D44" i="14647" s="1"/>
  <c r="F60" i="14647"/>
  <c r="F78" i="14647"/>
  <c r="F93" i="14647" s="1"/>
  <c r="G62" i="14647"/>
  <c r="G80" i="14647" s="1"/>
  <c r="G95" i="14647"/>
  <c r="G61" i="14647"/>
  <c r="G79" i="14647" s="1"/>
  <c r="G94" i="14647" s="1"/>
  <c r="E62" i="14647"/>
  <c r="E80" i="14647" s="1"/>
  <c r="B61" i="14652"/>
  <c r="I61" i="14652" s="1"/>
  <c r="K61" i="14652" s="1"/>
  <c r="H9" i="14647"/>
  <c r="C60" i="14647"/>
  <c r="D10" i="14647"/>
  <c r="D27" i="14647" s="1"/>
  <c r="H59" i="14647"/>
  <c r="H77" i="14647" s="1"/>
  <c r="H92" i="14647" s="1"/>
  <c r="C59" i="14647"/>
  <c r="C77" i="14647" s="1"/>
  <c r="C58" i="14647"/>
  <c r="C76" i="14647" s="1"/>
  <c r="C91" i="14647" s="1"/>
  <c r="C61" i="14647"/>
  <c r="C79" i="14647" s="1"/>
  <c r="C94" i="14647" s="1"/>
  <c r="B63" i="14652"/>
  <c r="I63" i="14652" s="1"/>
  <c r="K63" i="14652" s="1"/>
  <c r="C62" i="14647"/>
  <c r="C80" i="14647" s="1"/>
  <c r="B64" i="14652"/>
  <c r="I64" i="14652" s="1"/>
  <c r="K64" i="14652" s="1"/>
  <c r="A37" i="14648"/>
  <c r="A39" i="14648"/>
  <c r="G9" i="14647"/>
  <c r="G26" i="14647" s="1"/>
  <c r="G41" i="14647" s="1"/>
  <c r="F10" i="14647"/>
  <c r="F27" i="14647" s="1"/>
  <c r="F42" i="14647" s="1"/>
  <c r="E9" i="14647"/>
  <c r="B47" i="14652"/>
  <c r="I47" i="14652" s="1"/>
  <c r="K47" i="14652" s="1"/>
  <c r="C10" i="14647"/>
  <c r="E10" i="14647"/>
  <c r="E27" i="14647" s="1"/>
  <c r="E42" i="14647" s="1"/>
  <c r="G10" i="14647"/>
  <c r="G27" i="14647" s="1"/>
  <c r="G42" i="14647" s="1"/>
  <c r="B48" i="14652"/>
  <c r="I48" i="14652" s="1"/>
  <c r="K48" i="14652" s="1"/>
  <c r="H11" i="14647"/>
  <c r="F11" i="14647"/>
  <c r="F28" i="14647" s="1"/>
  <c r="F43" i="14647" s="1"/>
  <c r="D13" i="14647"/>
  <c r="D14" i="14647"/>
  <c r="D31" i="14647" s="1"/>
  <c r="B49" i="14652"/>
  <c r="I49" i="14652" s="1"/>
  <c r="K49" i="14652" s="1"/>
  <c r="C11" i="14647"/>
  <c r="C28" i="14647" s="1"/>
  <c r="H12" i="14647"/>
  <c r="H29" i="14647" s="1"/>
  <c r="H44" i="14647" s="1"/>
  <c r="G11" i="14647"/>
  <c r="G28" i="14647" s="1"/>
  <c r="G43" i="14647" s="1"/>
  <c r="F12" i="14647"/>
  <c r="E11" i="14647"/>
  <c r="E28" i="14647" s="1"/>
  <c r="E43" i="14647" s="1"/>
  <c r="B50" i="14652"/>
  <c r="I50" i="14652" s="1"/>
  <c r="K50" i="14652" s="1"/>
  <c r="C12" i="14647"/>
  <c r="C29" i="14647" s="1"/>
  <c r="C44" i="14647" s="1"/>
  <c r="H13" i="14647"/>
  <c r="H30" i="14647" s="1"/>
  <c r="H14" i="14647"/>
  <c r="H31" i="14647" s="1"/>
  <c r="H46" i="14647" s="1"/>
  <c r="G12" i="14647"/>
  <c r="G29" i="14647" s="1"/>
  <c r="G44" i="14647" s="1"/>
  <c r="F14" i="14647"/>
  <c r="F31" i="14647" s="1"/>
  <c r="F46" i="14647" s="1"/>
  <c r="F13" i="14647"/>
  <c r="F30" i="14647" s="1"/>
  <c r="F45" i="14647" s="1"/>
  <c r="E12" i="14647"/>
  <c r="E29" i="14647" s="1"/>
  <c r="E44" i="14647" s="1"/>
  <c r="C13" i="14647"/>
  <c r="C30" i="14647" s="1"/>
  <c r="C45" i="14647" s="1"/>
  <c r="B51" i="14652"/>
  <c r="I51" i="14652" s="1"/>
  <c r="K51" i="14652" s="1"/>
  <c r="G14" i="14647"/>
  <c r="G31" i="14647" s="1"/>
  <c r="G46" i="14647" s="1"/>
  <c r="G13" i="14647"/>
  <c r="G30" i="14647" s="1"/>
  <c r="G45" i="14647" s="1"/>
  <c r="E14" i="14647"/>
  <c r="E31" i="14647" s="1"/>
  <c r="E46" i="14647" s="1"/>
  <c r="E13" i="14647"/>
  <c r="E30" i="14647" s="1"/>
  <c r="E45" i="14647" s="1"/>
  <c r="C14" i="14647"/>
  <c r="C31" i="14647" s="1"/>
  <c r="C46" i="14647" s="1"/>
  <c r="B52" i="14652"/>
  <c r="I52" i="14652" s="1"/>
  <c r="K52" i="14652" s="1"/>
  <c r="C9" i="14622"/>
  <c r="C24" i="14622" s="1"/>
  <c r="G24" i="14676"/>
  <c r="D52" i="14685"/>
  <c r="D45" i="14685"/>
  <c r="D22" i="14685"/>
  <c r="A39" i="14622" a="1"/>
  <c r="A41" i="14622" s="1"/>
  <c r="A77" i="14687"/>
  <c r="A57" i="14687"/>
  <c r="E56" i="14652"/>
  <c r="C56" i="14652"/>
  <c r="E26" i="14647"/>
  <c r="E41" i="14647" s="1"/>
  <c r="B13" i="14689" a="1"/>
  <c r="B18" i="14689" s="1"/>
  <c r="F27" i="14665"/>
  <c r="B71" i="14684"/>
  <c r="A39" i="14649"/>
  <c r="I17" i="14643"/>
  <c r="I7" i="14643"/>
  <c r="I12" i="14643"/>
  <c r="A44" i="14649"/>
  <c r="A42" i="14649"/>
  <c r="A41" i="14649"/>
  <c r="A2" i="14681"/>
  <c r="A45" i="14649"/>
  <c r="I14" i="14643"/>
  <c r="F14" i="14661"/>
  <c r="A55" i="14706"/>
  <c r="H4" i="14705"/>
  <c r="E95" i="14647"/>
  <c r="C42" i="14690" a="1"/>
  <c r="H56" i="14652"/>
  <c r="I33" i="14653"/>
  <c r="C55" i="14665"/>
  <c r="C56" i="14665" s="1"/>
  <c r="C57" i="14665" s="1"/>
  <c r="B14" i="14653"/>
  <c r="G7" i="14622"/>
  <c r="H11" i="14661"/>
  <c r="D39" i="14667"/>
  <c r="N21" i="14633"/>
  <c r="D42" i="14667"/>
  <c r="D37" i="14706"/>
  <c r="D35" i="14667"/>
  <c r="G26" i="14626"/>
  <c r="D31" i="14706"/>
  <c r="A31" i="14700"/>
  <c r="A31" i="14704"/>
  <c r="K109" i="14702"/>
  <c r="F29" i="14665"/>
  <c r="K199" i="14704" s="1"/>
  <c r="A60" i="14636"/>
  <c r="A28" i="14648"/>
  <c r="A32" i="14648"/>
  <c r="A29" i="14648"/>
  <c r="A46" i="14648"/>
  <c r="A62" i="14648"/>
  <c r="A59" i="14648"/>
  <c r="E7" i="14655"/>
  <c r="A25" i="14636"/>
  <c r="B33" i="14653"/>
  <c r="B55" i="14707"/>
  <c r="B59" i="14707"/>
  <c r="B61" i="14707"/>
  <c r="I52" i="14685"/>
  <c r="I55" i="14685" s="1"/>
  <c r="J53" i="14685" s="1" a="1"/>
  <c r="J24" i="14677"/>
  <c r="N24" i="14676"/>
  <c r="C24" i="14633"/>
  <c r="F33" i="14653"/>
  <c r="D15" i="14674"/>
  <c r="B60" i="14707"/>
  <c r="A19" i="14673"/>
  <c r="B7" i="11"/>
  <c r="D7" i="11" s="1"/>
  <c r="A92" i="14704"/>
  <c r="A94" i="14704"/>
  <c r="A96" i="14704"/>
  <c r="A98" i="14704"/>
  <c r="A100" i="14704"/>
  <c r="A102" i="14704"/>
  <c r="A101" i="14704"/>
  <c r="A97" i="14704"/>
  <c r="A93" i="14704"/>
  <c r="A100" i="14701"/>
  <c r="A101" i="14703"/>
  <c r="A34" i="14706"/>
  <c r="A36" i="14706"/>
  <c r="A45" i="14706"/>
  <c r="A13" i="14682"/>
  <c r="A15" i="14672"/>
  <c r="A28" i="14641"/>
  <c r="A30" i="14641"/>
  <c r="A29" i="14641"/>
  <c r="A31" i="14641"/>
  <c r="B39" i="14677"/>
  <c r="B41" i="14677"/>
  <c r="B39" i="14641"/>
  <c r="B41" i="14641"/>
  <c r="B40" i="14641"/>
  <c r="B65" i="14643"/>
  <c r="D65" i="14643"/>
  <c r="F65" i="14643"/>
  <c r="C65" i="14643"/>
  <c r="G65" i="14643"/>
  <c r="E65" i="14643"/>
  <c r="C12" i="14653"/>
  <c r="E12" i="14653"/>
  <c r="G12" i="14653"/>
  <c r="I12" i="14653"/>
  <c r="K12" i="14653"/>
  <c r="M12" i="14653"/>
  <c r="D12" i="14653"/>
  <c r="H12" i="14653"/>
  <c r="L12" i="14653"/>
  <c r="F12" i="14653"/>
  <c r="E8" i="14653"/>
  <c r="I8" i="14653"/>
  <c r="M8" i="14653"/>
  <c r="H8" i="14653"/>
  <c r="F8" i="14653"/>
  <c r="G19" i="14626"/>
  <c r="B37" i="14706"/>
  <c r="B35" i="14667"/>
  <c r="D20" i="11"/>
  <c r="A90" i="14702"/>
  <c r="A58" i="14702"/>
  <c r="A90" i="14700"/>
  <c r="A4" i="14671"/>
  <c r="A6" i="14671"/>
  <c r="A15" i="14671"/>
  <c r="A45" i="14679"/>
  <c r="A54" i="14623"/>
  <c r="A17" i="14672" a="1"/>
  <c r="A17" i="14629" a="1"/>
  <c r="A102" i="14645"/>
  <c r="A104" i="14645"/>
  <c r="A103" i="14645"/>
  <c r="A105" i="14645"/>
  <c r="B91" i="14643"/>
  <c r="D91" i="14643"/>
  <c r="F91" i="14643"/>
  <c r="H91" i="14643"/>
  <c r="C91" i="14643"/>
  <c r="G91" i="14643"/>
  <c r="E91" i="14643"/>
  <c r="C10" i="14653"/>
  <c r="E10" i="14653"/>
  <c r="G10" i="14653"/>
  <c r="I10" i="14653"/>
  <c r="K10" i="14653"/>
  <c r="M10" i="14653"/>
  <c r="D10" i="14653"/>
  <c r="H10" i="14653"/>
  <c r="L10" i="14653"/>
  <c r="F10" i="14653"/>
  <c r="A14" i="14641" a="1"/>
  <c r="A16" i="14641" s="1"/>
  <c r="A14" i="14677" a="1"/>
  <c r="A16" i="14677" s="1"/>
  <c r="A14" i="14625" a="1"/>
  <c r="A16" i="14625" s="1"/>
  <c r="A14" i="14633" a="1"/>
  <c r="A15" i="14633" s="1"/>
  <c r="A28" i="14677"/>
  <c r="A30" i="14677"/>
  <c r="B39" i="14633"/>
  <c r="B40" i="14633"/>
  <c r="B39" i="14676"/>
  <c r="B41" i="14676"/>
  <c r="B40" i="14676"/>
  <c r="C38" i="14641"/>
  <c r="D38" i="14641"/>
  <c r="A82" i="14645"/>
  <c r="A84" i="14645"/>
  <c r="A83" i="14645"/>
  <c r="C13" i="14653"/>
  <c r="G13" i="14653"/>
  <c r="D13" i="14653"/>
  <c r="L13" i="14653"/>
  <c r="C11" i="14653"/>
  <c r="E11" i="14653"/>
  <c r="G11" i="14653"/>
  <c r="I11" i="14653"/>
  <c r="K11" i="14653"/>
  <c r="M11" i="14653"/>
  <c r="D11" i="14653"/>
  <c r="H11" i="14653"/>
  <c r="L11" i="14653"/>
  <c r="E9" i="14653"/>
  <c r="G9" i="14653"/>
  <c r="I9" i="14653"/>
  <c r="M9" i="14653"/>
  <c r="D9" i="14653"/>
  <c r="H9" i="14653"/>
  <c r="B43" i="14706"/>
  <c r="D43" i="14706"/>
  <c r="B30" i="14667"/>
  <c r="B21" i="14667"/>
  <c r="I20" i="14622"/>
  <c r="I24" i="14622"/>
  <c r="A74" i="14648"/>
  <c r="B28" i="14706"/>
  <c r="B39" i="14667"/>
  <c r="B33" i="14625"/>
  <c r="B43" i="14667"/>
  <c r="I8" i="14622"/>
  <c r="H7" i="14622"/>
  <c r="D8" i="14706"/>
  <c r="B41" i="14667"/>
  <c r="H23" i="14625"/>
  <c r="I47" i="14705"/>
  <c r="J17" i="14661"/>
  <c r="B21" i="14706"/>
  <c r="B16" i="14706" s="1"/>
  <c r="B62" i="14685"/>
  <c r="B58" i="14689" s="1" a="1"/>
  <c r="B58" i="14689" s="1"/>
  <c r="B79" i="14689"/>
  <c r="B80" i="14689" s="1"/>
  <c r="B57" i="14707"/>
  <c r="B56" i="14707"/>
  <c r="L6" i="8"/>
  <c r="I6" i="8"/>
  <c r="K6" i="8"/>
  <c r="G6" i="8"/>
  <c r="H6" i="8"/>
  <c r="K45" i="14653"/>
  <c r="K58" i="14653" s="1"/>
  <c r="K71" i="14653" s="1"/>
  <c r="O21" i="14653"/>
  <c r="L34" i="14653" s="1"/>
  <c r="C33" i="14653"/>
  <c r="L33" i="14653"/>
  <c r="E33" i="14653"/>
  <c r="M33" i="14653"/>
  <c r="H33" i="14653"/>
  <c r="J33" i="14653"/>
  <c r="D33" i="14653"/>
  <c r="G33" i="14653"/>
  <c r="B39" i="14622"/>
  <c r="L45" i="14653"/>
  <c r="L58" i="14653" s="1"/>
  <c r="L71" i="14653" s="1"/>
  <c r="G45" i="14653"/>
  <c r="G58" i="14653" s="1"/>
  <c r="G71" i="14653" s="1"/>
  <c r="F45" i="14653"/>
  <c r="F58" i="14653" s="1"/>
  <c r="F71" i="14653" s="1"/>
  <c r="L8" i="14653"/>
  <c r="D8" i="14653"/>
  <c r="K8" i="14653"/>
  <c r="G8" i="14653"/>
  <c r="C8" i="14653"/>
  <c r="D42" i="14647"/>
  <c r="H26" i="14647"/>
  <c r="H41" i="14647" s="1"/>
  <c r="B95" i="14648"/>
  <c r="K24" i="14677"/>
  <c r="F24" i="14641"/>
  <c r="H24" i="14625"/>
  <c r="A60" i="14687"/>
  <c r="A59" i="14687"/>
  <c r="A58" i="14687"/>
  <c r="A40" i="14662"/>
  <c r="A41" i="14662" s="1"/>
  <c r="A42" i="14662" s="1"/>
  <c r="G23" i="14690"/>
  <c r="D24" i="14676"/>
  <c r="M24" i="14676"/>
  <c r="I24" i="14676"/>
  <c r="E24" i="14676"/>
  <c r="M24" i="14633"/>
  <c r="B62" i="14707"/>
  <c r="A237" i="14703"/>
  <c r="A244" i="14703"/>
  <c r="A129" i="14702"/>
  <c r="A130" i="14702"/>
  <c r="A134" i="14702"/>
  <c r="A132" i="14702"/>
  <c r="A140" i="14702"/>
  <c r="A150" i="14701"/>
  <c r="A184" i="14701"/>
  <c r="A194" i="14701"/>
  <c r="A190" i="14701"/>
  <c r="A210" i="14704"/>
  <c r="A204" i="14704"/>
  <c r="A212" i="14704"/>
  <c r="A248" i="14701"/>
  <c r="A122" i="14704"/>
  <c r="B10" i="14687"/>
  <c r="A16" i="14671"/>
  <c r="A5" i="14633" a="1"/>
  <c r="A6" i="14633" s="1"/>
  <c r="A5" i="14641" a="1"/>
  <c r="A10" i="14641" s="1"/>
  <c r="A5" i="14677" a="1"/>
  <c r="A10" i="14677" s="1"/>
  <c r="D3" i="11"/>
  <c r="A28" i="11" s="1"/>
  <c r="C46" i="14665"/>
  <c r="C25" i="14693"/>
  <c r="A54" i="14667"/>
  <c r="A27" i="14667"/>
  <c r="A14" i="14690" s="1"/>
  <c r="A7" i="11" s="1"/>
  <c r="A11" i="14661"/>
  <c r="A28" i="14689" a="1"/>
  <c r="B6" i="8"/>
  <c r="F6" i="8"/>
  <c r="A245" i="14703"/>
  <c r="A136" i="14702"/>
  <c r="A132" i="14701"/>
  <c r="A150" i="14700"/>
  <c r="A158" i="14700"/>
  <c r="A188" i="14702"/>
  <c r="A192" i="14702"/>
  <c r="A186" i="14702"/>
  <c r="A202" i="14702"/>
  <c r="A204" i="14702"/>
  <c r="A208" i="14702"/>
  <c r="A5" i="14671"/>
  <c r="A7" i="14671"/>
  <c r="A5" i="14676" a="1"/>
  <c r="A11" i="14676" s="1"/>
  <c r="A147" i="14704"/>
  <c r="A152" i="14704"/>
  <c r="A156" i="14704"/>
  <c r="A150" i="14702"/>
  <c r="A158" i="14702"/>
  <c r="A170" i="14702"/>
  <c r="A186" i="14700"/>
  <c r="A190" i="14700"/>
  <c r="A20" i="14679"/>
  <c r="A24" i="14679"/>
  <c r="B41" i="14706"/>
  <c r="B28" i="14667"/>
  <c r="D10" i="11"/>
  <c r="A20" i="14641" a="1"/>
  <c r="J11" i="14645"/>
  <c r="J12" i="14645" s="1"/>
  <c r="D74" i="14647"/>
  <c r="D89" i="14647" s="1"/>
  <c r="D8" i="14686"/>
  <c r="A62" i="14692"/>
  <c r="H57" i="14705"/>
  <c r="B10" i="14685"/>
  <c r="B6" i="14689" a="1"/>
  <c r="B6" i="14689" s="1"/>
  <c r="A129" i="14701"/>
  <c r="A134" i="14701"/>
  <c r="A158" i="14698"/>
  <c r="A147" i="14702"/>
  <c r="A148" i="14702"/>
  <c r="A152" i="14702"/>
  <c r="A156" i="14702"/>
  <c r="A147" i="14701"/>
  <c r="A148" i="14701"/>
  <c r="A153" i="14701"/>
  <c r="A159" i="14701"/>
  <c r="A156" i="14700"/>
  <c r="A152" i="14700"/>
  <c r="A165" i="14698"/>
  <c r="A169" i="14698"/>
  <c r="A171" i="14698"/>
  <c r="A173" i="14698"/>
  <c r="A177" i="14698"/>
  <c r="A169" i="14702"/>
  <c r="A177" i="14702"/>
  <c r="A174" i="14701"/>
  <c r="A184" i="14698"/>
  <c r="A188" i="14698"/>
  <c r="A192" i="14698"/>
  <c r="A184" i="14704"/>
  <c r="A186" i="14704"/>
  <c r="A194" i="14704"/>
  <c r="A194" i="14700"/>
  <c r="A202" i="14700"/>
  <c r="A204" i="14700"/>
  <c r="A212" i="14700"/>
  <c r="A230" i="14702"/>
  <c r="A238" i="14704"/>
  <c r="A246" i="14704"/>
  <c r="A238" i="14702"/>
  <c r="A240" i="14702"/>
  <c r="A248" i="14702"/>
  <c r="A9" i="14671"/>
  <c r="A9" i="14640"/>
  <c r="A10" i="14640"/>
  <c r="A18" i="14631"/>
  <c r="A19" i="14632"/>
  <c r="A21" i="14632"/>
  <c r="A23" i="14632"/>
  <c r="A25" i="14632"/>
  <c r="A27" i="14632"/>
  <c r="A20" i="14632"/>
  <c r="A24" i="14632"/>
  <c r="A28" i="14681"/>
  <c r="A45" i="14681"/>
  <c r="A46" i="14681"/>
  <c r="A20" i="14682" a="1"/>
  <c r="A22" i="14682" s="1"/>
  <c r="A22" i="14672" a="1"/>
  <c r="A23" i="14672" s="1"/>
  <c r="A22" i="14673" a="1"/>
  <c r="A23" i="14673" s="1"/>
  <c r="A28" i="14676"/>
  <c r="A30" i="14676"/>
  <c r="A29" i="14676"/>
  <c r="C38" i="14677"/>
  <c r="D38" i="14677"/>
  <c r="B78" i="14643"/>
  <c r="C78" i="14643"/>
  <c r="G78" i="14643"/>
  <c r="E78" i="14643"/>
  <c r="I57" i="14685"/>
  <c r="I63" i="14685" s="1"/>
  <c r="J57" i="14685"/>
  <c r="A129" i="14704"/>
  <c r="A147" i="14698"/>
  <c r="A148" i="14698"/>
  <c r="A152" i="14698"/>
  <c r="A147" i="14700"/>
  <c r="A149" i="14700"/>
  <c r="A151" i="14700"/>
  <c r="A155" i="14700"/>
  <c r="A157" i="14700"/>
  <c r="A159" i="14700"/>
  <c r="A165" i="14701"/>
  <c r="A169" i="14701"/>
  <c r="A171" i="14701"/>
  <c r="A173" i="14701"/>
  <c r="A184" i="14700"/>
  <c r="A188" i="14700"/>
  <c r="A192" i="14700"/>
  <c r="A202" i="14698"/>
  <c r="A220" i="14702"/>
  <c r="A224" i="14702"/>
  <c r="A228" i="14702"/>
  <c r="A220" i="14701"/>
  <c r="A222" i="14701"/>
  <c r="A230" i="14701"/>
  <c r="A112" i="14704"/>
  <c r="B41" i="14701"/>
  <c r="A4" i="8"/>
  <c r="A7" i="8"/>
  <c r="A15" i="8"/>
  <c r="A22" i="14632"/>
  <c r="A22" i="14678"/>
  <c r="A22" i="14629" a="1"/>
  <c r="A23" i="14629" s="1"/>
  <c r="A28" i="14633"/>
  <c r="A29" i="14633"/>
  <c r="A31" i="14633"/>
  <c r="A31" i="14676"/>
  <c r="I78" i="14643"/>
  <c r="A52" i="14689" a="1"/>
  <c r="A54" i="14689" s="1"/>
  <c r="A9" i="8"/>
  <c r="A10" i="8"/>
  <c r="A9" i="14631"/>
  <c r="A10" i="14631"/>
  <c r="A15" i="14670"/>
  <c r="A16" i="14670"/>
  <c r="A25" i="8"/>
  <c r="A27" i="8"/>
  <c r="A25" i="14670"/>
  <c r="A25" i="14640"/>
  <c r="A27" i="14640"/>
  <c r="A25" i="14631"/>
  <c r="A27" i="14631"/>
  <c r="A19" i="14679"/>
  <c r="A21" i="14679"/>
  <c r="A23" i="14679"/>
  <c r="A25" i="14679"/>
  <c r="A27" i="14679"/>
  <c r="A21" i="14638"/>
  <c r="A25" i="14638"/>
  <c r="A25" i="14682"/>
  <c r="A27" i="14672"/>
  <c r="A27" i="14629"/>
  <c r="A51" i="14682"/>
  <c r="A55" i="14673"/>
  <c r="B31" i="14706"/>
  <c r="D29" i="11"/>
  <c r="B19" i="14667"/>
  <c r="C25" i="14626"/>
  <c r="I22" i="14622"/>
  <c r="B61" i="14689"/>
  <c r="A117" i="14703"/>
  <c r="A115" i="14703"/>
  <c r="A113" i="14703"/>
  <c r="A176" i="14700"/>
  <c r="A174" i="14700"/>
  <c r="A172" i="14700"/>
  <c r="A170" i="14700"/>
  <c r="A168" i="14700"/>
  <c r="A166" i="14700"/>
  <c r="A183" i="14698"/>
  <c r="A185" i="14698"/>
  <c r="A187" i="14698"/>
  <c r="A189" i="14698"/>
  <c r="A191" i="14698"/>
  <c r="A193" i="14698"/>
  <c r="A195" i="14698"/>
  <c r="A192" i="14704"/>
  <c r="A188" i="14704"/>
  <c r="A183" i="14702"/>
  <c r="A185" i="14702"/>
  <c r="A187" i="14702"/>
  <c r="A191" i="14702"/>
  <c r="A193" i="14702"/>
  <c r="A195" i="14702"/>
  <c r="A192" i="14701"/>
  <c r="A188" i="14701"/>
  <c r="A183" i="14700"/>
  <c r="A185" i="14700"/>
  <c r="A187" i="14700"/>
  <c r="A189" i="14700"/>
  <c r="A191" i="14700"/>
  <c r="A193" i="14700"/>
  <c r="A195" i="14700"/>
  <c r="A210" i="14698"/>
  <c r="A201" i="14704"/>
  <c r="A205" i="14704"/>
  <c r="A207" i="14704"/>
  <c r="A209" i="14704"/>
  <c r="A213" i="14704"/>
  <c r="A210" i="14702"/>
  <c r="A206" i="14702"/>
  <c r="A210" i="14700"/>
  <c r="A206" i="14700"/>
  <c r="A219" i="14698"/>
  <c r="A223" i="14698"/>
  <c r="A229" i="14698"/>
  <c r="A231" i="14698"/>
  <c r="A219" i="14702"/>
  <c r="A221" i="14702"/>
  <c r="A223" i="14702"/>
  <c r="A225" i="14702"/>
  <c r="A227" i="14702"/>
  <c r="A229" i="14702"/>
  <c r="A231" i="14702"/>
  <c r="A228" i="14701"/>
  <c r="A224" i="14701"/>
  <c r="A219" i="14700"/>
  <c r="A221" i="14700"/>
  <c r="A223" i="14700"/>
  <c r="A225" i="14700"/>
  <c r="A227" i="14700"/>
  <c r="A229" i="14700"/>
  <c r="A231" i="14700"/>
  <c r="A237" i="14704"/>
  <c r="A239" i="14704"/>
  <c r="A241" i="14704"/>
  <c r="A245" i="14704"/>
  <c r="A247" i="14704"/>
  <c r="A249" i="14704"/>
  <c r="A246" i="14702"/>
  <c r="A242" i="14702"/>
  <c r="A133" i="14698"/>
  <c r="A131" i="14698"/>
  <c r="A139" i="14704"/>
  <c r="A137" i="14704"/>
  <c r="A131" i="14704"/>
  <c r="A141" i="14702"/>
  <c r="A139" i="14702"/>
  <c r="A137" i="14702"/>
  <c r="A135" i="14702"/>
  <c r="A133" i="14702"/>
  <c r="A131" i="14702"/>
  <c r="A139" i="14701"/>
  <c r="A137" i="14701"/>
  <c r="A135" i="14701"/>
  <c r="A131" i="14701"/>
  <c r="A141" i="14700"/>
  <c r="A139" i="14700"/>
  <c r="A137" i="14700"/>
  <c r="A135" i="14700"/>
  <c r="A133" i="14700"/>
  <c r="A131" i="14700"/>
  <c r="A159" i="14698"/>
  <c r="A157" i="14698"/>
  <c r="A153" i="14698"/>
  <c r="A151" i="14698"/>
  <c r="A149" i="14698"/>
  <c r="A159" i="14704"/>
  <c r="A157" i="14704"/>
  <c r="A155" i="14704"/>
  <c r="A153" i="14704"/>
  <c r="A151" i="14704"/>
  <c r="A149" i="14704"/>
  <c r="A159" i="14702"/>
  <c r="A157" i="14702"/>
  <c r="A155" i="14702"/>
  <c r="A153" i="14702"/>
  <c r="A151" i="14702"/>
  <c r="A149" i="14702"/>
  <c r="A149" i="14701"/>
  <c r="A183" i="14704"/>
  <c r="A185" i="14704"/>
  <c r="A187" i="14704"/>
  <c r="A189" i="14704"/>
  <c r="A191" i="14704"/>
  <c r="A193" i="14704"/>
  <c r="A195" i="14704"/>
  <c r="A183" i="14701"/>
  <c r="A185" i="14701"/>
  <c r="A187" i="14701"/>
  <c r="A189" i="14701"/>
  <c r="A191" i="14701"/>
  <c r="A193" i="14701"/>
  <c r="A195" i="14701"/>
  <c r="A203" i="14698"/>
  <c r="A205" i="14698"/>
  <c r="A207" i="14698"/>
  <c r="A213" i="14698"/>
  <c r="A201" i="14702"/>
  <c r="A203" i="14702"/>
  <c r="A205" i="14702"/>
  <c r="A207" i="14702"/>
  <c r="A209" i="14702"/>
  <c r="A211" i="14702"/>
  <c r="A213" i="14702"/>
  <c r="A201" i="14700"/>
  <c r="A203" i="14700"/>
  <c r="A209" i="14700"/>
  <c r="A211" i="14700"/>
  <c r="A213" i="14700"/>
  <c r="A219" i="14704"/>
  <c r="A229" i="14704"/>
  <c r="A219" i="14701"/>
  <c r="A221" i="14701"/>
  <c r="A223" i="14701"/>
  <c r="A225" i="14701"/>
  <c r="A227" i="14701"/>
  <c r="A229" i="14701"/>
  <c r="A231" i="14701"/>
  <c r="A249" i="14698"/>
  <c r="A237" i="14702"/>
  <c r="A239" i="14702"/>
  <c r="A241" i="14702"/>
  <c r="A243" i="14702"/>
  <c r="A245" i="14702"/>
  <c r="A247" i="14702"/>
  <c r="A249" i="14702"/>
  <c r="A103" i="14704"/>
  <c r="A95" i="14704"/>
  <c r="A117" i="14698"/>
  <c r="A111" i="14702"/>
  <c r="A113" i="14702"/>
  <c r="A121" i="14702"/>
  <c r="A111" i="14700"/>
  <c r="A113" i="14700"/>
  <c r="A115" i="14700"/>
  <c r="A117" i="14700"/>
  <c r="A119" i="14700"/>
  <c r="A121" i="14700"/>
  <c r="A123" i="14700"/>
  <c r="B15" i="14661"/>
  <c r="A20" i="14641"/>
  <c r="A24" i="14641"/>
  <c r="A104" i="14704"/>
  <c r="A99" i="14704"/>
  <c r="A121" i="14698"/>
  <c r="A119" i="14698"/>
  <c r="A116" i="14698"/>
  <c r="A111" i="14704"/>
  <c r="A119" i="14704"/>
  <c r="A120" i="14702"/>
  <c r="A116" i="14702"/>
  <c r="A112" i="14702"/>
  <c r="A111" i="14701"/>
  <c r="A113" i="14701"/>
  <c r="A115" i="14701"/>
  <c r="A117" i="14701"/>
  <c r="A119" i="14701"/>
  <c r="A121" i="14701"/>
  <c r="A123" i="14701"/>
  <c r="A120" i="14700"/>
  <c r="A116" i="14700"/>
  <c r="A112" i="14700"/>
  <c r="A6" i="8"/>
  <c r="A11" i="8"/>
  <c r="A11" i="14671"/>
  <c r="A11" i="14631"/>
  <c r="A17" i="8"/>
  <c r="A17" i="14670"/>
  <c r="A29" i="14681"/>
  <c r="A38" i="14681"/>
  <c r="A47" i="14681"/>
  <c r="A17" i="14636" a="1"/>
  <c r="A18" i="14636" s="1"/>
  <c r="A55" i="14629"/>
  <c r="A55" i="14672"/>
  <c r="A20" i="14625" a="1"/>
  <c r="A22" i="14625" s="1"/>
  <c r="A20" i="14676" a="1"/>
  <c r="A20" i="14633" a="1"/>
  <c r="A23" i="14633" s="1"/>
  <c r="A30" i="14633"/>
  <c r="A74" i="14645"/>
  <c r="H78" i="14643"/>
  <c r="F78" i="14643"/>
  <c r="D78" i="14643"/>
  <c r="A17" i="14649"/>
  <c r="B70" i="14710"/>
  <c r="D12" i="14708"/>
  <c r="B75" i="14710"/>
  <c r="C28" i="14705"/>
  <c r="A20" i="14667"/>
  <c r="B25" i="14626" s="1"/>
  <c r="B30" i="14706"/>
  <c r="I23" i="14622"/>
  <c r="K7" i="14625" s="1"/>
  <c r="B8" i="14706"/>
  <c r="B10" i="14706"/>
  <c r="D20" i="14667"/>
  <c r="B20" i="14667"/>
  <c r="B42" i="14667"/>
  <c r="B5" i="14667"/>
  <c r="A104" i="14703"/>
  <c r="A8" i="14633"/>
  <c r="A25" i="14641"/>
  <c r="A21" i="14641"/>
  <c r="A31" i="14689"/>
  <c r="A30" i="14689"/>
  <c r="A29" i="14689"/>
  <c r="A28" i="14689"/>
  <c r="A74" i="14689" s="1"/>
  <c r="A13" i="14689"/>
  <c r="A20" i="14689"/>
  <c r="A17" i="14689"/>
  <c r="A8" i="14641"/>
  <c r="A7" i="14641"/>
  <c r="A11" i="14641"/>
  <c r="A5" i="14641"/>
  <c r="L11" i="14645"/>
  <c r="L12" i="14645" s="1"/>
  <c r="E8" i="14686"/>
  <c r="A53" i="14689"/>
  <c r="K65" i="14645"/>
  <c r="K66" i="14645" s="1"/>
  <c r="C23" i="14626"/>
  <c r="D18" i="14667"/>
  <c r="A24" i="14625"/>
  <c r="A21" i="14625"/>
  <c r="A23" i="14625"/>
  <c r="A20" i="14625"/>
  <c r="A20" i="14636"/>
  <c r="A27" i="14659"/>
  <c r="J34" i="14653" l="1"/>
  <c r="E20" i="14652"/>
  <c r="E21" i="14652" s="1"/>
  <c r="E22" i="14652" s="1"/>
  <c r="E23" i="14652" s="1"/>
  <c r="E24" i="14652" s="1"/>
  <c r="E25" i="14652" s="1"/>
  <c r="E26" i="14652" s="1"/>
  <c r="G19" i="14652"/>
  <c r="I19" i="14652" s="1"/>
  <c r="I20" i="14652" s="1"/>
  <c r="I21" i="14652" s="1"/>
  <c r="I22" i="14652" s="1"/>
  <c r="I23" i="14652" s="1"/>
  <c r="I24" i="14652" s="1"/>
  <c r="I25" i="14652" s="1"/>
  <c r="I26" i="14652" s="1"/>
  <c r="C20" i="14652"/>
  <c r="C21" i="14652" s="1"/>
  <c r="C22" i="14652" s="1"/>
  <c r="C23" i="14652" s="1"/>
  <c r="C24" i="14652" s="1"/>
  <c r="C25" i="14652" s="1"/>
  <c r="C26" i="14652" s="1"/>
  <c r="E26" i="14685"/>
  <c r="C10" i="14661" s="1"/>
  <c r="D9" i="14706"/>
  <c r="A94" i="14700"/>
  <c r="A103" i="14700"/>
  <c r="A102" i="14700"/>
  <c r="A122" i="14703"/>
  <c r="A6" i="14641"/>
  <c r="A211" i="14698"/>
  <c r="A135" i="14698"/>
  <c r="A211" i="14701"/>
  <c r="A177" i="14704"/>
  <c r="A24" i="14678"/>
  <c r="A210" i="14701"/>
  <c r="A176" i="14701"/>
  <c r="A242" i="14701"/>
  <c r="A152" i="14701"/>
  <c r="O8" i="14699" a="1"/>
  <c r="O8" i="14699" s="1"/>
  <c r="C21" i="14622"/>
  <c r="C20" i="14622"/>
  <c r="A61" i="14692"/>
  <c r="D28" i="14685"/>
  <c r="A20" i="14682"/>
  <c r="A22" i="14673"/>
  <c r="A113" i="14698"/>
  <c r="A207" i="14700"/>
  <c r="A119" i="14703"/>
  <c r="A175" i="14702"/>
  <c r="A24" i="14673"/>
  <c r="A111" i="14698"/>
  <c r="A205" i="14700"/>
  <c r="A209" i="14698"/>
  <c r="A139" i="14698"/>
  <c r="A209" i="14701"/>
  <c r="A206" i="14698"/>
  <c r="A121" i="14703"/>
  <c r="A4" i="14670"/>
  <c r="A212" i="14698"/>
  <c r="A175" i="14704"/>
  <c r="A23" i="14678"/>
  <c r="A5" i="14631"/>
  <c r="A206" i="14701"/>
  <c r="A173" i="14702"/>
  <c r="A168" i="14701"/>
  <c r="A118" i="14698"/>
  <c r="A156" i="14701"/>
  <c r="A238" i="14701"/>
  <c r="A158" i="14701"/>
  <c r="C16" i="14622"/>
  <c r="A60" i="14692"/>
  <c r="D33" i="14685"/>
  <c r="E55" i="14685"/>
  <c r="C15" i="14661" s="1"/>
  <c r="G29" i="14685" a="1"/>
  <c r="G30" i="14685" s="1"/>
  <c r="A123" i="14698"/>
  <c r="A22" i="14633"/>
  <c r="A25" i="14673"/>
  <c r="A239" i="14701"/>
  <c r="A207" i="14701"/>
  <c r="A204" i="14698"/>
  <c r="A173" i="14704"/>
  <c r="A4" i="14631"/>
  <c r="A202" i="14701"/>
  <c r="A171" i="14702"/>
  <c r="A174" i="14702"/>
  <c r="A120" i="14698"/>
  <c r="A237" i="14701"/>
  <c r="A154" i="14701"/>
  <c r="C22" i="14622"/>
  <c r="A77" i="14648"/>
  <c r="E28" i="14685"/>
  <c r="E31" i="14685" s="1"/>
  <c r="C11" i="14661" s="1"/>
  <c r="A158" i="14703"/>
  <c r="A230" i="14703"/>
  <c r="A246" i="14701"/>
  <c r="M7" i="14625"/>
  <c r="D30" i="14706"/>
  <c r="A114" i="14698"/>
  <c r="A208" i="14701"/>
  <c r="A73" i="14648"/>
  <c r="G16" i="14694"/>
  <c r="A226" i="14703"/>
  <c r="A230" i="14700"/>
  <c r="A240" i="14701"/>
  <c r="A213" i="14701"/>
  <c r="A241" i="14701"/>
  <c r="L7" i="14625"/>
  <c r="A167" i="14702"/>
  <c r="A157" i="14701"/>
  <c r="A166" i="14702"/>
  <c r="A244" i="14701"/>
  <c r="A212" i="14701"/>
  <c r="A78" i="14648"/>
  <c r="E57" i="14685"/>
  <c r="E63" i="14685" s="1"/>
  <c r="C13" i="14626" s="1"/>
  <c r="D18" i="4129"/>
  <c r="F4" i="14661" s="1"/>
  <c r="A225" i="14703"/>
  <c r="A14" i="14676" a="1"/>
  <c r="A16" i="14676" s="1"/>
  <c r="A115" i="14698"/>
  <c r="A205" i="14701"/>
  <c r="H16" i="14695"/>
  <c r="A171" i="14704"/>
  <c r="A22" i="14629"/>
  <c r="A243" i="14701"/>
  <c r="A203" i="14701"/>
  <c r="A29" i="14645"/>
  <c r="A169" i="14704"/>
  <c r="A134" i="14704"/>
  <c r="J7" i="14625"/>
  <c r="A245" i="14701"/>
  <c r="A201" i="14698"/>
  <c r="A227" i="14698"/>
  <c r="A201" i="14701"/>
  <c r="A114" i="14702"/>
  <c r="A167" i="14704"/>
  <c r="A130" i="14704"/>
  <c r="A165" i="14702"/>
  <c r="A155" i="14701"/>
  <c r="A140" i="14704"/>
  <c r="A18" i="14671"/>
  <c r="A76" i="14648"/>
  <c r="A15" i="14682" a="1"/>
  <c r="A15" i="14682" s="1"/>
  <c r="A222" i="14703"/>
  <c r="N7" i="14625"/>
  <c r="A165" i="14704"/>
  <c r="A170" i="14704"/>
  <c r="A100" i="14648"/>
  <c r="A247" i="14701"/>
  <c r="I7" i="14625"/>
  <c r="A112" i="14698"/>
  <c r="A119" i="14702"/>
  <c r="A221" i="14698"/>
  <c r="A174" i="14704"/>
  <c r="A72" i="14648"/>
  <c r="A29" i="14677"/>
  <c r="I28" i="14685"/>
  <c r="I31" i="14685" s="1"/>
  <c r="E62" i="14665"/>
  <c r="I56" i="14652"/>
  <c r="A17" i="14636"/>
  <c r="A20" i="14673"/>
  <c r="A17" i="14673"/>
  <c r="A19" i="14636"/>
  <c r="A24" i="14672"/>
  <c r="E11" i="14655"/>
  <c r="B5" i="14681"/>
  <c r="A5" i="14681" s="1"/>
  <c r="A37" i="14617"/>
  <c r="A38" i="14617" s="1"/>
  <c r="B32" i="14649"/>
  <c r="B59" i="14710"/>
  <c r="I181" i="14704"/>
  <c r="I199" i="14704"/>
  <c r="I163" i="14704"/>
  <c r="I217" i="14704"/>
  <c r="I44" i="14704"/>
  <c r="I235" i="14704"/>
  <c r="B100" i="14648"/>
  <c r="B90" i="14648"/>
  <c r="B47" i="14689"/>
  <c r="B49" i="14689"/>
  <c r="B48" i="14689"/>
  <c r="A238" i="14703"/>
  <c r="A248" i="14703"/>
  <c r="A240" i="14703"/>
  <c r="A91" i="14701"/>
  <c r="A96" i="14701"/>
  <c r="A101" i="14701"/>
  <c r="A94" i="14703"/>
  <c r="A91" i="14703"/>
  <c r="A99" i="14703"/>
  <c r="A21" i="14682"/>
  <c r="A95" i="14701"/>
  <c r="A239" i="14698"/>
  <c r="E16" i="14695"/>
  <c r="A27" i="14671"/>
  <c r="A10" i="14670"/>
  <c r="A249" i="14703"/>
  <c r="A114" i="14704"/>
  <c r="G24" i="14641"/>
  <c r="A93" i="14701"/>
  <c r="A98" i="14701"/>
  <c r="J24" i="14641"/>
  <c r="A7" i="14632" a="1"/>
  <c r="A13" i="14632" s="1"/>
  <c r="A27" i="14695" a="1"/>
  <c r="A27" i="14695" s="1"/>
  <c r="A34" i="14695" a="1"/>
  <c r="A36" i="14695" s="1"/>
  <c r="O15" i="14699" a="1"/>
  <c r="O15" i="14699" s="1"/>
  <c r="P15" i="14699"/>
  <c r="Q15" i="14699" s="1"/>
  <c r="I39" i="14685"/>
  <c r="I43" i="14685" s="1"/>
  <c r="J39" i="14685"/>
  <c r="A185" i="14703"/>
  <c r="A184" i="14703"/>
  <c r="A190" i="14703"/>
  <c r="A195" i="14703"/>
  <c r="A186" i="14703"/>
  <c r="A191" i="14703"/>
  <c r="A132" i="14704"/>
  <c r="A136" i="14704"/>
  <c r="A172" i="14701"/>
  <c r="A166" i="14701"/>
  <c r="A170" i="14701"/>
  <c r="A190" i="14702"/>
  <c r="A184" i="14702"/>
  <c r="A194" i="14702"/>
  <c r="A71" i="14704"/>
  <c r="A58" i="14704"/>
  <c r="A100" i="14698"/>
  <c r="A95" i="14698"/>
  <c r="A92" i="14698"/>
  <c r="G20" i="14652"/>
  <c r="G21" i="14652" s="1"/>
  <c r="G22" i="14652" s="1"/>
  <c r="G23" i="14652" s="1"/>
  <c r="G24" i="14652" s="1"/>
  <c r="G25" i="14652" s="1"/>
  <c r="G26" i="14652" s="1"/>
  <c r="A20" i="14633"/>
  <c r="D10" i="14706"/>
  <c r="A59" i="14694"/>
  <c r="A7" i="14677"/>
  <c r="A96" i="14703"/>
  <c r="A17" i="14631"/>
  <c r="A6" i="14631"/>
  <c r="A123" i="14704"/>
  <c r="A115" i="14704"/>
  <c r="A99" i="14701"/>
  <c r="A103" i="14701"/>
  <c r="A155" i="14698"/>
  <c r="A133" i="14704"/>
  <c r="A141" i="14704"/>
  <c r="A243" i="14704"/>
  <c r="A225" i="14698"/>
  <c r="A211" i="14704"/>
  <c r="A203" i="14704"/>
  <c r="A189" i="14702"/>
  <c r="A37" i="14681"/>
  <c r="A25" i="14671"/>
  <c r="A9" i="14670"/>
  <c r="A18" i="8"/>
  <c r="A120" i="14704"/>
  <c r="A175" i="14701"/>
  <c r="A167" i="14701"/>
  <c r="A153" i="14700"/>
  <c r="A138" i="14704"/>
  <c r="A27" i="14678"/>
  <c r="A19" i="14678"/>
  <c r="A15" i="14631"/>
  <c r="L24" i="14633"/>
  <c r="A45" i="14653" a="1"/>
  <c r="A208" i="14704"/>
  <c r="A154" i="14700"/>
  <c r="D18" i="14706"/>
  <c r="F18" i="14706" s="1"/>
  <c r="H18" i="14706" s="1"/>
  <c r="J18" i="14706" s="1"/>
  <c r="L18" i="14706" s="1"/>
  <c r="N18" i="14706" s="1"/>
  <c r="A202" i="14704"/>
  <c r="A241" i="14703"/>
  <c r="F23" i="14690"/>
  <c r="F25" i="14690" s="1"/>
  <c r="F21" i="14690"/>
  <c r="B46" i="14689"/>
  <c r="H24" i="14641"/>
  <c r="A31" i="14694" a="1"/>
  <c r="D34" i="14653"/>
  <c r="A16" i="14633"/>
  <c r="A48" i="14623"/>
  <c r="A4" i="14640"/>
  <c r="A53" i="14623"/>
  <c r="A95" i="14703"/>
  <c r="A97" i="14701"/>
  <c r="A94" i="14701"/>
  <c r="H21" i="14690"/>
  <c r="E16" i="14694"/>
  <c r="G21" i="14690"/>
  <c r="G25" i="14690" s="1"/>
  <c r="F32" i="14652"/>
  <c r="G32" i="14652"/>
  <c r="A56" i="14652"/>
  <c r="J56" i="14652"/>
  <c r="G56" i="14652"/>
  <c r="D56" i="14652"/>
  <c r="E30" i="14665"/>
  <c r="E25" i="14665"/>
  <c r="A112" i="14703"/>
  <c r="A114" i="14703"/>
  <c r="A116" i="14703"/>
  <c r="A149" i="14703"/>
  <c r="A148" i="14703"/>
  <c r="A154" i="14703"/>
  <c r="A159" i="14703"/>
  <c r="A150" i="14703"/>
  <c r="A155" i="14703"/>
  <c r="A188" i="14703"/>
  <c r="A201" i="14703"/>
  <c r="A204" i="14703"/>
  <c r="A208" i="14703"/>
  <c r="A90" i="14704"/>
  <c r="A172" i="14698"/>
  <c r="A167" i="14698"/>
  <c r="A175" i="14698"/>
  <c r="I65" i="14643"/>
  <c r="H65" i="14643"/>
  <c r="E13" i="14653"/>
  <c r="K13" i="14653"/>
  <c r="C9" i="14653"/>
  <c r="K9" i="14653"/>
  <c r="L9" i="14653"/>
  <c r="D12" i="11"/>
  <c r="D30" i="14667"/>
  <c r="B7" i="14696" s="1"/>
  <c r="A17" i="14661"/>
  <c r="A57" i="14689" a="1"/>
  <c r="A71" i="14700"/>
  <c r="A45" i="14700"/>
  <c r="A21" i="14633"/>
  <c r="A117" i="14704"/>
  <c r="A20" i="14678"/>
  <c r="A21" i="14678"/>
  <c r="J12" i="14708"/>
  <c r="A242" i="14703"/>
  <c r="B105" i="14648"/>
  <c r="A50" i="14623"/>
  <c r="A97" i="14703"/>
  <c r="L24" i="14641"/>
  <c r="H16" i="14694"/>
  <c r="C74" i="14647"/>
  <c r="B56" i="14647"/>
  <c r="I56" i="14647" s="1"/>
  <c r="A28" i="14687" a="1"/>
  <c r="A30" i="14687" s="1"/>
  <c r="K24" i="14633"/>
  <c r="J24" i="14633"/>
  <c r="H24" i="14633"/>
  <c r="A23" i="14682"/>
  <c r="A39" i="14706" a="1"/>
  <c r="A100" i="14703"/>
  <c r="A121" i="14704"/>
  <c r="A113" i="14704"/>
  <c r="A104" i="14701"/>
  <c r="A241" i="14700"/>
  <c r="G16" i="14695"/>
  <c r="A27" i="14670"/>
  <c r="A116" i="14704"/>
  <c r="A25" i="14678"/>
  <c r="D24" i="14633"/>
  <c r="A246" i="14703"/>
  <c r="A239" i="14703"/>
  <c r="I24" i="14633"/>
  <c r="B53" i="14643" a="1"/>
  <c r="B54" i="14643" s="1"/>
  <c r="A58" i="14700"/>
  <c r="A103" i="14703"/>
  <c r="A93" i="14703"/>
  <c r="A102" i="14701"/>
  <c r="A92" i="14701"/>
  <c r="P11" i="14699"/>
  <c r="Q11" i="14699" s="1"/>
  <c r="G38" i="14686"/>
  <c r="L24" i="14676"/>
  <c r="H24" i="14676"/>
  <c r="A187" i="14703"/>
  <c r="A38" i="14687"/>
  <c r="A32" i="14637" a="1"/>
  <c r="A35" i="14637" s="1"/>
  <c r="A88" i="14647" a="1"/>
  <c r="A92" i="14647" s="1"/>
  <c r="C28" i="14685"/>
  <c r="F10" i="14687"/>
  <c r="E8" i="14624" s="1"/>
  <c r="A229" i="14703"/>
  <c r="A221" i="14703"/>
  <c r="A222" i="14700"/>
  <c r="I52" i="14643"/>
  <c r="E15" i="14655"/>
  <c r="O16" i="14655"/>
  <c r="G16" i="14655"/>
  <c r="L26" i="14655"/>
  <c r="O20" i="14655"/>
  <c r="O12" i="14655"/>
  <c r="G20" i="14655"/>
  <c r="G12" i="14655"/>
  <c r="A28" i="14687"/>
  <c r="A39" i="14637"/>
  <c r="A34" i="14637"/>
  <c r="A38" i="14637"/>
  <c r="A33" i="14637"/>
  <c r="A95" i="14647"/>
  <c r="A49" i="14653"/>
  <c r="A47" i="14653"/>
  <c r="A50" i="14653"/>
  <c r="A52" i="14653"/>
  <c r="A51" i="14653"/>
  <c r="A46" i="14653"/>
  <c r="H42" i="14690"/>
  <c r="E42" i="14690"/>
  <c r="C42" i="14690"/>
  <c r="F42" i="14690"/>
  <c r="C27" i="14647"/>
  <c r="B10" i="14647"/>
  <c r="I10" i="14647" s="1"/>
  <c r="D76" i="14690"/>
  <c r="D21" i="14686"/>
  <c r="E21" i="14686" s="1"/>
  <c r="F21" i="14686" s="1"/>
  <c r="C48" i="14686" a="1"/>
  <c r="C48" i="14686" s="1"/>
  <c r="A48" i="14653"/>
  <c r="A8" i="14632"/>
  <c r="A45" i="14653"/>
  <c r="A34" i="14683" a="1"/>
  <c r="A59" i="14662"/>
  <c r="A43" i="14662"/>
  <c r="A44" i="14662" s="1"/>
  <c r="A45" i="14662" s="1"/>
  <c r="A46" i="14662" s="1"/>
  <c r="A47" i="14662" s="1"/>
  <c r="A48" i="14662" s="1"/>
  <c r="A49" i="14662" s="1"/>
  <c r="A50" i="14662" s="1"/>
  <c r="A51" i="14662" s="1"/>
  <c r="A52" i="14662" s="1"/>
  <c r="A53" i="14662" s="1"/>
  <c r="A54" i="14662" s="1"/>
  <c r="A55" i="14662" s="1"/>
  <c r="A56" i="14662" s="1"/>
  <c r="A57" i="14662" s="1"/>
  <c r="A58" i="14662" s="1"/>
  <c r="F29" i="14647"/>
  <c r="F44" i="14647" s="1"/>
  <c r="B12" i="14647"/>
  <c r="I12" i="14647" s="1"/>
  <c r="H28" i="14647"/>
  <c r="H43" i="14647" s="1"/>
  <c r="B11" i="14647"/>
  <c r="I11" i="14647" s="1"/>
  <c r="F35" i="14690"/>
  <c r="A91" i="14648"/>
  <c r="A90" i="14648"/>
  <c r="A25" i="14676"/>
  <c r="A21" i="14676"/>
  <c r="A7" i="14636" a="1"/>
  <c r="A8" i="14636" s="1"/>
  <c r="A47" i="14687" a="1"/>
  <c r="A7" i="14672" a="1"/>
  <c r="A66" i="14687" a="1"/>
  <c r="A7" i="14624" a="1"/>
  <c r="A7" i="14629" a="1"/>
  <c r="A7" i="14673" a="1"/>
  <c r="A5" i="14682" a="1"/>
  <c r="A9" i="14687" a="1"/>
  <c r="O14" i="14699" a="1"/>
  <c r="O14" i="14699" s="1"/>
  <c r="P14" i="14699"/>
  <c r="Q14" i="14699" s="1"/>
  <c r="A32" i="14698" a="1"/>
  <c r="A17" i="14669" a="1"/>
  <c r="A17" i="14669" s="1"/>
  <c r="A5" i="14669" a="1"/>
  <c r="A6" i="14669" s="1"/>
  <c r="A20" i="14702" a="1"/>
  <c r="A59" i="14703" a="1"/>
  <c r="A31" i="14674" a="1"/>
  <c r="A34" i="14674" s="1"/>
  <c r="A45" i="14652" a="1"/>
  <c r="A58" i="14653" a="1"/>
  <c r="A20" i="14703" a="1"/>
  <c r="A46" i="14698" a="1"/>
  <c r="A46" i="14698" s="1"/>
  <c r="B40" i="14643" a="1"/>
  <c r="B40" i="14643" s="1"/>
  <c r="A35" i="14679" a="1"/>
  <c r="A20" i="14698" a="1"/>
  <c r="A17" i="7" a="1"/>
  <c r="A32" i="14703" a="1"/>
  <c r="A59" i="14700" a="1"/>
  <c r="A31" i="14634" a="1"/>
  <c r="A37" i="14634" s="1"/>
  <c r="A24" i="14647" a="1"/>
  <c r="A5" i="14668" a="1"/>
  <c r="A20" i="14700" a="1"/>
  <c r="A59" i="14702" a="1"/>
  <c r="B92" i="14643" a="1"/>
  <c r="A73" i="14647" a="1"/>
  <c r="B79" i="14643" a="1"/>
  <c r="A59" i="14701" a="1"/>
  <c r="A39" i="14647" a="1"/>
  <c r="A17" i="14630" a="1"/>
  <c r="A32" i="14700" a="1"/>
  <c r="A35" i="14623" a="1"/>
  <c r="B66" i="14643" a="1"/>
  <c r="B70" i="14643" s="1"/>
  <c r="A19" i="14653" a="1"/>
  <c r="A17" i="14668" a="1"/>
  <c r="A32" i="14701" a="1"/>
  <c r="A6" i="14683" a="1"/>
  <c r="A13" i="14683" s="1"/>
  <c r="A7" i="14679" a="1"/>
  <c r="A31" i="14628" a="1"/>
  <c r="A35" i="14628" s="1"/>
  <c r="A32" i="14668" a="1"/>
  <c r="A46" i="14702" a="1"/>
  <c r="A32" i="14669" a="1"/>
  <c r="A6" i="14653" a="1"/>
  <c r="A46" i="14704" a="1"/>
  <c r="B60" i="14643"/>
  <c r="B58" i="14643"/>
  <c r="C78" i="14647"/>
  <c r="B60" i="14647"/>
  <c r="I60" i="14647" s="1"/>
  <c r="E88" i="14665"/>
  <c r="D88" i="14665"/>
  <c r="J88" i="14665"/>
  <c r="M88" i="14665"/>
  <c r="E13" i="14622"/>
  <c r="E14" i="14622"/>
  <c r="B14" i="14706"/>
  <c r="B14" i="14667"/>
  <c r="I7" i="14622"/>
  <c r="D14" i="14667" s="1"/>
  <c r="F14" i="14667" s="1"/>
  <c r="H14" i="14667" s="1"/>
  <c r="J14" i="14667" s="1"/>
  <c r="L14" i="14667" s="1"/>
  <c r="N14" i="14667" s="1"/>
  <c r="C26" i="14647"/>
  <c r="B9" i="14647"/>
  <c r="I9" i="14647" s="1"/>
  <c r="A106" i="14648"/>
  <c r="A105" i="14648"/>
  <c r="A94" i="14698"/>
  <c r="A102" i="14698"/>
  <c r="A104" i="14698"/>
  <c r="A96" i="14698"/>
  <c r="A101" i="14698"/>
  <c r="A99" i="14698"/>
  <c r="A98" i="14698"/>
  <c r="A97" i="14698"/>
  <c r="H24" i="14677"/>
  <c r="M24" i="14677"/>
  <c r="L24" i="14677"/>
  <c r="D24" i="14677"/>
  <c r="N24" i="14677"/>
  <c r="J24" i="14625"/>
  <c r="G24" i="14625"/>
  <c r="D24" i="14625"/>
  <c r="M24" i="14625"/>
  <c r="E24" i="14625"/>
  <c r="L24" i="14625"/>
  <c r="N24" i="14625"/>
  <c r="B36" i="14689"/>
  <c r="B35" i="14689"/>
  <c r="A95" i="14687"/>
  <c r="A98" i="14687"/>
  <c r="A18" i="14672"/>
  <c r="A20" i="14672"/>
  <c r="A19" i="14672"/>
  <c r="A93" i="14698"/>
  <c r="A52" i="14648"/>
  <c r="A54" i="14648"/>
  <c r="A8" i="14698" a="1"/>
  <c r="A14" i="14698" s="1"/>
  <c r="A232" i="14698" s="1"/>
  <c r="H37" i="14706"/>
  <c r="J37" i="14706" s="1"/>
  <c r="L37" i="14706" s="1"/>
  <c r="N37" i="14706" s="1"/>
  <c r="B5" i="14694" a="1"/>
  <c r="C8" i="14694" s="1"/>
  <c r="A118" i="14703"/>
  <c r="A111" i="14703"/>
  <c r="A132" i="14703"/>
  <c r="A157" i="14703"/>
  <c r="A153" i="14703"/>
  <c r="A193" i="14703"/>
  <c r="A189" i="14703"/>
  <c r="A212" i="14703"/>
  <c r="A231" i="14703"/>
  <c r="A227" i="14703"/>
  <c r="A223" i="14703"/>
  <c r="A219" i="14703"/>
  <c r="A45" i="14702"/>
  <c r="A226" i="14700"/>
  <c r="E52" i="14643"/>
  <c r="F30" i="14665"/>
  <c r="K217" i="14703" s="1"/>
  <c r="K109" i="14703"/>
  <c r="K109" i="14701"/>
  <c r="B44" i="14647"/>
  <c r="I44" i="14647" s="1"/>
  <c r="M26" i="14639"/>
  <c r="A102" i="14703"/>
  <c r="A17" i="14682"/>
  <c r="A41" i="14687"/>
  <c r="A59" i="14698" a="1"/>
  <c r="A59" i="14698" s="1"/>
  <c r="A120" i="14703"/>
  <c r="A136" i="14703"/>
  <c r="A228" i="14703"/>
  <c r="A224" i="14703"/>
  <c r="G52" i="14643"/>
  <c r="A32" i="14628"/>
  <c r="F15" i="14628"/>
  <c r="A1" i="14675"/>
  <c r="A1" i="14674"/>
  <c r="A4" i="14675" a="1"/>
  <c r="A4" i="14675" s="1"/>
  <c r="A33" i="14628"/>
  <c r="A1" i="14639"/>
  <c r="A26" i="14639"/>
  <c r="A26" i="14634"/>
  <c r="A39" i="14674" a="1"/>
  <c r="A42" i="14674" s="1"/>
  <c r="F26" i="14674"/>
  <c r="B30" i="14634"/>
  <c r="A19" i="14639" a="1"/>
  <c r="A19" i="14639" s="1"/>
  <c r="A37" i="14628"/>
  <c r="O26" i="14639"/>
  <c r="C26" i="14674" s="1"/>
  <c r="A30" i="14674"/>
  <c r="A32" i="14634"/>
  <c r="D26" i="14628"/>
  <c r="G26" i="14639"/>
  <c r="K26" i="14675"/>
  <c r="J26" i="14674"/>
  <c r="A39" i="14634" a="1"/>
  <c r="A41" i="14634" s="1"/>
  <c r="F7" i="14694"/>
  <c r="A237" i="14698"/>
  <c r="A245" i="14698"/>
  <c r="A246" i="14698"/>
  <c r="A90" i="14698"/>
  <c r="A71" i="14698"/>
  <c r="A19" i="14689"/>
  <c r="A18" i="14689"/>
  <c r="A5" i="14669"/>
  <c r="A12" i="14689"/>
  <c r="A72" i="14689" s="1"/>
  <c r="A6" i="14677"/>
  <c r="A243" i="14700"/>
  <c r="A13" i="14636"/>
  <c r="F52" i="14690"/>
  <c r="B28" i="14648"/>
  <c r="B28" i="14687" a="1"/>
  <c r="A166" i="14703"/>
  <c r="A170" i="14703"/>
  <c r="A174" i="14703"/>
  <c r="A167" i="14703"/>
  <c r="A171" i="14703"/>
  <c r="A175" i="14703"/>
  <c r="A168" i="14703"/>
  <c r="A176" i="14703"/>
  <c r="A169" i="14703"/>
  <c r="A177" i="14703"/>
  <c r="A165" i="14703"/>
  <c r="A173" i="14703"/>
  <c r="A130" i="14698"/>
  <c r="A138" i="14698"/>
  <c r="A132" i="14698"/>
  <c r="A140" i="14698"/>
  <c r="A134" i="14698"/>
  <c r="A136" i="14698"/>
  <c r="A137" i="14698"/>
  <c r="A129" i="14698"/>
  <c r="A136" i="14701"/>
  <c r="A130" i="14701"/>
  <c r="A141" i="14701"/>
  <c r="A133" i="14701"/>
  <c r="A140" i="14701"/>
  <c r="A138" i="14701"/>
  <c r="A89" i="14702"/>
  <c r="A89" i="14701"/>
  <c r="A46" i="14706"/>
  <c r="A47" i="14706"/>
  <c r="B15" i="14687"/>
  <c r="I15" i="14687" s="1"/>
  <c r="B11" i="14687"/>
  <c r="H11" i="14687" s="1"/>
  <c r="B14" i="14687"/>
  <c r="F14" i="14687" s="1"/>
  <c r="B9" i="14687"/>
  <c r="I9" i="14687" s="1"/>
  <c r="H7" i="14624" s="1"/>
  <c r="B16" i="14687"/>
  <c r="E16" i="14687" s="1"/>
  <c r="B12" i="14687"/>
  <c r="K12" i="14687" s="1"/>
  <c r="B13" i="14687"/>
  <c r="J13" i="14687" s="1"/>
  <c r="A7" i="14670"/>
  <c r="A5" i="14670"/>
  <c r="A15" i="14640"/>
  <c r="A17" i="14640"/>
  <c r="A22" i="14638"/>
  <c r="A26" i="14638"/>
  <c r="A19" i="14638"/>
  <c r="A27" i="14638"/>
  <c r="A23" i="14638"/>
  <c r="A19" i="14681"/>
  <c r="A20" i="14681"/>
  <c r="A18" i="14681"/>
  <c r="A23" i="14636"/>
  <c r="A22" i="14636"/>
  <c r="D55" i="14685" a="1"/>
  <c r="D55" i="14685" s="1"/>
  <c r="B37" i="14661" s="1"/>
  <c r="K15" i="14661"/>
  <c r="L15" i="14661" s="1"/>
  <c r="A31" i="14645"/>
  <c r="A30" i="14645"/>
  <c r="H80" i="14647"/>
  <c r="H95" i="14647" s="1"/>
  <c r="B62" i="14647"/>
  <c r="I62" i="14647" s="1"/>
  <c r="A22" i="14648"/>
  <c r="A24" i="14648"/>
  <c r="A23" i="14648"/>
  <c r="A222" i="14704"/>
  <c r="A226" i="14704"/>
  <c r="A230" i="14704"/>
  <c r="A228" i="14704"/>
  <c r="A223" i="14704"/>
  <c r="A231" i="14704"/>
  <c r="A220" i="14704"/>
  <c r="A244" i="14700"/>
  <c r="A242" i="14700"/>
  <c r="A245" i="14700"/>
  <c r="A240" i="14700"/>
  <c r="A237" i="14700"/>
  <c r="A91" i="14702"/>
  <c r="A104" i="14702"/>
  <c r="A92" i="14702"/>
  <c r="A100" i="14702"/>
  <c r="A93" i="14702"/>
  <c r="A103" i="14702"/>
  <c r="A94" i="14702"/>
  <c r="A102" i="14702"/>
  <c r="A95" i="14702"/>
  <c r="A98" i="14702"/>
  <c r="A97" i="14702"/>
  <c r="A92" i="14645"/>
  <c r="A95" i="14645"/>
  <c r="A93" i="14645"/>
  <c r="J7" i="14653"/>
  <c r="F7" i="14653"/>
  <c r="M7" i="14653"/>
  <c r="L7" i="14653"/>
  <c r="D7" i="14653"/>
  <c r="K7" i="14653"/>
  <c r="E7" i="14653"/>
  <c r="I7" i="14653"/>
  <c r="B75" i="14645"/>
  <c r="B76" i="14645" s="1"/>
  <c r="J75" i="14645"/>
  <c r="J76" i="14645" s="1"/>
  <c r="G21" i="14633"/>
  <c r="M65" i="14645"/>
  <c r="M66" i="14645" s="1"/>
  <c r="L21" i="14633"/>
  <c r="G75" i="14645"/>
  <c r="G76" i="14645" s="1"/>
  <c r="D75" i="14645"/>
  <c r="D76" i="14645" s="1"/>
  <c r="C21" i="14633"/>
  <c r="M21" i="14633"/>
  <c r="F21" i="14633"/>
  <c r="H21" i="14633"/>
  <c r="B40" i="14667"/>
  <c r="F75" i="14645"/>
  <c r="F76" i="14645" s="1"/>
  <c r="E21" i="14633"/>
  <c r="M75" i="14645"/>
  <c r="D21" i="14633"/>
  <c r="D27" i="11"/>
  <c r="I65" i="14645"/>
  <c r="I66" i="14645" s="1"/>
  <c r="L75" i="14645"/>
  <c r="L76" i="14645" s="1"/>
  <c r="K21" i="14633"/>
  <c r="J21" i="14633"/>
  <c r="E75" i="14645"/>
  <c r="E76" i="14645" s="1"/>
  <c r="C75" i="14645"/>
  <c r="C76" i="14645" s="1"/>
  <c r="A13" i="14661"/>
  <c r="A39" i="14689" a="1"/>
  <c r="J65" i="14645"/>
  <c r="J66" i="14645" s="1"/>
  <c r="A24" i="14633"/>
  <c r="A25" i="14633"/>
  <c r="A22" i="14676"/>
  <c r="A26" i="14702"/>
  <c r="A48" i="14652"/>
  <c r="B46" i="14643"/>
  <c r="B9" i="14689"/>
  <c r="B29" i="14647"/>
  <c r="I29" i="14647" s="1"/>
  <c r="A16" i="14689"/>
  <c r="A247" i="14698"/>
  <c r="A224" i="14704"/>
  <c r="A25" i="14625"/>
  <c r="A24" i="14676"/>
  <c r="A23" i="14702"/>
  <c r="A51" i="14698"/>
  <c r="L65" i="14645"/>
  <c r="L66" i="14645" s="1"/>
  <c r="A15" i="14689"/>
  <c r="A14" i="14689"/>
  <c r="A8" i="14676"/>
  <c r="A247" i="14700"/>
  <c r="A243" i="14698"/>
  <c r="A225" i="14704"/>
  <c r="P13" i="14699"/>
  <c r="Q13" i="14699" s="1"/>
  <c r="A238" i="14700"/>
  <c r="B67" i="14647"/>
  <c r="D67" i="14647" s="1"/>
  <c r="A45" i="14698"/>
  <c r="A9" i="14661"/>
  <c r="G7" i="14653"/>
  <c r="G14" i="14653" s="1"/>
  <c r="A96" i="14702"/>
  <c r="A99" i="14702"/>
  <c r="K75" i="14645"/>
  <c r="K76" i="14645" s="1"/>
  <c r="I21" i="14633"/>
  <c r="A91" i="14700"/>
  <c r="A95" i="14700"/>
  <c r="A98" i="14700"/>
  <c r="A97" i="14700"/>
  <c r="A104" i="14700"/>
  <c r="A92" i="14700"/>
  <c r="A100" i="14700"/>
  <c r="A93" i="14700"/>
  <c r="A99" i="14700"/>
  <c r="A96" i="14700"/>
  <c r="A101" i="14700"/>
  <c r="A118" i="14702"/>
  <c r="A115" i="14702"/>
  <c r="A123" i="14702"/>
  <c r="A122" i="14702"/>
  <c r="A20" i="14676"/>
  <c r="A5" i="14677"/>
  <c r="A239" i="14700"/>
  <c r="A249" i="14700"/>
  <c r="A241" i="14698"/>
  <c r="A221" i="14704"/>
  <c r="B59" i="14647"/>
  <c r="I59" i="14647" s="1"/>
  <c r="A248" i="14700"/>
  <c r="A8" i="14669"/>
  <c r="A7" i="14669"/>
  <c r="A12" i="14672"/>
  <c r="A10" i="14672"/>
  <c r="A51" i="14687"/>
  <c r="A49" i="14687"/>
  <c r="B29" i="14706"/>
  <c r="C7" i="14653"/>
  <c r="A18" i="14629"/>
  <c r="A20" i="14629"/>
  <c r="I75" i="14645"/>
  <c r="I76" i="14645" s="1"/>
  <c r="H75" i="14645"/>
  <c r="D30" i="14647"/>
  <c r="D45" i="14647" s="1"/>
  <c r="B13" i="14647"/>
  <c r="I13" i="14647" s="1"/>
  <c r="D76" i="14647"/>
  <c r="D91" i="14647" s="1"/>
  <c r="B58" i="14647"/>
  <c r="I58" i="14647" s="1"/>
  <c r="N27" i="14653"/>
  <c r="A57" i="14689"/>
  <c r="A79" i="14689" s="1"/>
  <c r="A63" i="14689"/>
  <c r="A29" i="14694"/>
  <c r="A27" i="14694"/>
  <c r="A96" i="14687"/>
  <c r="A99" i="14687"/>
  <c r="A97" i="14687"/>
  <c r="B6" i="14647"/>
  <c r="H6" i="14647"/>
  <c r="E6" i="14647"/>
  <c r="A24" i="14674"/>
  <c r="A24" i="14634"/>
  <c r="N32" i="14653"/>
  <c r="P32" i="14653" s="1"/>
  <c r="J19" i="14708" s="1"/>
  <c r="D45" i="14653"/>
  <c r="D58" i="14653" s="1"/>
  <c r="D71" i="14653" s="1"/>
  <c r="C26" i="14628"/>
  <c r="D15" i="14628"/>
  <c r="F26" i="14639"/>
  <c r="K26" i="14628"/>
  <c r="F26" i="14628"/>
  <c r="K26" i="14634"/>
  <c r="G26" i="14674"/>
  <c r="F26" i="14675"/>
  <c r="D26" i="14674"/>
  <c r="D26" i="14675"/>
  <c r="N26" i="14674"/>
  <c r="H26" i="14628"/>
  <c r="L26" i="14675"/>
  <c r="J26" i="14634"/>
  <c r="D15" i="14675"/>
  <c r="K26" i="14674"/>
  <c r="M26" i="14675"/>
  <c r="M26" i="14634"/>
  <c r="G26" i="14634"/>
  <c r="N26" i="14628"/>
  <c r="J26" i="14628"/>
  <c r="G6" i="14685"/>
  <c r="G13" i="14685" a="1"/>
  <c r="G15" i="14685" s="1"/>
  <c r="G34" i="14685" a="1"/>
  <c r="G34" i="14685" s="1"/>
  <c r="G53" i="14685" a="1"/>
  <c r="G40" i="14685" a="1"/>
  <c r="G42" i="14685" s="1"/>
  <c r="B6" i="14631"/>
  <c r="L6" i="14631"/>
  <c r="E38" i="14665"/>
  <c r="D6" i="14640" s="1"/>
  <c r="E6" i="14631"/>
  <c r="F55" i="14665"/>
  <c r="B54" i="14665"/>
  <c r="C3" i="4128"/>
  <c r="E14" i="14708"/>
  <c r="A71" i="14701"/>
  <c r="A58" i="14701"/>
  <c r="A45" i="14701"/>
  <c r="B12" i="14706"/>
  <c r="D16" i="14667"/>
  <c r="D12" i="14706"/>
  <c r="B12" i="14696"/>
  <c r="C22" i="14626"/>
  <c r="I11" i="14645"/>
  <c r="I12" i="14645" s="1"/>
  <c r="K11" i="14645"/>
  <c r="K12" i="14645" s="1"/>
  <c r="B16" i="14667"/>
  <c r="M11" i="14645"/>
  <c r="H11" i="14645"/>
  <c r="H12" i="14645" s="1"/>
  <c r="I14" i="14622"/>
  <c r="H11" i="14622"/>
  <c r="A48" i="14648"/>
  <c r="A47" i="14648"/>
  <c r="A42" i="14648"/>
  <c r="A44" i="14648"/>
  <c r="A45" i="14648"/>
  <c r="U23" i="14655"/>
  <c r="J11" i="14708"/>
  <c r="V23" i="14655" s="1"/>
  <c r="K163" i="14703"/>
  <c r="K163" i="14702"/>
  <c r="G45" i="14685"/>
  <c r="G52" i="14685"/>
  <c r="G22" i="14685"/>
  <c r="O10" i="14699" a="1"/>
  <c r="O10" i="14699" s="1"/>
  <c r="P10" i="14699"/>
  <c r="Q10" i="14699" s="1"/>
  <c r="K13" i="14655"/>
  <c r="K17" i="14655"/>
  <c r="K21" i="14655"/>
  <c r="K15" i="14655"/>
  <c r="K19" i="14655"/>
  <c r="A141" i="14703"/>
  <c r="A133" i="14703"/>
  <c r="A213" i="14703"/>
  <c r="A205" i="14703"/>
  <c r="A49" i="14623"/>
  <c r="A51" i="14623"/>
  <c r="A47" i="14632" s="1" a="1"/>
  <c r="B22" i="14685"/>
  <c r="B26" i="14685" s="1"/>
  <c r="C22" i="14685"/>
  <c r="L14" i="14657"/>
  <c r="M14" i="14657"/>
  <c r="D19" i="14652" a="1"/>
  <c r="C40" i="14622"/>
  <c r="A138" i="14707" a="1"/>
  <c r="A140" i="14707" s="1"/>
  <c r="A40" i="14622"/>
  <c r="H23" i="14690"/>
  <c r="H25" i="14690" s="1"/>
  <c r="A33" i="14652" a="1"/>
  <c r="A39" i="14652" s="1"/>
  <c r="A39" i="14622"/>
  <c r="K24" i="14676"/>
  <c r="F24" i="14676"/>
  <c r="A28" i="14692"/>
  <c r="A30" i="14692"/>
  <c r="A39" i="14687"/>
  <c r="A42" i="14687"/>
  <c r="D32" i="14652"/>
  <c r="E32" i="14652"/>
  <c r="A137" i="14703"/>
  <c r="A209" i="14703"/>
  <c r="A176" i="14704"/>
  <c r="D28" i="11"/>
  <c r="G25" i="14626"/>
  <c r="E6" i="8"/>
  <c r="C6" i="8"/>
  <c r="B9" i="14628"/>
  <c r="B9" i="14675" s="1"/>
  <c r="A4" i="14639" a="1"/>
  <c r="A4" i="14639" s="1"/>
  <c r="B23" i="14689"/>
  <c r="B24" i="14689"/>
  <c r="A130" i="14703"/>
  <c r="A134" i="14703"/>
  <c r="A138" i="14703"/>
  <c r="A131" i="14703"/>
  <c r="A135" i="14703"/>
  <c r="A139" i="14703"/>
  <c r="A202" i="14703"/>
  <c r="A206" i="14703"/>
  <c r="A210" i="14703"/>
  <c r="A203" i="14703"/>
  <c r="A207" i="14703"/>
  <c r="A211" i="14703"/>
  <c r="A134" i="14700"/>
  <c r="A138" i="14700"/>
  <c r="A91" i="14698"/>
  <c r="A103" i="14698"/>
  <c r="A118" i="14701"/>
  <c r="A122" i="14701"/>
  <c r="B27" i="14648"/>
  <c r="F51" i="14690"/>
  <c r="B42" i="14648" s="1"/>
  <c r="A11" i="14639" a="1"/>
  <c r="A12" i="14639" s="1"/>
  <c r="I26" i="14675"/>
  <c r="G10" i="14687"/>
  <c r="F8" i="14624" s="1"/>
  <c r="A226" i="14702"/>
  <c r="A228" i="14700"/>
  <c r="A21" i="14645"/>
  <c r="C52" i="14643"/>
  <c r="A38" i="14674"/>
  <c r="O26" i="14628"/>
  <c r="C26" i="14634" s="1"/>
  <c r="N26" i="14675"/>
  <c r="J26" i="14675"/>
  <c r="D26" i="14639"/>
  <c r="N26" i="14639"/>
  <c r="D26" i="14634"/>
  <c r="L26" i="14639"/>
  <c r="I26" i="14674"/>
  <c r="G26" i="14628"/>
  <c r="N26" i="14634"/>
  <c r="M26" i="14674"/>
  <c r="J26" i="14639"/>
  <c r="F26" i="14634"/>
  <c r="E26" i="14674"/>
  <c r="L26" i="14628"/>
  <c r="O26" i="14675"/>
  <c r="L26" i="14674"/>
  <c r="E26" i="14634"/>
  <c r="I26" i="14634"/>
  <c r="E26" i="14628"/>
  <c r="K26" i="14639"/>
  <c r="E26" i="14675"/>
  <c r="G15" i="14628"/>
  <c r="O26" i="14634"/>
  <c r="C26" i="14639" s="1"/>
  <c r="E26" i="14639"/>
  <c r="O26" i="14674"/>
  <c r="C26" i="14675" s="1"/>
  <c r="A26" i="14675"/>
  <c r="A19" i="14675" a="1"/>
  <c r="A21" i="14675" s="1"/>
  <c r="A11" i="14675" a="1"/>
  <c r="A12" i="14675" s="1"/>
  <c r="A4" i="14674" a="1"/>
  <c r="A6" i="14674" s="1"/>
  <c r="A39" i="14675" a="1"/>
  <c r="A40" i="14675" s="1"/>
  <c r="A33" i="14674"/>
  <c r="A21" i="14639"/>
  <c r="A39" i="14639" a="1"/>
  <c r="A40" i="14639" s="1"/>
  <c r="B15" i="14639"/>
  <c r="B30" i="14639"/>
  <c r="B30" i="14675"/>
  <c r="F42" i="14639"/>
  <c r="I42" i="14639"/>
  <c r="L42" i="14639"/>
  <c r="D42" i="14674"/>
  <c r="G42" i="14674"/>
  <c r="J42" i="14674"/>
  <c r="M42" i="14674"/>
  <c r="F42" i="14675"/>
  <c r="I42" i="14675"/>
  <c r="L42" i="14675"/>
  <c r="D42" i="14634"/>
  <c r="G42" i="14634"/>
  <c r="J42" i="14634"/>
  <c r="M42" i="14634"/>
  <c r="F42" i="14628"/>
  <c r="I42" i="14628"/>
  <c r="L42" i="14628"/>
  <c r="D42" i="14639"/>
  <c r="G42" i="14639"/>
  <c r="J42" i="14639"/>
  <c r="M42" i="14639"/>
  <c r="F42" i="14674"/>
  <c r="I42" i="14674"/>
  <c r="L42" i="14674"/>
  <c r="D42" i="14675"/>
  <c r="G42" i="14675"/>
  <c r="J42" i="14675"/>
  <c r="M42" i="14675"/>
  <c r="F42" i="14634"/>
  <c r="I42" i="14634"/>
  <c r="L42" i="14634"/>
  <c r="D42" i="14628"/>
  <c r="G42" i="14628"/>
  <c r="J42" i="14628"/>
  <c r="M42" i="14628"/>
  <c r="O33" i="14653"/>
  <c r="L46" i="14653" s="1"/>
  <c r="K33" i="14653"/>
  <c r="N33" i="14653" s="1"/>
  <c r="O22" i="14653"/>
  <c r="O23" i="14653" s="1"/>
  <c r="J46" i="14653"/>
  <c r="M46" i="14653"/>
  <c r="K9" i="14687"/>
  <c r="J7" i="14624" s="1"/>
  <c r="M10" i="14687"/>
  <c r="L8" i="14624" s="1"/>
  <c r="A10" i="14679"/>
  <c r="A9" i="14679"/>
  <c r="B45" i="14643"/>
  <c r="B42" i="14643"/>
  <c r="A52" i="14698"/>
  <c r="A21" i="14668"/>
  <c r="A20" i="14668"/>
  <c r="A65" i="14653"/>
  <c r="A64" i="14653"/>
  <c r="A26" i="14653"/>
  <c r="A19" i="14653"/>
  <c r="A21" i="14653"/>
  <c r="A51" i="14652"/>
  <c r="A49" i="14652"/>
  <c r="A46" i="14652"/>
  <c r="A45" i="14652"/>
  <c r="B67" i="14643"/>
  <c r="A31" i="14674"/>
  <c r="A61" i="14703"/>
  <c r="A36" i="14700"/>
  <c r="A32" i="14700"/>
  <c r="A39" i="14700"/>
  <c r="A33" i="14700"/>
  <c r="A20" i="14702"/>
  <c r="A27" i="14702"/>
  <c r="A24" i="14702"/>
  <c r="A21" i="14702"/>
  <c r="A21" i="14630"/>
  <c r="A23" i="14630"/>
  <c r="C9" i="14687"/>
  <c r="B7" i="14624" s="1"/>
  <c r="B56" i="14643"/>
  <c r="B53" i="14643"/>
  <c r="B57" i="14643"/>
  <c r="B59" i="14643"/>
  <c r="B55" i="14643"/>
  <c r="A20" i="14698"/>
  <c r="A13" i="14653"/>
  <c r="A12" i="14653"/>
  <c r="A9" i="14653"/>
  <c r="A8" i="14653"/>
  <c r="A35" i="14679"/>
  <c r="A42" i="14679"/>
  <c r="A40" i="14679"/>
  <c r="A38" i="14679"/>
  <c r="A35" i="14687"/>
  <c r="A32" i="14687"/>
  <c r="L14" i="14655"/>
  <c r="J11" i="14655"/>
  <c r="E14" i="14687"/>
  <c r="D7" i="14652"/>
  <c r="D14" i="14652"/>
  <c r="D10" i="14652"/>
  <c r="D9" i="14652"/>
  <c r="D8" i="14652"/>
  <c r="D11" i="14652"/>
  <c r="D12" i="14652"/>
  <c r="D13" i="14652"/>
  <c r="D20" i="14685" a="1"/>
  <c r="D20" i="14685" s="1"/>
  <c r="B31" i="14661" s="1"/>
  <c r="K9" i="14661"/>
  <c r="L9" i="14661" s="1"/>
  <c r="C20" i="14685" a="1"/>
  <c r="C20" i="14685" s="1"/>
  <c r="J13" i="14685" a="1"/>
  <c r="J13" i="14685" s="1"/>
  <c r="B9" i="14661"/>
  <c r="B11" i="14661"/>
  <c r="K11" i="14661"/>
  <c r="L11" i="14661" s="1"/>
  <c r="B43" i="14648"/>
  <c r="G52" i="14690"/>
  <c r="B58" i="14648" s="1"/>
  <c r="B10" i="14661"/>
  <c r="K10" i="14661"/>
  <c r="L10" i="14661" s="1"/>
  <c r="A40" i="14645" a="1"/>
  <c r="A41" i="14645" s="1"/>
  <c r="A89" i="14648"/>
  <c r="A118" i="14665"/>
  <c r="A55" i="14647" a="1"/>
  <c r="A56" i="14647" s="1"/>
  <c r="B31" i="14686"/>
  <c r="D38" i="14676"/>
  <c r="A94" i="14645"/>
  <c r="H52" i="14643"/>
  <c r="F52" i="14643"/>
  <c r="D52" i="14643"/>
  <c r="A17" i="14629"/>
  <c r="J29" i="14685" a="1"/>
  <c r="B15" i="14689"/>
  <c r="A94" i="14648"/>
  <c r="A123" i="14665"/>
  <c r="F56" i="14652"/>
  <c r="A31" i="14617"/>
  <c r="C18" i="14710"/>
  <c r="B9" i="14693"/>
  <c r="D19" i="14667"/>
  <c r="N8" i="14625"/>
  <c r="O8" i="14625" s="1"/>
  <c r="A12" i="14659"/>
  <c r="A52" i="14689"/>
  <c r="A78" i="14689" s="1"/>
  <c r="A55" i="14689"/>
  <c r="A25" i="14629"/>
  <c r="A24" i="14629"/>
  <c r="A22" i="14672"/>
  <c r="A25" i="14672"/>
  <c r="B8" i="14689"/>
  <c r="B7" i="14689"/>
  <c r="D30" i="14686" a="1"/>
  <c r="D30" i="14686" s="1"/>
  <c r="D48" i="14686" a="1"/>
  <c r="D48" i="14686" s="1"/>
  <c r="A11" i="14679"/>
  <c r="A12" i="14679"/>
  <c r="A13" i="14679"/>
  <c r="A8" i="14679"/>
  <c r="B44" i="14643"/>
  <c r="B47" i="14643"/>
  <c r="B43" i="14643"/>
  <c r="B41" i="14643"/>
  <c r="A9" i="14683"/>
  <c r="A53" i="14698"/>
  <c r="A18" i="14668"/>
  <c r="A22" i="14668"/>
  <c r="A24" i="14668"/>
  <c r="A19" i="14668"/>
  <c r="A62" i="14653"/>
  <c r="A61" i="14653"/>
  <c r="A63" i="14653"/>
  <c r="A59" i="14653"/>
  <c r="A22" i="14653"/>
  <c r="A23" i="14653"/>
  <c r="A20" i="14653"/>
  <c r="N10" i="14687"/>
  <c r="M8" i="14624" s="1"/>
  <c r="K10" i="14687"/>
  <c r="J8" i="14624" s="1"/>
  <c r="D10" i="14687"/>
  <c r="C8" i="14624" s="1"/>
  <c r="C10" i="14687"/>
  <c r="E10" i="14687"/>
  <c r="D8" i="14624" s="1"/>
  <c r="D46" i="14647"/>
  <c r="B46" i="14647" s="1"/>
  <c r="I46" i="14647" s="1"/>
  <c r="B31" i="14647"/>
  <c r="I31" i="14647" s="1"/>
  <c r="A33" i="14687"/>
  <c r="A34" i="14687"/>
  <c r="A29" i="14687"/>
  <c r="A31" i="14687"/>
  <c r="G35" i="14685"/>
  <c r="G36" i="14685"/>
  <c r="C20" i="14626"/>
  <c r="D14" i="14706"/>
  <c r="F14" i="14706" s="1"/>
  <c r="H14" i="14706" s="1"/>
  <c r="J14" i="14706" s="1"/>
  <c r="L14" i="14706" s="1"/>
  <c r="N14" i="14706" s="1"/>
  <c r="A63" i="14694"/>
  <c r="A60" i="14694"/>
  <c r="A61" i="14694"/>
  <c r="E34" i="14653"/>
  <c r="F34" i="14653"/>
  <c r="B62" i="14689"/>
  <c r="B59" i="14689"/>
  <c r="B60" i="14689"/>
  <c r="J55" i="14685"/>
  <c r="J53" i="14685"/>
  <c r="J54" i="14685"/>
  <c r="C10" i="14685" a="1"/>
  <c r="C10" i="14685" s="1"/>
  <c r="J6" i="14685" a="1"/>
  <c r="J8" i="14685" s="1"/>
  <c r="B8" i="14661"/>
  <c r="E67" i="14647"/>
  <c r="D65" i="14645" s="1"/>
  <c r="D66" i="14645" s="1"/>
  <c r="L12" i="14708"/>
  <c r="W25" i="14655" s="1"/>
  <c r="V25" i="14655"/>
  <c r="V26" i="14655"/>
  <c r="A10" i="14676"/>
  <c r="A6" i="14676"/>
  <c r="A7" i="14676"/>
  <c r="A5" i="14676"/>
  <c r="A8" i="14677"/>
  <c r="A11" i="14677"/>
  <c r="A10" i="14633"/>
  <c r="A7" i="14633"/>
  <c r="A11" i="14633"/>
  <c r="A5" i="14633"/>
  <c r="A63" i="14701"/>
  <c r="A22" i="14669"/>
  <c r="B84" i="14643"/>
  <c r="B85" i="14643"/>
  <c r="B82" i="14643"/>
  <c r="B79" i="14643"/>
  <c r="A36" i="14698"/>
  <c r="A80" i="14647"/>
  <c r="A79" i="14647"/>
  <c r="A74" i="14647"/>
  <c r="G35" i="14653"/>
  <c r="E6" i="14686"/>
  <c r="A30" i="14695"/>
  <c r="A29" i="14695"/>
  <c r="A28" i="14695"/>
  <c r="A8" i="14689"/>
  <c r="A9" i="14689"/>
  <c r="H9" i="14694"/>
  <c r="H8" i="14694"/>
  <c r="G5" i="14694"/>
  <c r="A63" i="14698"/>
  <c r="A40" i="14652"/>
  <c r="A37" i="14652"/>
  <c r="A36" i="14648"/>
  <c r="A19" i="14629"/>
  <c r="C17" i="14661"/>
  <c r="A9" i="14698"/>
  <c r="A142" i="14698" s="1"/>
  <c r="A17" i="14672"/>
  <c r="N24" i="14633"/>
  <c r="F24" i="14633"/>
  <c r="J24" i="14676"/>
  <c r="C24" i="14676"/>
  <c r="B6" i="14695" a="1"/>
  <c r="A15" i="14698"/>
  <c r="F35" i="14667"/>
  <c r="H35" i="14667" s="1"/>
  <c r="J35" i="14667" s="1"/>
  <c r="L35" i="14667" s="1"/>
  <c r="N35" i="14667" s="1"/>
  <c r="B13" i="14689"/>
  <c r="A24" i="14707" a="1"/>
  <c r="A27" i="14707" s="1"/>
  <c r="A8" i="14703" a="1"/>
  <c r="A11" i="14703" s="1"/>
  <c r="E18" i="4129"/>
  <c r="A128" i="14665" s="1"/>
  <c r="P9" i="14699"/>
  <c r="Q9" i="14699" s="1"/>
  <c r="E4" i="14661"/>
  <c r="A32" i="14702" a="1"/>
  <c r="A39" i="14702" s="1"/>
  <c r="G24" i="14633"/>
  <c r="C43" i="14647"/>
  <c r="B43" i="14647" s="1"/>
  <c r="I43" i="14647" s="1"/>
  <c r="B28" i="14647"/>
  <c r="I28" i="14647" s="1"/>
  <c r="G25" i="14647"/>
  <c r="B8" i="14647"/>
  <c r="I8" i="14647" s="1"/>
  <c r="A19" i="14634" a="1"/>
  <c r="A21" i="14634" s="1"/>
  <c r="A19" i="14674" a="1"/>
  <c r="A21" i="14674" s="1"/>
  <c r="A11" i="14634" a="1"/>
  <c r="A11" i="14634" s="1"/>
  <c r="A11" i="14674" a="1"/>
  <c r="A13" i="14674" s="1"/>
  <c r="A4" i="14634" a="1"/>
  <c r="A7" i="14634" s="1"/>
  <c r="A2" i="14634"/>
  <c r="A2" i="14674"/>
  <c r="A37" i="14686" a="1"/>
  <c r="A40" i="14686" s="1"/>
  <c r="A88" i="14707" a="1"/>
  <c r="A92" i="14707" s="1"/>
  <c r="D15" i="14639"/>
  <c r="D15" i="14634"/>
  <c r="M26" i="14628"/>
  <c r="L26" i="14634"/>
  <c r="I26" i="14639"/>
  <c r="G26" i="14675"/>
  <c r="I26" i="14628"/>
  <c r="E17" i="14661" a="1"/>
  <c r="C55" i="14685" a="1"/>
  <c r="C55" i="14685" s="1"/>
  <c r="C57" i="14685"/>
  <c r="D57" i="14685"/>
  <c r="A150" i="14704"/>
  <c r="A158" i="14704"/>
  <c r="A154" i="14704"/>
  <c r="A165" i="14700"/>
  <c r="A169" i="14700"/>
  <c r="A173" i="14700"/>
  <c r="A177" i="14700"/>
  <c r="A167" i="14700"/>
  <c r="A175" i="14700"/>
  <c r="A22" i="14679"/>
  <c r="A26" i="14679"/>
  <c r="F11" i="14653"/>
  <c r="J11" i="14653"/>
  <c r="B16" i="14689"/>
  <c r="B19" i="14689"/>
  <c r="B14" i="14689"/>
  <c r="B17" i="14689"/>
  <c r="A48" i="14695" a="1"/>
  <c r="A52" i="14695" s="1"/>
  <c r="A55" i="14695" a="1"/>
  <c r="A41" i="14695" a="1"/>
  <c r="A45" i="14695" s="1"/>
  <c r="C33" i="14649"/>
  <c r="E30" i="14696"/>
  <c r="B88" i="14665"/>
  <c r="I88" i="14665"/>
  <c r="L88" i="14665"/>
  <c r="A8" i="14699" a="1"/>
  <c r="A11" i="14699" s="1"/>
  <c r="A5" i="14637" a="1"/>
  <c r="A35" i="14638" a="1"/>
  <c r="A39" i="14638" s="1"/>
  <c r="A8" i="14701" a="1"/>
  <c r="A15" i="14701" s="1"/>
  <c r="A8" i="14700" a="1"/>
  <c r="A8" i="14700" s="1"/>
  <c r="A55" i="14707" a="1"/>
  <c r="B41" i="14689"/>
  <c r="B40" i="14689"/>
  <c r="B53" i="14689"/>
  <c r="B54" i="14689"/>
  <c r="A150" i="14698"/>
  <c r="A154" i="14698"/>
  <c r="A186" i="14698"/>
  <c r="A194" i="14698"/>
  <c r="A190" i="14698"/>
  <c r="D19" i="14686"/>
  <c r="E19" i="14686" s="1"/>
  <c r="F19" i="14686" s="1"/>
  <c r="C29" i="14686" a="1"/>
  <c r="C29" i="14686" s="1"/>
  <c r="A5" i="14640"/>
  <c r="A7" i="14640"/>
  <c r="A15" i="14636"/>
  <c r="A15" i="14673"/>
  <c r="B39" i="14685"/>
  <c r="B43" i="14685" s="1"/>
  <c r="J40" i="14685" s="1" a="1"/>
  <c r="E39" i="14685"/>
  <c r="E43" i="14685" s="1"/>
  <c r="C13" i="14661" s="1"/>
  <c r="C39" i="14685"/>
  <c r="D25" i="11"/>
  <c r="D28" i="14706"/>
  <c r="G23" i="14626"/>
  <c r="A10" i="14661"/>
  <c r="A22" i="14689" a="1"/>
  <c r="A12" i="14661"/>
  <c r="A33" i="14689" a="1"/>
  <c r="A34" i="14689" s="1"/>
  <c r="A14" i="14661"/>
  <c r="A45" i="14689" a="1"/>
  <c r="I21" i="14622"/>
  <c r="G18" i="14622"/>
  <c r="L7" i="14661"/>
  <c r="J6" i="14661"/>
  <c r="A63" i="14648"/>
  <c r="A60" i="14648"/>
  <c r="A57" i="14648"/>
  <c r="A61" i="14648"/>
  <c r="A33" i="14648"/>
  <c r="A30" i="14648"/>
  <c r="A27" i="14648"/>
  <c r="A31" i="14648"/>
  <c r="I46" i="14653"/>
  <c r="G8" i="14661"/>
  <c r="F8" i="14661"/>
  <c r="F6" i="14661" s="1"/>
  <c r="O13" i="14655"/>
  <c r="O15" i="14655"/>
  <c r="O17" i="14655"/>
  <c r="O19" i="14655"/>
  <c r="O21" i="14655"/>
  <c r="K10" i="14655"/>
  <c r="K12" i="14655"/>
  <c r="K16" i="14655"/>
  <c r="K20" i="14655"/>
  <c r="G13" i="14655"/>
  <c r="G15" i="14655"/>
  <c r="G17" i="14655"/>
  <c r="G19" i="14655"/>
  <c r="G21" i="14655"/>
  <c r="A166" i="14704"/>
  <c r="A172" i="14704"/>
  <c r="A168" i="14702"/>
  <c r="A176" i="14702"/>
  <c r="A112" i="14701"/>
  <c r="A116" i="14701"/>
  <c r="A120" i="14701"/>
  <c r="A114" i="14700"/>
  <c r="A122" i="14700"/>
  <c r="C31" i="14685" a="1"/>
  <c r="C31" i="14685" s="1"/>
  <c r="D31" i="14685" a="1"/>
  <c r="D31" i="14685" s="1"/>
  <c r="B33" i="14661" s="1"/>
  <c r="A5" i="14625" a="1"/>
  <c r="A9" i="14625" s="1"/>
  <c r="A15" i="14676"/>
  <c r="A22" i="14641"/>
  <c r="A40" i="14674"/>
  <c r="A17" i="14633"/>
  <c r="A14" i="14633"/>
  <c r="D30" i="11"/>
  <c r="D43" i="14667" s="1"/>
  <c r="F43" i="14667" s="1"/>
  <c r="H43" i="14667" s="1"/>
  <c r="J43" i="14667" s="1"/>
  <c r="L43" i="14667" s="1"/>
  <c r="N43" i="14667" s="1"/>
  <c r="B33" i="14652" a="1"/>
  <c r="B37" i="14652" s="1"/>
  <c r="O25" i="14655"/>
  <c r="O23" i="14655"/>
  <c r="M23" i="14655"/>
  <c r="M25" i="14655"/>
  <c r="K25" i="14655"/>
  <c r="K23" i="14655"/>
  <c r="I23" i="14655"/>
  <c r="I25" i="14655"/>
  <c r="G25" i="14655"/>
  <c r="G23" i="14655"/>
  <c r="E23" i="14655"/>
  <c r="E25" i="14655"/>
  <c r="E26" i="14655"/>
  <c r="E18" i="14655"/>
  <c r="E14" i="14655"/>
  <c r="E10" i="14655"/>
  <c r="E6" i="14655"/>
  <c r="B26" i="14693"/>
  <c r="M21" i="14655"/>
  <c r="I21" i="14655"/>
  <c r="E21" i="14655"/>
  <c r="M20" i="14655"/>
  <c r="I20" i="14655"/>
  <c r="E20" i="14655"/>
  <c r="M19" i="14655"/>
  <c r="I19" i="14655"/>
  <c r="M17" i="14655"/>
  <c r="I17" i="14655"/>
  <c r="E17" i="14655"/>
  <c r="M16" i="14655"/>
  <c r="I16" i="14655"/>
  <c r="E16" i="14655"/>
  <c r="M15" i="14655"/>
  <c r="I15" i="14655"/>
  <c r="M13" i="14655"/>
  <c r="I13" i="14655"/>
  <c r="E13" i="14655"/>
  <c r="M12" i="14655"/>
  <c r="I12" i="14655"/>
  <c r="M10" i="14655"/>
  <c r="I10" i="14655"/>
  <c r="P8" i="14655"/>
  <c r="P23" i="14655"/>
  <c r="P25" i="14655"/>
  <c r="N23" i="14655"/>
  <c r="N25" i="14655"/>
  <c r="L8" i="14655"/>
  <c r="L23" i="14655"/>
  <c r="L25" i="14655"/>
  <c r="J23" i="14655"/>
  <c r="J25" i="14655"/>
  <c r="H23" i="14655"/>
  <c r="H25" i="14655"/>
  <c r="L7" i="14655"/>
  <c r="I1" i="14659"/>
  <c r="G6" i="14661"/>
  <c r="H8" i="14661"/>
  <c r="H6" i="14661" s="1"/>
  <c r="E8" i="14661"/>
  <c r="E6" i="14661" s="1"/>
  <c r="B10" i="14693"/>
  <c r="A15" i="14690"/>
  <c r="A8" i="11" s="1"/>
  <c r="D48" i="14710"/>
  <c r="I3" i="14659"/>
  <c r="A22" i="14622"/>
  <c r="B8" i="14693"/>
  <c r="I2" i="14659"/>
  <c r="A42" i="14667"/>
  <c r="K1" i="14657"/>
  <c r="K3" i="14657" s="1"/>
  <c r="C24" i="14626"/>
  <c r="M42" i="14662"/>
  <c r="C33" i="14710"/>
  <c r="M10" i="14645"/>
  <c r="N10" i="14645" s="1"/>
  <c r="M41" i="14662"/>
  <c r="A50" i="14687"/>
  <c r="A52" i="14687"/>
  <c r="A48" i="14687"/>
  <c r="A7" i="14673"/>
  <c r="A11" i="14673"/>
  <c r="A14" i="14673"/>
  <c r="A13" i="14672"/>
  <c r="A8" i="14672"/>
  <c r="A7" i="14672"/>
  <c r="G9" i="14687"/>
  <c r="F7" i="14624" s="1"/>
  <c r="A9" i="14636"/>
  <c r="A8" i="14706"/>
  <c r="I145" i="14704"/>
  <c r="I127" i="14704"/>
  <c r="I70" i="14704"/>
  <c r="I109" i="14704"/>
  <c r="G29" i="14685"/>
  <c r="G10" i="14705"/>
  <c r="F10" i="14626"/>
  <c r="B41" i="14702"/>
  <c r="C29" i="14705"/>
  <c r="A17" i="14641"/>
  <c r="A14" i="14641"/>
  <c r="A30" i="14634"/>
  <c r="B15" i="14674"/>
  <c r="A60" i="14672"/>
  <c r="E31" i="14665"/>
  <c r="A31" i="14698"/>
  <c r="A23" i="14676"/>
  <c r="A9" i="14676"/>
  <c r="A9" i="14677"/>
  <c r="C18" i="14659"/>
  <c r="A4" i="14679"/>
  <c r="B41" i="14698"/>
  <c r="B41" i="14700"/>
  <c r="H2" i="14681"/>
  <c r="A15" i="14677"/>
  <c r="A15" i="14641"/>
  <c r="A89" i="14698"/>
  <c r="A31" i="14701"/>
  <c r="A57" i="14704"/>
  <c r="B76" i="14665"/>
  <c r="F21" i="4129"/>
  <c r="D14" i="14687"/>
  <c r="G14" i="14687"/>
  <c r="G13" i="14687"/>
  <c r="I10" i="14687"/>
  <c r="H8" i="14624" s="1"/>
  <c r="I14" i="14687"/>
  <c r="H15" i="14687"/>
  <c r="D9" i="14687"/>
  <c r="E9" i="14687"/>
  <c r="C14" i="14686"/>
  <c r="D15" i="14687"/>
  <c r="F9" i="14687"/>
  <c r="M9" i="14687"/>
  <c r="M14" i="14687"/>
  <c r="N14" i="14687"/>
  <c r="L14" i="14687"/>
  <c r="C14" i="14687"/>
  <c r="G15" i="14687"/>
  <c r="D7" i="14686"/>
  <c r="B47" i="14687" s="1" a="1"/>
  <c r="H9" i="14687"/>
  <c r="G7" i="14624" s="1"/>
  <c r="C16" i="14687"/>
  <c r="K14" i="14687"/>
  <c r="M13" i="14687"/>
  <c r="C15" i="14687"/>
  <c r="M6" i="14631"/>
  <c r="I6" i="14631"/>
  <c r="K6" i="14631"/>
  <c r="G37" i="14685"/>
  <c r="K163" i="14698"/>
  <c r="K163" i="14700"/>
  <c r="K163" i="14704"/>
  <c r="A5" i="14634"/>
  <c r="E28" i="14665"/>
  <c r="E26" i="14665"/>
  <c r="E27" i="14665"/>
  <c r="I18" i="14700"/>
  <c r="I18" i="14702"/>
  <c r="A45" i="14638"/>
  <c r="A45" i="14678"/>
  <c r="A29" i="11"/>
  <c r="A12" i="11"/>
  <c r="A20" i="11"/>
  <c r="A10" i="11"/>
  <c r="K163" i="14701"/>
  <c r="E29" i="14665"/>
  <c r="B26" i="14626"/>
  <c r="A17" i="14677"/>
  <c r="A14" i="14677"/>
  <c r="A17" i="14625"/>
  <c r="A30" i="14675"/>
  <c r="B15" i="14675"/>
  <c r="A60" i="14629"/>
  <c r="J9" i="14687"/>
  <c r="I7" i="14624" s="1"/>
  <c r="N9" i="14687"/>
  <c r="M7" i="14624" s="1"/>
  <c r="L9" i="14687"/>
  <c r="K7" i="14624" s="1"/>
  <c r="N16" i="14687"/>
  <c r="A9" i="14641"/>
  <c r="A27" i="11"/>
  <c r="A25" i="11"/>
  <c r="A11" i="11"/>
  <c r="A23" i="14641"/>
  <c r="L10" i="14687"/>
  <c r="K8" i="14624" s="1"/>
  <c r="H10" i="14687"/>
  <c r="G8" i="14624" s="1"/>
  <c r="J10" i="14687"/>
  <c r="I8" i="14624" s="1"/>
  <c r="H14" i="14687"/>
  <c r="J14" i="14687"/>
  <c r="A9" i="14633"/>
  <c r="A20" i="14639"/>
  <c r="A89" i="14704"/>
  <c r="A38" i="14695"/>
  <c r="B43" i="14622"/>
  <c r="I44" i="14703"/>
  <c r="I145" i="14703" s="1"/>
  <c r="A89" i="14700"/>
  <c r="K199" i="14702"/>
  <c r="K199" i="14703"/>
  <c r="K199" i="14698"/>
  <c r="K199" i="14700"/>
  <c r="K199" i="14701"/>
  <c r="G29" i="14705"/>
  <c r="F25" i="14665"/>
  <c r="K127" i="14698" s="1"/>
  <c r="F31" i="14665"/>
  <c r="K235" i="14702" s="1"/>
  <c r="F28" i="14665"/>
  <c r="K181" i="14703" s="1"/>
  <c r="K109" i="14698"/>
  <c r="F26" i="14665"/>
  <c r="K145" i="14704" s="1"/>
  <c r="K109" i="14704"/>
  <c r="P7" i="14655"/>
  <c r="P9" i="14655"/>
  <c r="P14" i="14655"/>
  <c r="P26" i="14655"/>
  <c r="N11" i="14655"/>
  <c r="N18" i="14655"/>
  <c r="H7" i="14655"/>
  <c r="H9" i="14655"/>
  <c r="H14" i="14655"/>
  <c r="H26" i="14655"/>
  <c r="A3" i="14657"/>
  <c r="A2" i="14628"/>
  <c r="A59" i="14695"/>
  <c r="A31" i="14695"/>
  <c r="I18" i="14701"/>
  <c r="I18" i="14698"/>
  <c r="A57" i="14700"/>
  <c r="A57" i="14702"/>
  <c r="A57" i="14698"/>
  <c r="A32" i="14632"/>
  <c r="A32" i="14638"/>
  <c r="A32" i="14678"/>
  <c r="A20" i="14677" a="1"/>
  <c r="A22" i="14677" s="1"/>
  <c r="G23" i="14685" a="1"/>
  <c r="N8" i="14653"/>
  <c r="N10" i="14653"/>
  <c r="N12" i="14653"/>
  <c r="B12" i="14649"/>
  <c r="E4" i="14705"/>
  <c r="A50" i="14710"/>
  <c r="A55" i="14710"/>
  <c r="A53" i="14710"/>
  <c r="A51" i="14710"/>
  <c r="A54" i="14710"/>
  <c r="A52" i="14710"/>
  <c r="A31" i="14649"/>
  <c r="D11" i="14708"/>
  <c r="D16" i="14710"/>
  <c r="A16" i="14649"/>
  <c r="D22" i="14708"/>
  <c r="B72" i="14710"/>
  <c r="A23" i="14649"/>
  <c r="D4" i="14706"/>
  <c r="D4" i="14667"/>
  <c r="I15" i="14643"/>
  <c r="I24" i="14643"/>
  <c r="I18" i="14643"/>
  <c r="C92" i="14665"/>
  <c r="C31" i="14649"/>
  <c r="A18" i="14686"/>
  <c r="I23" i="14643"/>
  <c r="A43" i="14649"/>
  <c r="A16" i="14637"/>
  <c r="A40" i="14649"/>
  <c r="G44" i="14707"/>
  <c r="A38" i="14707"/>
  <c r="A70" i="14707"/>
  <c r="A71" i="14707"/>
  <c r="A73" i="14707"/>
  <c r="A75" i="14707"/>
  <c r="A15" i="14649"/>
  <c r="B7" i="14647"/>
  <c r="I7" i="14647" s="1"/>
  <c r="B34" i="14667"/>
  <c r="B36" i="14706"/>
  <c r="B63" i="14685"/>
  <c r="B17" i="14661" s="1"/>
  <c r="N37" i="14708"/>
  <c r="N38" i="14708" s="1"/>
  <c r="L37" i="14708"/>
  <c r="L38" i="14708" s="1"/>
  <c r="J37" i="14708"/>
  <c r="J38" i="14708" s="1"/>
  <c r="H37" i="14708"/>
  <c r="H38" i="14708" s="1"/>
  <c r="E48" i="14686" a="1"/>
  <c r="E48" i="14686" s="1"/>
  <c r="E30" i="14686" a="1"/>
  <c r="E30" i="14686" s="1"/>
  <c r="F8" i="14686"/>
  <c r="D20" i="14652"/>
  <c r="D26" i="14652"/>
  <c r="D23" i="14652"/>
  <c r="D19" i="14652"/>
  <c r="D21" i="14652"/>
  <c r="C58" i="14653"/>
  <c r="A15" i="14625"/>
  <c r="B34" i="14653"/>
  <c r="M34" i="14653"/>
  <c r="C34" i="14653"/>
  <c r="I34" i="14653"/>
  <c r="H34" i="14653"/>
  <c r="O34" i="14653"/>
  <c r="K34" i="14653"/>
  <c r="G34" i="14653"/>
  <c r="A14" i="14625"/>
  <c r="A18" i="14682"/>
  <c r="A16" i="14682"/>
  <c r="B40" i="14706"/>
  <c r="B27" i="14667"/>
  <c r="D7" i="14695"/>
  <c r="E6" i="14695"/>
  <c r="G8" i="14695"/>
  <c r="F8" i="14695"/>
  <c r="C7" i="14695"/>
  <c r="B9" i="14695"/>
  <c r="G9" i="14695"/>
  <c r="E10" i="14695"/>
  <c r="D6" i="14695"/>
  <c r="G7" i="14695"/>
  <c r="E8" i="14695"/>
  <c r="H8" i="14695"/>
  <c r="H7" i="14695"/>
  <c r="E7" i="14695"/>
  <c r="C10" i="14695"/>
  <c r="D8" i="14695"/>
  <c r="D10" i="14695"/>
  <c r="H10" i="14695"/>
  <c r="A8" i="14698"/>
  <c r="A144" i="14707"/>
  <c r="K217" i="14701"/>
  <c r="A95" i="14707"/>
  <c r="A91" i="14707"/>
  <c r="A9" i="14701"/>
  <c r="E17" i="14661"/>
  <c r="F17" i="14661"/>
  <c r="A33" i="14702"/>
  <c r="A38" i="14702"/>
  <c r="A36" i="14652"/>
  <c r="A38" i="14652"/>
  <c r="A33" i="14652"/>
  <c r="B14" i="14647"/>
  <c r="I14" i="14647" s="1"/>
  <c r="C92" i="14647"/>
  <c r="B92" i="14647" s="1"/>
  <c r="I92" i="14647" s="1"/>
  <c r="B77" i="14647"/>
  <c r="I77" i="14647" s="1"/>
  <c r="D79" i="14647"/>
  <c r="B61" i="14647"/>
  <c r="I61" i="14647" s="1"/>
  <c r="E91" i="14647"/>
  <c r="A18" i="14662"/>
  <c r="A19" i="14662" s="1"/>
  <c r="A20" i="14662" s="1"/>
  <c r="A16" i="14662"/>
  <c r="A17" i="14662" s="1"/>
  <c r="E8" i="14652"/>
  <c r="G7" i="14652"/>
  <c r="I7" i="14652" s="1"/>
  <c r="I8" i="14652" s="1"/>
  <c r="I9" i="14652" s="1"/>
  <c r="I10" i="14652" s="1"/>
  <c r="I11" i="14652" s="1"/>
  <c r="I12" i="14652" s="1"/>
  <c r="I13" i="14652" s="1"/>
  <c r="I14" i="14652" s="1"/>
  <c r="A96" i="14648"/>
  <c r="A95" i="14648"/>
  <c r="E24" i="14677"/>
  <c r="C24" i="14677"/>
  <c r="G24" i="14677"/>
  <c r="I24" i="14677"/>
  <c r="F24" i="14677"/>
  <c r="C24" i="14641"/>
  <c r="D24" i="14641"/>
  <c r="K24" i="14641"/>
  <c r="M24" i="14641"/>
  <c r="I24" i="14641"/>
  <c r="N24" i="14641"/>
  <c r="C24" i="14625"/>
  <c r="K24" i="14625"/>
  <c r="I24" i="14625"/>
  <c r="F24" i="14625"/>
  <c r="B45" i="14622"/>
  <c r="B36" i="14622"/>
  <c r="G46" i="14685" a="1"/>
  <c r="E20" i="14685"/>
  <c r="G58" i="14685" a="1"/>
  <c r="N11" i="14687"/>
  <c r="C41" i="14622"/>
  <c r="C39" i="14622"/>
  <c r="C46" i="14653"/>
  <c r="A14" i="14676"/>
  <c r="A17" i="14676"/>
  <c r="A141" i="14707"/>
  <c r="A142" i="14707"/>
  <c r="A143" i="14707"/>
  <c r="A139" i="14707"/>
  <c r="A30" i="14707"/>
  <c r="A61" i="14707"/>
  <c r="A56" i="14707"/>
  <c r="A59" i="14707"/>
  <c r="A58" i="14707"/>
  <c r="A13" i="14698"/>
  <c r="A12" i="14698"/>
  <c r="A11" i="14698"/>
  <c r="A10" i="14698"/>
  <c r="A51" i="14648"/>
  <c r="F18" i="4129"/>
  <c r="D42" i="14690"/>
  <c r="G42" i="14690"/>
  <c r="A38" i="14638"/>
  <c r="A37" i="14638"/>
  <c r="A8" i="14637"/>
  <c r="A10" i="14637"/>
  <c r="A11" i="14637"/>
  <c r="A66" i="14698"/>
  <c r="A62" i="14698"/>
  <c r="A65" i="14698"/>
  <c r="A61" i="14698"/>
  <c r="A64" i="14698"/>
  <c r="A60" i="14698"/>
  <c r="H45" i="14647"/>
  <c r="B45" i="14647" s="1"/>
  <c r="I45" i="14647" s="1"/>
  <c r="C42" i="14647"/>
  <c r="B42" i="14647" s="1"/>
  <c r="I42" i="14647" s="1"/>
  <c r="B27" i="14647"/>
  <c r="I27" i="14647" s="1"/>
  <c r="C95" i="14647"/>
  <c r="B95" i="14647" s="1"/>
  <c r="I95" i="14647" s="1"/>
  <c r="D75" i="14647"/>
  <c r="B57" i="14647"/>
  <c r="I57" i="14647" s="1"/>
  <c r="A7" i="14638" a="1"/>
  <c r="A5" i="7" a="1"/>
  <c r="A32" i="14704" a="1"/>
  <c r="A35" i="14632" a="1"/>
  <c r="A31" i="14639" a="1"/>
  <c r="A32" i="14653" a="1"/>
  <c r="A32" i="7" a="1"/>
  <c r="A19" i="14683" a="1"/>
  <c r="A7" i="14623" a="1"/>
  <c r="A17" i="14637" a="1"/>
  <c r="A46" i="14701" a="1"/>
  <c r="A7" i="14647" a="1"/>
  <c r="A20" i="14704" a="1"/>
  <c r="A46" i="14700" a="1"/>
  <c r="A8" i="14704" a="1"/>
  <c r="A8" i="14702" a="1"/>
  <c r="A11" i="14707" a="1"/>
  <c r="A49" i="14683" a="1"/>
  <c r="A7" i="14678" a="1"/>
  <c r="A5" i="14630" a="1"/>
  <c r="A20" i="14701" a="1"/>
  <c r="A59" i="14704" a="1"/>
  <c r="A31" i="14675" a="1"/>
  <c r="A57" i="14652" a="1"/>
  <c r="A71" i="14653" a="1"/>
  <c r="A32" i="14630" a="1"/>
  <c r="A46" i="14703" a="1"/>
  <c r="A35" i="14678" a="1"/>
  <c r="E42" i="14665"/>
  <c r="F42" i="14665" s="1"/>
  <c r="G42" i="14665" s="1"/>
  <c r="H24" i="14647"/>
  <c r="B19" i="14647"/>
  <c r="F73" i="14647"/>
  <c r="B55" i="14647"/>
  <c r="I55" i="14647" s="1"/>
  <c r="O12" i="14699" a="1"/>
  <c r="O12" i="14699" s="1"/>
  <c r="P12" i="14699"/>
  <c r="Q12" i="14699" s="1"/>
  <c r="B29" i="14689"/>
  <c r="B30" i="14689"/>
  <c r="A59" i="14689"/>
  <c r="A62" i="14689"/>
  <c r="A60" i="14689"/>
  <c r="A61" i="14689"/>
  <c r="A58" i="14689"/>
  <c r="A35" i="14689"/>
  <c r="A7" i="14689"/>
  <c r="A10" i="14689"/>
  <c r="A5" i="14689"/>
  <c r="A71" i="14689" s="1"/>
  <c r="A6" i="14689"/>
  <c r="A80" i="14687"/>
  <c r="A79" i="14687"/>
  <c r="A78" i="14687"/>
  <c r="A76" i="14687"/>
  <c r="J32" i="14652"/>
  <c r="K32" i="14652"/>
  <c r="A6" i="14647"/>
  <c r="J6" i="14647"/>
  <c r="I6" i="14647"/>
  <c r="C6" i="14647"/>
  <c r="D6" i="14647"/>
  <c r="F6" i="14647"/>
  <c r="A24" i="14675"/>
  <c r="A24" i="14639"/>
  <c r="G49" i="14690"/>
  <c r="B72" i="14684"/>
  <c r="F56" i="14665"/>
  <c r="B55" i="14665"/>
  <c r="I22" i="14685"/>
  <c r="I26" i="14685" s="1"/>
  <c r="J23" i="14685" s="1" a="1"/>
  <c r="J22" i="14685"/>
  <c r="C25" i="14690"/>
  <c r="D13" i="11"/>
  <c r="H9" i="14705"/>
  <c r="H6" i="14631"/>
  <c r="F6" i="14631"/>
  <c r="D6" i="14631"/>
  <c r="J6" i="8"/>
  <c r="B14" i="11"/>
  <c r="C6" i="14631"/>
  <c r="M6" i="8"/>
  <c r="J6" i="14631"/>
  <c r="G6" i="14631"/>
  <c r="H13" i="14653"/>
  <c r="M13" i="14653"/>
  <c r="I13" i="14653"/>
  <c r="A44" i="14686"/>
  <c r="A57" i="14695"/>
  <c r="A55" i="14695"/>
  <c r="A3" i="14681"/>
  <c r="A2" i="14639"/>
  <c r="A85" i="14687" a="1"/>
  <c r="C30" i="14686" a="1"/>
  <c r="C30" i="14686" s="1"/>
  <c r="A16" i="14668"/>
  <c r="A16" i="14630"/>
  <c r="F88" i="14665"/>
  <c r="K88" i="14665"/>
  <c r="C88" i="14665"/>
  <c r="H88" i="14665"/>
  <c r="G88" i="14665"/>
  <c r="G39" i="14685"/>
  <c r="G57" i="14685"/>
  <c r="G12" i="14685"/>
  <c r="G28" i="14685"/>
  <c r="A68" i="14648"/>
  <c r="A67" i="14648"/>
  <c r="I32" i="14652"/>
  <c r="H32" i="14652"/>
  <c r="A17" i="14675"/>
  <c r="A17" i="14674"/>
  <c r="A17" i="14634"/>
  <c r="A17" i="14639"/>
  <c r="G7" i="14685" a="1"/>
  <c r="I45" i="14685"/>
  <c r="I50" i="14685" s="1"/>
  <c r="J45" i="14685"/>
  <c r="P6" i="14655"/>
  <c r="P10" i="14655"/>
  <c r="P12" i="14655"/>
  <c r="P13" i="14655"/>
  <c r="P15" i="14655"/>
  <c r="P16" i="14655"/>
  <c r="P17" i="14655"/>
  <c r="P19" i="14655"/>
  <c r="P20" i="14655"/>
  <c r="P21" i="14655"/>
  <c r="P11" i="14655"/>
  <c r="P18" i="14655"/>
  <c r="N6" i="14655"/>
  <c r="N10" i="14655"/>
  <c r="N12" i="14655"/>
  <c r="N13" i="14655"/>
  <c r="N15" i="14655"/>
  <c r="N16" i="14655"/>
  <c r="N17" i="14655"/>
  <c r="N19" i="14655"/>
  <c r="N20" i="14655"/>
  <c r="N21" i="14655"/>
  <c r="N7" i="14655"/>
  <c r="N8" i="14655"/>
  <c r="N9" i="14655"/>
  <c r="N14" i="14655"/>
  <c r="N26" i="14655"/>
  <c r="L6" i="14655"/>
  <c r="L10" i="14655"/>
  <c r="L12" i="14655"/>
  <c r="L13" i="14655"/>
  <c r="L15" i="14655"/>
  <c r="L16" i="14655"/>
  <c r="L17" i="14655"/>
  <c r="L19" i="14655"/>
  <c r="L20" i="14655"/>
  <c r="L21" i="14655"/>
  <c r="L11" i="14655"/>
  <c r="L18" i="14655"/>
  <c r="J6" i="14655"/>
  <c r="J10" i="14655"/>
  <c r="J12" i="14655"/>
  <c r="J13" i="14655"/>
  <c r="J15" i="14655"/>
  <c r="J16" i="14655"/>
  <c r="J17" i="14655"/>
  <c r="J19" i="14655"/>
  <c r="J20" i="14655"/>
  <c r="J21" i="14655"/>
  <c r="J7" i="14655"/>
  <c r="J8" i="14655"/>
  <c r="J9" i="14655"/>
  <c r="J14" i="14655"/>
  <c r="J26" i="14655"/>
  <c r="H6" i="14655"/>
  <c r="H10" i="14655"/>
  <c r="H12" i="14655"/>
  <c r="H13" i="14655"/>
  <c r="H15" i="14655"/>
  <c r="H16" i="14655"/>
  <c r="H17" i="14655"/>
  <c r="H19" i="14655"/>
  <c r="H20" i="14655"/>
  <c r="H21" i="14655"/>
  <c r="H11" i="14655"/>
  <c r="H18" i="14655"/>
  <c r="A238" i="14698"/>
  <c r="A244" i="14698"/>
  <c r="A240" i="14698"/>
  <c r="A248" i="14698"/>
  <c r="A35" i="14706"/>
  <c r="A37" i="14706"/>
  <c r="A243" i="14703"/>
  <c r="A247" i="14703"/>
  <c r="A166" i="14698"/>
  <c r="A170" i="14698"/>
  <c r="A174" i="14698"/>
  <c r="A168" i="14698"/>
  <c r="A176" i="14698"/>
  <c r="B33" i="14685"/>
  <c r="B37" i="14685" s="1"/>
  <c r="E33" i="14685"/>
  <c r="E37" i="14685" s="1"/>
  <c r="C12" i="14661" s="1"/>
  <c r="C38" i="14633"/>
  <c r="D38" i="14633"/>
  <c r="F13" i="14653"/>
  <c r="J13" i="14653"/>
  <c r="O6" i="14655"/>
  <c r="O7" i="14655"/>
  <c r="O8" i="14655"/>
  <c r="O9" i="14655"/>
  <c r="O11" i="14655"/>
  <c r="O14" i="14655"/>
  <c r="O18" i="14655"/>
  <c r="O26" i="14655"/>
  <c r="M6" i="14655"/>
  <c r="M7" i="14655"/>
  <c r="M8" i="14655"/>
  <c r="M9" i="14655"/>
  <c r="M11" i="14655"/>
  <c r="M14" i="14655"/>
  <c r="M18" i="14655"/>
  <c r="M26" i="14655"/>
  <c r="K6" i="14655"/>
  <c r="K7" i="14655"/>
  <c r="K8" i="14655"/>
  <c r="K9" i="14655"/>
  <c r="K11" i="14655"/>
  <c r="K14" i="14655"/>
  <c r="K18" i="14655"/>
  <c r="K26" i="14655"/>
  <c r="I6" i="14655"/>
  <c r="I7" i="14655"/>
  <c r="I8" i="14655"/>
  <c r="I9" i="14655"/>
  <c r="I11" i="14655"/>
  <c r="I14" i="14655"/>
  <c r="I18" i="14655"/>
  <c r="I26" i="14655"/>
  <c r="G6" i="14655"/>
  <c r="G7" i="14655"/>
  <c r="G8" i="14655"/>
  <c r="G9" i="14655"/>
  <c r="G11" i="14655"/>
  <c r="G14" i="14655"/>
  <c r="G18" i="14655"/>
  <c r="G26" i="14655"/>
  <c r="E12" i="14655"/>
  <c r="E8" i="14655"/>
  <c r="E9" i="14655"/>
  <c r="A129" i="14700"/>
  <c r="A132" i="14700"/>
  <c r="A136" i="14700"/>
  <c r="A140" i="14700"/>
  <c r="A220" i="14698"/>
  <c r="A224" i="14698"/>
  <c r="A228" i="14698"/>
  <c r="A222" i="14698"/>
  <c r="A230" i="14698"/>
  <c r="A240" i="14704"/>
  <c r="A248" i="14704"/>
  <c r="A244" i="14704"/>
  <c r="A16" i="14640"/>
  <c r="A18" i="14640"/>
  <c r="A4" i="14678"/>
  <c r="A4" i="14632"/>
  <c r="A27" i="14636"/>
  <c r="A27" i="14673"/>
  <c r="D26" i="14685" a="1"/>
  <c r="D26" i="14685" s="1"/>
  <c r="B32" i="14661" s="1"/>
  <c r="C26" i="14685" a="1"/>
  <c r="C26" i="14685" s="1"/>
  <c r="B45" i="14685"/>
  <c r="B50" i="14685" s="1"/>
  <c r="E45" i="14685"/>
  <c r="E50" i="14685" s="1"/>
  <c r="C14" i="14661" s="1"/>
  <c r="A72" i="14645"/>
  <c r="A75" i="14645"/>
  <c r="A73" i="14645"/>
  <c r="C11" i="14693" a="1"/>
  <c r="F9" i="14653"/>
  <c r="J9" i="14653"/>
  <c r="A92" i="14703"/>
  <c r="A98" i="14703"/>
  <c r="A20" i="14638"/>
  <c r="A24" i="14638"/>
  <c r="A18" i="14645"/>
  <c r="A20" i="14645"/>
  <c r="A233" i="14698" l="1"/>
  <c r="B50" i="14689"/>
  <c r="F77" i="14689" s="1"/>
  <c r="N13" i="14687"/>
  <c r="H13" i="14687"/>
  <c r="D13" i="14687"/>
  <c r="E13" i="14687"/>
  <c r="L13" i="14687"/>
  <c r="C13" i="14687"/>
  <c r="O13" i="14687" s="1"/>
  <c r="I13" i="14687"/>
  <c r="K13" i="14687"/>
  <c r="F13" i="14687"/>
  <c r="D14" i="14653"/>
  <c r="H14" i="14653"/>
  <c r="B35" i="14652"/>
  <c r="G27" i="14626"/>
  <c r="D32" i="14706"/>
  <c r="F32" i="14706" s="1"/>
  <c r="H32" i="14706" s="1"/>
  <c r="J32" i="14706" s="1"/>
  <c r="L32" i="14706" s="1"/>
  <c r="N32" i="14706" s="1"/>
  <c r="J15" i="14685"/>
  <c r="G18" i="14685"/>
  <c r="G14" i="14685"/>
  <c r="G16" i="14685"/>
  <c r="F47" i="14653"/>
  <c r="A41" i="14695"/>
  <c r="B76" i="14647"/>
  <c r="I76" i="14647" s="1"/>
  <c r="A32" i="14702"/>
  <c r="L11" i="14708"/>
  <c r="A11" i="14632"/>
  <c r="A90" i="14647"/>
  <c r="A43" i="14695"/>
  <c r="B91" i="14647"/>
  <c r="I91" i="14647" s="1"/>
  <c r="A12" i="14632"/>
  <c r="A91" i="14647"/>
  <c r="K145" i="14698"/>
  <c r="A7" i="14632"/>
  <c r="A94" i="14647"/>
  <c r="A55" i="14647"/>
  <c r="A9" i="14632"/>
  <c r="A89" i="14647"/>
  <c r="A10" i="14632"/>
  <c r="A93" i="14647"/>
  <c r="A37" i="14689"/>
  <c r="G14" i="14708"/>
  <c r="I14" i="14708" s="1"/>
  <c r="K14" i="14708" s="1"/>
  <c r="M14" i="14708" s="1"/>
  <c r="F62" i="14665"/>
  <c r="G62" i="14665" s="1"/>
  <c r="H62" i="14665" s="1"/>
  <c r="B12" i="14689" s="1" a="1"/>
  <c r="A33" i="14689"/>
  <c r="A75" i="14689" s="1"/>
  <c r="A36" i="14689"/>
  <c r="A88" i="14647"/>
  <c r="A58" i="14647"/>
  <c r="D10" i="14694"/>
  <c r="A14" i="14632"/>
  <c r="N6" i="14653"/>
  <c r="P6" i="14653" s="1"/>
  <c r="F19" i="14708" s="1"/>
  <c r="N45" i="14653"/>
  <c r="P45" i="14653" s="1"/>
  <c r="L19" i="14708" s="1"/>
  <c r="C14" i="14653"/>
  <c r="K14" i="14653"/>
  <c r="L14" i="14653"/>
  <c r="E14" i="14653"/>
  <c r="B80" i="14647"/>
  <c r="I80" i="14647" s="1"/>
  <c r="B30" i="14647"/>
  <c r="I30" i="14647" s="1"/>
  <c r="A19" i="14675"/>
  <c r="M11" i="14687"/>
  <c r="A12" i="14699"/>
  <c r="H52" i="14690"/>
  <c r="B73" i="14648" s="1"/>
  <c r="K217" i="14698"/>
  <c r="N12" i="14687"/>
  <c r="D11" i="14687"/>
  <c r="E12" i="14687"/>
  <c r="A35" i="14695"/>
  <c r="K35" i="14653"/>
  <c r="A19" i="14669"/>
  <c r="G41" i="14685"/>
  <c r="A49" i="14698"/>
  <c r="A11" i="14683"/>
  <c r="A37" i="14674"/>
  <c r="B73" i="14643"/>
  <c r="A50" i="14698"/>
  <c r="A35" i="14674"/>
  <c r="A12" i="14636"/>
  <c r="A32" i="14637"/>
  <c r="A37" i="14637"/>
  <c r="C89" i="14647"/>
  <c r="B89" i="14647" s="1"/>
  <c r="I89" i="14647" s="1"/>
  <c r="B74" i="14647"/>
  <c r="I74" i="14647" s="1"/>
  <c r="D17" i="14649" a="1"/>
  <c r="A31" i="14694"/>
  <c r="A32" i="14694"/>
  <c r="A43" i="14706"/>
  <c r="A42" i="14706"/>
  <c r="A39" i="14706"/>
  <c r="A41" i="14706"/>
  <c r="A12" i="14703"/>
  <c r="G11" i="14687"/>
  <c r="K235" i="14703"/>
  <c r="K217" i="14704"/>
  <c r="B40" i="14652"/>
  <c r="J11" i="14687"/>
  <c r="F12" i="14687"/>
  <c r="I12" i="14687"/>
  <c r="A40" i="14706"/>
  <c r="A7" i="14636"/>
  <c r="B34" i="14652"/>
  <c r="E35" i="14653"/>
  <c r="A23" i="14669"/>
  <c r="A47" i="14698"/>
  <c r="A12" i="14683"/>
  <c r="A32" i="14674"/>
  <c r="B66" i="14643"/>
  <c r="A10" i="14683"/>
  <c r="A47" i="14678" a="1"/>
  <c r="A48" i="14678" s="1"/>
  <c r="A11" i="14636"/>
  <c r="A38" i="14628"/>
  <c r="A36" i="14628"/>
  <c r="A31" i="14628"/>
  <c r="B37" i="14689"/>
  <c r="A37" i="14695"/>
  <c r="A36" i="14637"/>
  <c r="G43" i="14685"/>
  <c r="A48" i="14695"/>
  <c r="I11" i="14687"/>
  <c r="K235" i="14701"/>
  <c r="B33" i="14652"/>
  <c r="B31" i="14639" a="1"/>
  <c r="C12" i="14687"/>
  <c r="H35" i="14653"/>
  <c r="A18" i="14669"/>
  <c r="G40" i="14685"/>
  <c r="A48" i="14698"/>
  <c r="A8" i="14683"/>
  <c r="A34" i="14695"/>
  <c r="A36" i="14674"/>
  <c r="M14" i="14653"/>
  <c r="D3" i="14667"/>
  <c r="B5" i="14696" s="1"/>
  <c r="A45" i="4128"/>
  <c r="N75" i="14645"/>
  <c r="G17" i="14685"/>
  <c r="G13" i="14685"/>
  <c r="I127" i="14698"/>
  <c r="I70" i="14698"/>
  <c r="I145" i="14700"/>
  <c r="I235" i="14700"/>
  <c r="A145" i="14707"/>
  <c r="A138" i="14707"/>
  <c r="B10" i="14694"/>
  <c r="B9" i="14694"/>
  <c r="G9" i="14694"/>
  <c r="F6" i="14694"/>
  <c r="G7" i="14694"/>
  <c r="G8" i="14694"/>
  <c r="B6" i="14694"/>
  <c r="F9" i="14694"/>
  <c r="H10" i="14694"/>
  <c r="C5" i="14694"/>
  <c r="D7" i="14694"/>
  <c r="H5" i="14694"/>
  <c r="E5" i="14694"/>
  <c r="E9" i="14694"/>
  <c r="C10" i="14694"/>
  <c r="C7" i="14694"/>
  <c r="B7" i="14694"/>
  <c r="B12" i="14694" s="1" a="1"/>
  <c r="H6" i="14694"/>
  <c r="F10" i="14694"/>
  <c r="F8" i="14694"/>
  <c r="D9" i="14694"/>
  <c r="E10" i="14694"/>
  <c r="C6" i="14694"/>
  <c r="D5" i="14694"/>
  <c r="C9" i="14694"/>
  <c r="F5" i="14694"/>
  <c r="D8" i="14694"/>
  <c r="B5" i="14694"/>
  <c r="G6" i="14694"/>
  <c r="G10" i="14694"/>
  <c r="E8" i="14694"/>
  <c r="C75" i="14689"/>
  <c r="F75" i="14689"/>
  <c r="G75" i="14689"/>
  <c r="C41" i="14647"/>
  <c r="B41" i="14647" s="1"/>
  <c r="I41" i="14647" s="1"/>
  <c r="B26" i="14647"/>
  <c r="I26" i="14647" s="1"/>
  <c r="A52" i="14704"/>
  <c r="A46" i="14704"/>
  <c r="A50" i="14704"/>
  <c r="A47" i="14704"/>
  <c r="A49" i="14704"/>
  <c r="A51" i="14704"/>
  <c r="A53" i="14704"/>
  <c r="A48" i="14704"/>
  <c r="A37" i="14668"/>
  <c r="A33" i="14668"/>
  <c r="A32" i="14668"/>
  <c r="A38" i="14668"/>
  <c r="A36" i="14668"/>
  <c r="A39" i="14668"/>
  <c r="A35" i="14668"/>
  <c r="A38" i="14701"/>
  <c r="A33" i="14701"/>
  <c r="A39" i="14701"/>
  <c r="A32" i="14701"/>
  <c r="A36" i="14701"/>
  <c r="A37" i="14701"/>
  <c r="A38" i="14623"/>
  <c r="A37" i="14623"/>
  <c r="A39" i="14623"/>
  <c r="A40" i="14623"/>
  <c r="A36" i="14623"/>
  <c r="A41" i="14623"/>
  <c r="A35" i="14623"/>
  <c r="A64" i="14701"/>
  <c r="A62" i="14701"/>
  <c r="A65" i="14701"/>
  <c r="A60" i="14701"/>
  <c r="A59" i="14701"/>
  <c r="A66" i="14701"/>
  <c r="A61" i="14701"/>
  <c r="A64" i="14702"/>
  <c r="A61" i="14702"/>
  <c r="A63" i="14702"/>
  <c r="A60" i="14702"/>
  <c r="A65" i="14702"/>
  <c r="A59" i="14702"/>
  <c r="A62" i="14702"/>
  <c r="A66" i="14702"/>
  <c r="A34" i="14634"/>
  <c r="A35" i="14634"/>
  <c r="A36" i="14634"/>
  <c r="A31" i="14634"/>
  <c r="A38" i="14634"/>
  <c r="A23" i="14698"/>
  <c r="A27" i="14698"/>
  <c r="A21" i="14698"/>
  <c r="A26" i="14698"/>
  <c r="A22" i="14698"/>
  <c r="A24" i="14698"/>
  <c r="A25" i="14698"/>
  <c r="A21" i="14703"/>
  <c r="A26" i="14703"/>
  <c r="A23" i="14703"/>
  <c r="A25" i="14703"/>
  <c r="A20" i="14703"/>
  <c r="A22" i="14703"/>
  <c r="A27" i="14703"/>
  <c r="A62" i="14703"/>
  <c r="A63" i="14703"/>
  <c r="A66" i="14703"/>
  <c r="A59" i="14703"/>
  <c r="A60" i="14703"/>
  <c r="A64" i="14703"/>
  <c r="A65" i="14703"/>
  <c r="A35" i="14698"/>
  <c r="A34" i="14698"/>
  <c r="A37" i="14698"/>
  <c r="A33" i="14698"/>
  <c r="A38" i="14698"/>
  <c r="A32" i="14698"/>
  <c r="A39" i="14698"/>
  <c r="A9" i="14682"/>
  <c r="A12" i="14682"/>
  <c r="A6" i="14682"/>
  <c r="A8" i="14682"/>
  <c r="A11" i="14682"/>
  <c r="A10" i="14682"/>
  <c r="A5" i="14682"/>
  <c r="A7" i="14682"/>
  <c r="A72" i="14687"/>
  <c r="A68" i="14687"/>
  <c r="A67" i="14687"/>
  <c r="A73" i="14687"/>
  <c r="A71" i="14687"/>
  <c r="A66" i="14687"/>
  <c r="A69" i="14687"/>
  <c r="A38" i="14683"/>
  <c r="A35" i="14683"/>
  <c r="A34" i="14683"/>
  <c r="A36" i="14683"/>
  <c r="A41" i="14683"/>
  <c r="A40" i="14683"/>
  <c r="A39" i="14683"/>
  <c r="A37" i="14683"/>
  <c r="I217" i="14698"/>
  <c r="D7" i="14667"/>
  <c r="F7" i="14667" s="1"/>
  <c r="I199" i="14700"/>
  <c r="B31" i="14628" a="1"/>
  <c r="B9" i="14634"/>
  <c r="D75" i="14689"/>
  <c r="E75" i="14689"/>
  <c r="D10" i="14696" a="1"/>
  <c r="G10" i="14696" s="1"/>
  <c r="G17" i="14661"/>
  <c r="H17" i="14661"/>
  <c r="E6" i="14694"/>
  <c r="A24" i="14703"/>
  <c r="J18" i="14685"/>
  <c r="J19" i="14685"/>
  <c r="A42" i="14623"/>
  <c r="A34" i="14701"/>
  <c r="N7" i="14653"/>
  <c r="G12" i="14687"/>
  <c r="H12" i="14687"/>
  <c r="D12" i="14687"/>
  <c r="M12" i="14687"/>
  <c r="F11" i="14687"/>
  <c r="C11" i="14687"/>
  <c r="K11" i="14687"/>
  <c r="B29" i="14687"/>
  <c r="E29" i="14687" s="1"/>
  <c r="B32" i="14687"/>
  <c r="H32" i="14687" s="1"/>
  <c r="B28" i="14687"/>
  <c r="M28" i="14687" s="1"/>
  <c r="B35" i="14687"/>
  <c r="B8" i="14694"/>
  <c r="E7" i="14694"/>
  <c r="A33" i="14634"/>
  <c r="I109" i="14702"/>
  <c r="I217" i="14702"/>
  <c r="I145" i="14698"/>
  <c r="I163" i="14700"/>
  <c r="D6" i="14694"/>
  <c r="A70" i="14687"/>
  <c r="A35" i="14701"/>
  <c r="A34" i="14668"/>
  <c r="H7" i="14694"/>
  <c r="O21" i="14633"/>
  <c r="A6" i="14653"/>
  <c r="A11" i="14653"/>
  <c r="A10" i="14653"/>
  <c r="A7" i="14653"/>
  <c r="A23" i="14668"/>
  <c r="A17" i="14668"/>
  <c r="A37" i="14700"/>
  <c r="A38" i="14700"/>
  <c r="A35" i="14700"/>
  <c r="A34" i="14700"/>
  <c r="B81" i="14643"/>
  <c r="B86" i="14643"/>
  <c r="B83" i="14643"/>
  <c r="B80" i="14643"/>
  <c r="A24" i="14700"/>
  <c r="A22" i="14700"/>
  <c r="A20" i="14700"/>
  <c r="A21" i="14700"/>
  <c r="A27" i="14700"/>
  <c r="A23" i="14700"/>
  <c r="A25" i="14700"/>
  <c r="A26" i="14700"/>
  <c r="A65" i="14700"/>
  <c r="A61" i="14700"/>
  <c r="A63" i="14700"/>
  <c r="A60" i="14700"/>
  <c r="A59" i="14700"/>
  <c r="A66" i="14700"/>
  <c r="A62" i="14700"/>
  <c r="A64" i="14700"/>
  <c r="A39" i="14679"/>
  <c r="A37" i="14679"/>
  <c r="A41" i="14679"/>
  <c r="A36" i="14679"/>
  <c r="A60" i="14653"/>
  <c r="A58" i="14653"/>
  <c r="A25" i="14702"/>
  <c r="A22" i="14702"/>
  <c r="A12" i="14673"/>
  <c r="A10" i="14673"/>
  <c r="A9" i="14673"/>
  <c r="A13" i="14673"/>
  <c r="A8" i="14673"/>
  <c r="A14" i="14672"/>
  <c r="A9" i="14672"/>
  <c r="A11" i="14672"/>
  <c r="G35" i="14690"/>
  <c r="G46" i="14653"/>
  <c r="B26" i="14689"/>
  <c r="D73" i="14689" s="1"/>
  <c r="A38" i="14669"/>
  <c r="A33" i="14669"/>
  <c r="A37" i="14669"/>
  <c r="A32" i="14669"/>
  <c r="A39" i="14669"/>
  <c r="A35" i="14669"/>
  <c r="A36" i="14669"/>
  <c r="A34" i="14669"/>
  <c r="A7" i="14679"/>
  <c r="A14" i="14679"/>
  <c r="A25" i="14653"/>
  <c r="A24" i="14653"/>
  <c r="A22" i="14630"/>
  <c r="A18" i="14630"/>
  <c r="A19" i="14630"/>
  <c r="A24" i="14630"/>
  <c r="A17" i="14630"/>
  <c r="A20" i="14630"/>
  <c r="A77" i="14647"/>
  <c r="A76" i="14647"/>
  <c r="A78" i="14647"/>
  <c r="A73" i="14647"/>
  <c r="A75" i="14647"/>
  <c r="A10" i="14668"/>
  <c r="A7" i="14668"/>
  <c r="A9" i="14668"/>
  <c r="A6" i="14668"/>
  <c r="A5" i="14668"/>
  <c r="A12" i="14668"/>
  <c r="A8" i="14668"/>
  <c r="A11" i="14668"/>
  <c r="A37" i="14703"/>
  <c r="A34" i="14703"/>
  <c r="A35" i="14703"/>
  <c r="A38" i="14703"/>
  <c r="A36" i="14703"/>
  <c r="A33" i="14703"/>
  <c r="A32" i="14703"/>
  <c r="A39" i="14703"/>
  <c r="A52" i="14652"/>
  <c r="A50" i="14652"/>
  <c r="A47" i="14652"/>
  <c r="A9" i="14669"/>
  <c r="A10" i="14669"/>
  <c r="A11" i="14669"/>
  <c r="A12" i="14669"/>
  <c r="A13" i="14629"/>
  <c r="A10" i="14629"/>
  <c r="A11" i="14629"/>
  <c r="A14" i="14629"/>
  <c r="A12" i="14629"/>
  <c r="A8" i="14629"/>
  <c r="A9" i="14629"/>
  <c r="A7" i="14629"/>
  <c r="A53" i="14687"/>
  <c r="A54" i="14687"/>
  <c r="A47" i="14687"/>
  <c r="B55" i="14689"/>
  <c r="E78" i="14689" s="1"/>
  <c r="B20" i="14689"/>
  <c r="D72" i="14689" s="1"/>
  <c r="A57" i="14647"/>
  <c r="F46" i="14653"/>
  <c r="A47" i="14679" a="1"/>
  <c r="A47" i="14679" s="1"/>
  <c r="M12" i="14645"/>
  <c r="B6" i="14640"/>
  <c r="A34" i="14628"/>
  <c r="K217" i="14702"/>
  <c r="K217" i="14700"/>
  <c r="C93" i="14647"/>
  <c r="B93" i="14647" s="1"/>
  <c r="I93" i="14647" s="1"/>
  <c r="B78" i="14647"/>
  <c r="I78" i="14647" s="1"/>
  <c r="A51" i="14702"/>
  <c r="A47" i="14702"/>
  <c r="A50" i="14702"/>
  <c r="A48" i="14702"/>
  <c r="A49" i="14702"/>
  <c r="A46" i="14702"/>
  <c r="A53" i="14702"/>
  <c r="A52" i="14702"/>
  <c r="A7" i="14683"/>
  <c r="A6" i="14683"/>
  <c r="B72" i="14643"/>
  <c r="B69" i="14643"/>
  <c r="B71" i="14643"/>
  <c r="B68" i="14643"/>
  <c r="A43" i="14647"/>
  <c r="A45" i="14647"/>
  <c r="A42" i="14647"/>
  <c r="A46" i="14647"/>
  <c r="A40" i="14647"/>
  <c r="A44" i="14647"/>
  <c r="A41" i="14647"/>
  <c r="A39" i="14647"/>
  <c r="B92" i="14643"/>
  <c r="B97" i="14643"/>
  <c r="B99" i="14643"/>
  <c r="B98" i="14643"/>
  <c r="B94" i="14643"/>
  <c r="B93" i="14643"/>
  <c r="B96" i="14643"/>
  <c r="B95" i="14643"/>
  <c r="A27" i="14647"/>
  <c r="A29" i="14647"/>
  <c r="A28" i="14647"/>
  <c r="A26" i="14647"/>
  <c r="A24" i="14647"/>
  <c r="A30" i="14647"/>
  <c r="A31" i="14647"/>
  <c r="A25" i="14647"/>
  <c r="A22" i="7"/>
  <c r="A19" i="7"/>
  <c r="A23" i="7"/>
  <c r="A20" i="7"/>
  <c r="A24" i="7"/>
  <c r="A21" i="7"/>
  <c r="A18" i="7"/>
  <c r="A17" i="7"/>
  <c r="A24" i="14669"/>
  <c r="A21" i="14669"/>
  <c r="A20" i="14669"/>
  <c r="A10" i="14687"/>
  <c r="A15" i="14687"/>
  <c r="A12" i="14687"/>
  <c r="A9" i="14687"/>
  <c r="A16" i="14687"/>
  <c r="A11" i="14687"/>
  <c r="A13" i="14687"/>
  <c r="A14" i="14687"/>
  <c r="A10" i="14624"/>
  <c r="A14" i="14624"/>
  <c r="A12" i="14624"/>
  <c r="A8" i="14624"/>
  <c r="A13" i="14624"/>
  <c r="A9" i="14624"/>
  <c r="A11" i="14624"/>
  <c r="A7" i="14624"/>
  <c r="A14" i="14636"/>
  <c r="A10" i="14636"/>
  <c r="A60" i="14662"/>
  <c r="A61" i="14662" s="1"/>
  <c r="A62" i="14662" s="1"/>
  <c r="A63" i="14662" s="1"/>
  <c r="A64" i="14662" s="1"/>
  <c r="A65" i="14662" s="1"/>
  <c r="A66" i="14662"/>
  <c r="A67" i="14662" s="1"/>
  <c r="A68" i="14662" s="1"/>
  <c r="A69" i="14662" s="1"/>
  <c r="A70" i="14662" s="1"/>
  <c r="A71" i="14662" s="1"/>
  <c r="A11" i="14639"/>
  <c r="A13" i="14639"/>
  <c r="A39" i="14674"/>
  <c r="A22" i="14639"/>
  <c r="A41" i="14674"/>
  <c r="A39" i="14675"/>
  <c r="A41" i="14675"/>
  <c r="A22" i="14674"/>
  <c r="A42" i="14675"/>
  <c r="A6" i="14675"/>
  <c r="A40" i="14634"/>
  <c r="A8" i="14675"/>
  <c r="A39" i="14634"/>
  <c r="A7" i="14675"/>
  <c r="A42" i="14634"/>
  <c r="A5" i="14675"/>
  <c r="B9" i="14639"/>
  <c r="A22" i="14634"/>
  <c r="A13" i="14675"/>
  <c r="B9" i="14674"/>
  <c r="A4" i="14674"/>
  <c r="A5" i="14639"/>
  <c r="A7" i="14639"/>
  <c r="A11" i="14675"/>
  <c r="M35" i="14653"/>
  <c r="I14" i="14653"/>
  <c r="C65" i="14645"/>
  <c r="C66" i="14645" s="1"/>
  <c r="G53" i="14685"/>
  <c r="G54" i="14685"/>
  <c r="A39" i="14689"/>
  <c r="A76" i="14689" s="1"/>
  <c r="A41" i="14689"/>
  <c r="A43" i="14689"/>
  <c r="A42" i="14689"/>
  <c r="A40" i="14689"/>
  <c r="A50" i="14695"/>
  <c r="F6" i="14640"/>
  <c r="M6" i="14640"/>
  <c r="A8" i="14703"/>
  <c r="A124" i="14703" s="1"/>
  <c r="A52" i="14678"/>
  <c r="G51" i="14690"/>
  <c r="H51" i="14690" s="1"/>
  <c r="B72" i="14648" s="1"/>
  <c r="A13" i="14700"/>
  <c r="A8" i="14639"/>
  <c r="A54" i="14678"/>
  <c r="J7" i="14685"/>
  <c r="F16" i="14687"/>
  <c r="I127" i="14700"/>
  <c r="I109" i="14700"/>
  <c r="N12" i="14708"/>
  <c r="X26" i="14655" s="1"/>
  <c r="N15" i="14687"/>
  <c r="N17" i="14687" s="1"/>
  <c r="B17" i="14687"/>
  <c r="K15" i="14687"/>
  <c r="L15" i="14687"/>
  <c r="C78" i="14689"/>
  <c r="M15" i="14687"/>
  <c r="A47" i="14638" a="1"/>
  <c r="A50" i="14638" s="1"/>
  <c r="H67" i="14647"/>
  <c r="G65" i="14645" s="1"/>
  <c r="G66" i="14645" s="1"/>
  <c r="K16" i="14687"/>
  <c r="J6" i="14640"/>
  <c r="F38" i="14665"/>
  <c r="D6" i="14670" s="1"/>
  <c r="C6" i="14640"/>
  <c r="L6" i="14640"/>
  <c r="K6" i="14640"/>
  <c r="E6" i="14640"/>
  <c r="A9" i="14703"/>
  <c r="A127" i="14703" s="1"/>
  <c r="A20" i="14634"/>
  <c r="J6" i="14685"/>
  <c r="H16" i="14687"/>
  <c r="I181" i="14700"/>
  <c r="I70" i="14700"/>
  <c r="W26" i="14655"/>
  <c r="G6" i="14640"/>
  <c r="J15" i="14687"/>
  <c r="D16" i="14687"/>
  <c r="M16" i="14687"/>
  <c r="G67" i="14647"/>
  <c r="F65" i="14645" s="1"/>
  <c r="F66" i="14645" s="1"/>
  <c r="F67" i="14647"/>
  <c r="E65" i="14645" s="1"/>
  <c r="E66" i="14645" s="1"/>
  <c r="A51" i="14678"/>
  <c r="A44" i="14692" a="1"/>
  <c r="A52" i="14692" a="1"/>
  <c r="A36" i="14692" a="1"/>
  <c r="A34" i="14652"/>
  <c r="A35" i="14652"/>
  <c r="D15" i="14690"/>
  <c r="C8" i="11" s="1"/>
  <c r="H6" i="14640"/>
  <c r="E15" i="14687"/>
  <c r="A15" i="14699"/>
  <c r="A19" i="14634"/>
  <c r="I199" i="14703"/>
  <c r="J16" i="14687"/>
  <c r="I44" i="14700"/>
  <c r="I217" i="14700"/>
  <c r="F15" i="14687"/>
  <c r="L16" i="14687"/>
  <c r="G16" i="14687"/>
  <c r="I16" i="14687"/>
  <c r="A6" i="14639"/>
  <c r="A8" i="14674"/>
  <c r="D22" i="14652"/>
  <c r="D24" i="14652"/>
  <c r="D25" i="14652"/>
  <c r="I6" i="14640"/>
  <c r="J12" i="14687"/>
  <c r="L12" i="14687"/>
  <c r="E11" i="14687"/>
  <c r="L11" i="14687"/>
  <c r="B31" i="14687"/>
  <c r="B33" i="14687"/>
  <c r="B30" i="14687"/>
  <c r="B34" i="14687"/>
  <c r="A13" i="14634"/>
  <c r="A22" i="14675"/>
  <c r="A5" i="14674"/>
  <c r="A7" i="14674"/>
  <c r="A20" i="14675"/>
  <c r="A41" i="14639"/>
  <c r="A42" i="14639"/>
  <c r="A12" i="14634"/>
  <c r="A19" i="14674"/>
  <c r="A20" i="14674"/>
  <c r="A39" i="14639"/>
  <c r="D35" i="14653"/>
  <c r="F35" i="14653"/>
  <c r="C35" i="14653"/>
  <c r="I35" i="14653"/>
  <c r="L35" i="14653"/>
  <c r="O35" i="14653"/>
  <c r="B35" i="14653"/>
  <c r="J35" i="14653"/>
  <c r="O46" i="14653"/>
  <c r="O59" i="14653" s="1"/>
  <c r="B46" i="14653"/>
  <c r="H46" i="14653"/>
  <c r="K46" i="14653"/>
  <c r="E46" i="14653"/>
  <c r="D46" i="14653"/>
  <c r="B36" i="14652"/>
  <c r="B39" i="14652"/>
  <c r="A60" i="14647"/>
  <c r="A61" i="14647"/>
  <c r="A36" i="14638"/>
  <c r="A24" i="14707"/>
  <c r="A10" i="14699"/>
  <c r="A143" i="14698"/>
  <c r="A138" i="14665"/>
  <c r="A133" i="14665"/>
  <c r="A28" i="14661" a="1"/>
  <c r="A37" i="14661" s="1"/>
  <c r="N11" i="14653"/>
  <c r="O24" i="14676"/>
  <c r="J31" i="14685"/>
  <c r="J30" i="14685"/>
  <c r="J29" i="14685"/>
  <c r="A62" i="14647"/>
  <c r="A59" i="14647"/>
  <c r="A42" i="14645"/>
  <c r="A40" i="14645"/>
  <c r="J20" i="14685"/>
  <c r="J14" i="14685"/>
  <c r="J17" i="14685"/>
  <c r="J16" i="14685"/>
  <c r="J57" i="14652" a="1"/>
  <c r="J57" i="14652" s="1"/>
  <c r="J63" i="14652" a="1"/>
  <c r="J63" i="14652" s="1"/>
  <c r="J64" i="14652" a="1"/>
  <c r="J64" i="14652" s="1"/>
  <c r="J60" i="14652" a="1"/>
  <c r="J60" i="14652" s="1"/>
  <c r="J61" i="14652" a="1"/>
  <c r="J61" i="14652" s="1"/>
  <c r="J59" i="14652" a="1"/>
  <c r="J59" i="14652" s="1"/>
  <c r="J62" i="14652" a="1"/>
  <c r="J62" i="14652" s="1"/>
  <c r="J58" i="14652" a="1"/>
  <c r="J58" i="14652" s="1"/>
  <c r="C55" i="14707" a="1"/>
  <c r="D3" i="14706"/>
  <c r="B38" i="14652"/>
  <c r="B43" i="14665" a="1"/>
  <c r="C43" i="14665" s="1"/>
  <c r="B52" i="14687"/>
  <c r="B54" i="14687"/>
  <c r="B47" i="14687"/>
  <c r="B50" i="14687"/>
  <c r="B53" i="14687"/>
  <c r="B49" i="14687"/>
  <c r="J49" i="14687" s="1"/>
  <c r="B51" i="14687"/>
  <c r="D51" i="14687" s="1"/>
  <c r="B57" i="14689" a="1"/>
  <c r="F57" i="14689" s="1"/>
  <c r="A20" i="14677"/>
  <c r="A25" i="14677"/>
  <c r="A24" i="14677"/>
  <c r="A21" i="14677"/>
  <c r="C43" i="14685" a="1"/>
  <c r="C43" i="14685" s="1"/>
  <c r="D43" i="14685" a="1"/>
  <c r="D43" i="14685" s="1"/>
  <c r="B35" i="14661" s="1"/>
  <c r="B13" i="14661"/>
  <c r="K13" i="14661"/>
  <c r="L13" i="14661" s="1"/>
  <c r="B43" i="14689"/>
  <c r="A60" i="14707"/>
  <c r="A57" i="14707"/>
  <c r="A55" i="14707"/>
  <c r="A62" i="14707"/>
  <c r="A8" i="14701"/>
  <c r="A12" i="14701"/>
  <c r="A10" i="14701"/>
  <c r="A11" i="14701"/>
  <c r="A14" i="14701"/>
  <c r="A13" i="14701"/>
  <c r="A5" i="14637"/>
  <c r="A6" i="14637"/>
  <c r="A7" i="14637"/>
  <c r="A9" i="14637"/>
  <c r="A12" i="14637"/>
  <c r="A58" i="14695"/>
  <c r="A56" i="14695"/>
  <c r="A39" i="14686"/>
  <c r="A37" i="14686"/>
  <c r="A41" i="14686"/>
  <c r="A43" i="14686"/>
  <c r="A42" i="14686"/>
  <c r="A38" i="14686"/>
  <c r="A99" i="14648"/>
  <c r="G4" i="14661"/>
  <c r="A28" i="14707"/>
  <c r="A25" i="14707"/>
  <c r="A26" i="14707"/>
  <c r="A29" i="14707"/>
  <c r="A31" i="14707"/>
  <c r="O24" i="14633"/>
  <c r="D29" i="14686" a="1"/>
  <c r="D29" i="14686" s="1"/>
  <c r="D31" i="14686" s="1"/>
  <c r="J9" i="14685"/>
  <c r="J10" i="14685"/>
  <c r="C9" i="14625" a="1"/>
  <c r="M9" i="14625" s="1"/>
  <c r="B63" i="14689"/>
  <c r="B10" i="14689"/>
  <c r="G47" i="14707" a="1"/>
  <c r="G48" i="14707" s="1"/>
  <c r="I27" i="14643" a="1"/>
  <c r="I28" i="14643" s="1"/>
  <c r="A24" i="14649" a="1"/>
  <c r="A24" i="14649" s="1"/>
  <c r="B31" i="14674" a="1"/>
  <c r="B38" i="14674" s="1"/>
  <c r="A26" i="14706" a="1"/>
  <c r="A31" i="14706" s="1"/>
  <c r="A23" i="14677"/>
  <c r="A7" i="14625"/>
  <c r="A5" i="14625"/>
  <c r="A11" i="14625"/>
  <c r="A8" i="14625"/>
  <c r="A10" i="14625"/>
  <c r="A6" i="14625"/>
  <c r="A49" i="14689"/>
  <c r="A50" i="14689"/>
  <c r="A48" i="14689"/>
  <c r="A47" i="14689"/>
  <c r="A45" i="14689"/>
  <c r="A77" i="14689" s="1"/>
  <c r="A46" i="14689"/>
  <c r="A26" i="14689"/>
  <c r="A25" i="14689"/>
  <c r="A22" i="14689"/>
  <c r="A73" i="14689" s="1"/>
  <c r="A24" i="14689"/>
  <c r="A23" i="14689"/>
  <c r="F78" i="14689"/>
  <c r="A9" i="14700"/>
  <c r="A10" i="14700"/>
  <c r="A14" i="14700"/>
  <c r="A15" i="14700"/>
  <c r="A12" i="14700"/>
  <c r="A11" i="14700"/>
  <c r="A41" i="14638"/>
  <c r="A35" i="14638"/>
  <c r="A40" i="14638"/>
  <c r="A42" i="14638"/>
  <c r="A9" i="14699"/>
  <c r="A14" i="14699"/>
  <c r="A13" i="14699"/>
  <c r="A8" i="14699"/>
  <c r="A44" i="14695"/>
  <c r="A42" i="14695"/>
  <c r="A51" i="14695"/>
  <c r="A49" i="14695"/>
  <c r="J43" i="14685"/>
  <c r="J40" i="14685"/>
  <c r="J41" i="14685"/>
  <c r="J42" i="14685"/>
  <c r="A89" i="14707"/>
  <c r="A88" i="14707"/>
  <c r="A94" i="14707"/>
  <c r="A93" i="14707"/>
  <c r="A90" i="14707"/>
  <c r="A6" i="14634"/>
  <c r="A8" i="14634"/>
  <c r="A4" i="14634"/>
  <c r="A11" i="14674"/>
  <c r="A12" i="14674"/>
  <c r="G40" i="14647"/>
  <c r="B40" i="14647" s="1"/>
  <c r="I40" i="14647" s="1"/>
  <c r="B25" i="14647"/>
  <c r="I25" i="14647" s="1"/>
  <c r="A34" i="14702"/>
  <c r="A35" i="14702"/>
  <c r="A37" i="14702"/>
  <c r="A36" i="14702"/>
  <c r="A10" i="14703"/>
  <c r="A13" i="14703"/>
  <c r="A15" i="14703"/>
  <c r="A14" i="14703"/>
  <c r="A251" i="14698"/>
  <c r="A250" i="14698"/>
  <c r="E9" i="14695"/>
  <c r="C6" i="14695"/>
  <c r="G6" i="14695"/>
  <c r="B8" i="14695"/>
  <c r="F7" i="14695"/>
  <c r="F10" i="14695"/>
  <c r="H9" i="14695"/>
  <c r="F6" i="14695"/>
  <c r="B7" i="14695"/>
  <c r="F9" i="14695"/>
  <c r="D9" i="14695"/>
  <c r="C9" i="14695"/>
  <c r="H6" i="14695"/>
  <c r="B6" i="14695"/>
  <c r="G10" i="14695"/>
  <c r="B10" i="14695"/>
  <c r="C8" i="14695"/>
  <c r="F6" i="14686"/>
  <c r="F36" i="14653"/>
  <c r="G36" i="14653"/>
  <c r="C36" i="14653"/>
  <c r="L36" i="14653"/>
  <c r="K36" i="14653"/>
  <c r="D36" i="14653"/>
  <c r="O24" i="14653"/>
  <c r="I36" i="14653"/>
  <c r="E36" i="14653"/>
  <c r="B36" i="14653"/>
  <c r="M36" i="14653"/>
  <c r="J36" i="14653"/>
  <c r="O36" i="14653"/>
  <c r="O49" i="14653" s="1"/>
  <c r="O62" i="14653" s="1"/>
  <c r="H36" i="14653"/>
  <c r="C77" i="14689"/>
  <c r="G77" i="14689"/>
  <c r="D77" i="14689"/>
  <c r="E77" i="14689"/>
  <c r="B8" i="14624"/>
  <c r="C23" i="14687" a="1"/>
  <c r="N11" i="14708"/>
  <c r="X23" i="14655" s="1"/>
  <c r="W23" i="14655"/>
  <c r="D19" i="14706"/>
  <c r="F19" i="14706" s="1"/>
  <c r="H19" i="14706" s="1"/>
  <c r="J19" i="14706" s="1"/>
  <c r="L19" i="14706" s="1"/>
  <c r="N19" i="14706" s="1"/>
  <c r="D11" i="14667"/>
  <c r="L23" i="14687"/>
  <c r="G30" i="14705"/>
  <c r="K2" i="14657"/>
  <c r="F26" i="14626"/>
  <c r="G31" i="14685"/>
  <c r="I109" i="14698"/>
  <c r="I163" i="14698"/>
  <c r="K127" i="14704"/>
  <c r="K181" i="14698"/>
  <c r="I217" i="14703"/>
  <c r="I127" i="14702"/>
  <c r="K127" i="14702"/>
  <c r="I235" i="14703"/>
  <c r="I145" i="14702"/>
  <c r="I181" i="14702"/>
  <c r="I163" i="14702"/>
  <c r="O9" i="14687"/>
  <c r="C31" i="14686"/>
  <c r="J23" i="14687"/>
  <c r="I23" i="14687"/>
  <c r="D7" i="14624"/>
  <c r="E20" i="14687"/>
  <c r="E23" i="14687"/>
  <c r="O14" i="14687"/>
  <c r="D14" i="14686"/>
  <c r="B48" i="14687"/>
  <c r="E7" i="14686"/>
  <c r="E7" i="14624"/>
  <c r="F20" i="14687"/>
  <c r="C7" i="14624"/>
  <c r="D20" i="14687"/>
  <c r="G20" i="14687"/>
  <c r="L7" i="14624"/>
  <c r="M23" i="14687"/>
  <c r="D76" i="14665"/>
  <c r="C76" i="14665"/>
  <c r="I70" i="14702"/>
  <c r="I235" i="14702"/>
  <c r="I44" i="14702"/>
  <c r="I199" i="14702"/>
  <c r="B31" i="14675" a="1"/>
  <c r="B34" i="14675" s="1"/>
  <c r="B31" i="14634" a="1"/>
  <c r="B34" i="14634" s="1"/>
  <c r="E4" i="14687"/>
  <c r="E76" i="14665"/>
  <c r="B22" i="14689" a="1"/>
  <c r="C22" i="14689" s="1"/>
  <c r="B28" i="14689" a="1"/>
  <c r="D28" i="14689" s="1"/>
  <c r="I235" i="14698"/>
  <c r="I181" i="14698"/>
  <c r="I199" i="14698"/>
  <c r="I44" i="14698"/>
  <c r="K235" i="14704"/>
  <c r="K235" i="14698"/>
  <c r="K235" i="14700"/>
  <c r="O10" i="14687"/>
  <c r="H20" i="14687"/>
  <c r="H23" i="14687"/>
  <c r="I20" i="14687"/>
  <c r="N20" i="14687"/>
  <c r="N23" i="14687"/>
  <c r="G25" i="14685"/>
  <c r="G23" i="14685"/>
  <c r="G24" i="14685"/>
  <c r="I44" i="14701"/>
  <c r="I217" i="14701"/>
  <c r="I199" i="14701"/>
  <c r="I127" i="14701"/>
  <c r="I70" i="14701"/>
  <c r="I181" i="14701"/>
  <c r="I235" i="14701"/>
  <c r="I145" i="14701"/>
  <c r="I109" i="14701"/>
  <c r="I163" i="14701"/>
  <c r="K145" i="14702"/>
  <c r="K145" i="14701"/>
  <c r="K145" i="14700"/>
  <c r="K145" i="14703"/>
  <c r="K181" i="14700"/>
  <c r="K181" i="14702"/>
  <c r="K181" i="14701"/>
  <c r="K181" i="14704"/>
  <c r="K127" i="14701"/>
  <c r="K127" i="14700"/>
  <c r="K127" i="14703"/>
  <c r="I109" i="14703"/>
  <c r="I163" i="14703"/>
  <c r="I181" i="14703"/>
  <c r="I127" i="14703"/>
  <c r="M20" i="14687"/>
  <c r="L20" i="14687"/>
  <c r="J20" i="14687"/>
  <c r="K20" i="14687"/>
  <c r="J14" i="14653"/>
  <c r="N13" i="14653"/>
  <c r="F4" i="14706"/>
  <c r="H4" i="14706"/>
  <c r="N4" i="14706"/>
  <c r="B4" i="14706"/>
  <c r="L4" i="14706"/>
  <c r="J4" i="14706"/>
  <c r="A53" i="14706"/>
  <c r="C95" i="14665"/>
  <c r="C96" i="14665"/>
  <c r="C94" i="14665"/>
  <c r="C93" i="14665"/>
  <c r="C98" i="14665"/>
  <c r="C74" i="14690" s="1" a="1"/>
  <c r="C97" i="14665"/>
  <c r="A52" i="14667"/>
  <c r="B4" i="14667"/>
  <c r="J4" i="14667"/>
  <c r="H4" i="14667"/>
  <c r="F4" i="14667"/>
  <c r="N4" i="14667"/>
  <c r="L4" i="14667"/>
  <c r="N6" i="14631"/>
  <c r="D10" i="14657" s="1"/>
  <c r="C63" i="14685" a="1"/>
  <c r="C63" i="14685" s="1"/>
  <c r="K17" i="14661"/>
  <c r="L17" i="14661" s="1"/>
  <c r="D63" i="14685" a="1"/>
  <c r="D63" i="14685" s="1"/>
  <c r="B39" i="14661" s="1"/>
  <c r="C39" i="14661" s="1"/>
  <c r="D20" i="14706"/>
  <c r="F20" i="14706" s="1"/>
  <c r="H20" i="14706" s="1"/>
  <c r="J20" i="14706" s="1"/>
  <c r="L20" i="14706" s="1"/>
  <c r="N20" i="14706" s="1"/>
  <c r="C12" i="14626"/>
  <c r="J58" i="14685" a="1"/>
  <c r="B5" i="14630" a="1"/>
  <c r="L12" i="14630" s="1"/>
  <c r="E12" i="14689"/>
  <c r="F12" i="14689"/>
  <c r="C12" i="14689"/>
  <c r="B12" i="14689"/>
  <c r="D12" i="14689"/>
  <c r="C11" i="14693"/>
  <c r="F11" i="14693"/>
  <c r="E11" i="14693"/>
  <c r="D11" i="14693"/>
  <c r="C37" i="14685" a="1"/>
  <c r="C37" i="14685" s="1"/>
  <c r="D37" i="14685" a="1"/>
  <c r="D37" i="14685" s="1"/>
  <c r="B34" i="14661" s="1"/>
  <c r="B12" i="14661"/>
  <c r="J34" i="14685" a="1"/>
  <c r="K12" i="14661"/>
  <c r="B65" i="14685"/>
  <c r="F14" i="14653"/>
  <c r="N9" i="14653"/>
  <c r="D50" i="14685" a="1"/>
  <c r="D50" i="14685" s="1"/>
  <c r="B36" i="14661" s="1"/>
  <c r="C50" i="14685" a="1"/>
  <c r="C50" i="14685" s="1"/>
  <c r="J46" i="14685" a="1"/>
  <c r="K14" i="14661"/>
  <c r="L14" i="14661" s="1"/>
  <c r="B14" i="14661"/>
  <c r="G7" i="14685"/>
  <c r="G8" i="14685"/>
  <c r="N6" i="8"/>
  <c r="C10" i="14657" s="1"/>
  <c r="D34" i="14667"/>
  <c r="F34" i="14667" s="1"/>
  <c r="H34" i="14667" s="1"/>
  <c r="J34" i="14667" s="1"/>
  <c r="L34" i="14667" s="1"/>
  <c r="N34" i="14667" s="1"/>
  <c r="D36" i="14706"/>
  <c r="F36" i="14706" s="1"/>
  <c r="H36" i="14706" s="1"/>
  <c r="J36" i="14706" s="1"/>
  <c r="L36" i="14706" s="1"/>
  <c r="N36" i="14706" s="1"/>
  <c r="G12" i="14626"/>
  <c r="J55" i="14647" a="1"/>
  <c r="J55" i="14647" s="1"/>
  <c r="J43" i="14647" a="1"/>
  <c r="J43" i="14647" s="1"/>
  <c r="J9" i="14647" a="1"/>
  <c r="J9" i="14647" s="1"/>
  <c r="J24" i="14647" a="1"/>
  <c r="J24" i="14647" s="1"/>
  <c r="J7" i="14647" a="1"/>
  <c r="J7" i="14647" s="1"/>
  <c r="J13" i="14647" a="1"/>
  <c r="J13" i="14647" s="1"/>
  <c r="J46" i="14647" a="1"/>
  <c r="J46" i="14647" s="1"/>
  <c r="J41" i="14647" a="1"/>
  <c r="J41" i="14647" s="1"/>
  <c r="J74" i="14647" a="1"/>
  <c r="J74" i="14647" s="1"/>
  <c r="J29" i="14647" a="1"/>
  <c r="J29" i="14647" s="1"/>
  <c r="J10" i="14647" a="1"/>
  <c r="J10" i="14647" s="1"/>
  <c r="J56" i="14647" a="1"/>
  <c r="J56" i="14647" s="1"/>
  <c r="J73" i="14647" a="1"/>
  <c r="J73" i="14647" s="1"/>
  <c r="J95" i="14647" a="1"/>
  <c r="J95" i="14647" s="1"/>
  <c r="J42" i="14647" a="1"/>
  <c r="J42" i="14647" s="1"/>
  <c r="J62" i="14647" a="1"/>
  <c r="J62" i="14647" s="1"/>
  <c r="J31" i="14647" a="1"/>
  <c r="J31" i="14647" s="1"/>
  <c r="J8" i="14647" a="1"/>
  <c r="J8" i="14647" s="1"/>
  <c r="J59" i="14647" a="1"/>
  <c r="J59" i="14647" s="1"/>
  <c r="J11" i="14647" a="1"/>
  <c r="J11" i="14647" s="1"/>
  <c r="J26" i="14647" a="1"/>
  <c r="J26" i="14647" s="1"/>
  <c r="J30" i="14647" a="1"/>
  <c r="J30" i="14647" s="1"/>
  <c r="J45" i="14647" a="1"/>
  <c r="J45" i="14647" s="1"/>
  <c r="J76" i="14647" a="1"/>
  <c r="J76" i="14647" s="1"/>
  <c r="J75" i="14647" a="1"/>
  <c r="J75" i="14647" s="1"/>
  <c r="J44" i="14647" a="1"/>
  <c r="J44" i="14647" s="1"/>
  <c r="J89" i="14647" a="1"/>
  <c r="J89" i="14647" s="1"/>
  <c r="J14" i="14647" a="1"/>
  <c r="J14" i="14647" s="1"/>
  <c r="J25" i="14647" a="1"/>
  <c r="J25" i="14647" s="1"/>
  <c r="J60" i="14647" a="1"/>
  <c r="J60" i="14647" s="1"/>
  <c r="J79" i="14647" a="1"/>
  <c r="J79" i="14647" s="1"/>
  <c r="J91" i="14647" a="1"/>
  <c r="J91" i="14647" s="1"/>
  <c r="J78" i="14647" a="1"/>
  <c r="J78" i="14647" s="1"/>
  <c r="J80" i="14647" a="1"/>
  <c r="J80" i="14647" s="1"/>
  <c r="J58" i="14647" a="1"/>
  <c r="J58" i="14647" s="1"/>
  <c r="J27" i="14647" a="1"/>
  <c r="J27" i="14647" s="1"/>
  <c r="J12" i="14647" a="1"/>
  <c r="J12" i="14647" s="1"/>
  <c r="J28" i="14647" a="1"/>
  <c r="J28" i="14647" s="1"/>
  <c r="J57" i="14647" a="1"/>
  <c r="J57" i="14647" s="1"/>
  <c r="J61" i="14647" a="1"/>
  <c r="J61" i="14647" s="1"/>
  <c r="J77" i="14647" a="1"/>
  <c r="J77" i="14647" s="1"/>
  <c r="J92" i="14647" a="1"/>
  <c r="J92" i="14647" s="1"/>
  <c r="B31" i="14689"/>
  <c r="F88" i="14647"/>
  <c r="B88" i="14647" s="1"/>
  <c r="I88" i="14647" s="1"/>
  <c r="B73" i="14647"/>
  <c r="I73" i="14647" s="1"/>
  <c r="H39" i="14647"/>
  <c r="B39" i="14647" s="1"/>
  <c r="I39" i="14647" s="1"/>
  <c r="B24" i="14647"/>
  <c r="I24" i="14647" s="1"/>
  <c r="A49" i="14703"/>
  <c r="A50" i="14703"/>
  <c r="A47" i="14703"/>
  <c r="A48" i="14703"/>
  <c r="A51" i="14703"/>
  <c r="A53" i="14703"/>
  <c r="A52" i="14703"/>
  <c r="A46" i="14703"/>
  <c r="A78" i="14653"/>
  <c r="A76" i="14653"/>
  <c r="A73" i="14653"/>
  <c r="A71" i="14653"/>
  <c r="A74" i="14653"/>
  <c r="A75" i="14653"/>
  <c r="A77" i="14653"/>
  <c r="A72" i="14653"/>
  <c r="A38" i="14675"/>
  <c r="A37" i="14675"/>
  <c r="A33" i="14675"/>
  <c r="A35" i="14675"/>
  <c r="A36" i="14675"/>
  <c r="A31" i="14675"/>
  <c r="A34" i="14675"/>
  <c r="A32" i="14675"/>
  <c r="A23" i="14701"/>
  <c r="A26" i="14701"/>
  <c r="A27" i="14701"/>
  <c r="A21" i="14701"/>
  <c r="A25" i="14701"/>
  <c r="A24" i="14701"/>
  <c r="A22" i="14701"/>
  <c r="A20" i="14701"/>
  <c r="A13" i="14678"/>
  <c r="A8" i="14678"/>
  <c r="A11" i="14678"/>
  <c r="A9" i="14678"/>
  <c r="A7" i="14678"/>
  <c r="A10" i="14678"/>
  <c r="A14" i="14678"/>
  <c r="A12" i="14678"/>
  <c r="A16" i="14707"/>
  <c r="A12" i="14707"/>
  <c r="A13" i="14707"/>
  <c r="A11" i="14707"/>
  <c r="A17" i="14707"/>
  <c r="A14" i="14707"/>
  <c r="A18" i="14707"/>
  <c r="A15" i="14707"/>
  <c r="A8" i="14704"/>
  <c r="A14" i="14704"/>
  <c r="A10" i="14704"/>
  <c r="A9" i="14704"/>
  <c r="A11" i="14704"/>
  <c r="A15" i="14704"/>
  <c r="A13" i="14704"/>
  <c r="A12" i="14704"/>
  <c r="A25" i="14704"/>
  <c r="A23" i="14704"/>
  <c r="A24" i="14704"/>
  <c r="A26" i="14704"/>
  <c r="A22" i="14704"/>
  <c r="A21" i="14704"/>
  <c r="A20" i="14704"/>
  <c r="A27" i="14704"/>
  <c r="A49" i="14701"/>
  <c r="A53" i="14701"/>
  <c r="A51" i="14701"/>
  <c r="A46" i="14701"/>
  <c r="A47" i="14701"/>
  <c r="A50" i="14701"/>
  <c r="A52" i="14701"/>
  <c r="A48" i="14701"/>
  <c r="A11" i="14623"/>
  <c r="A9" i="14623"/>
  <c r="A7" i="14623"/>
  <c r="A8" i="14623"/>
  <c r="A13" i="14623"/>
  <c r="A14" i="14623"/>
  <c r="A12" i="14623"/>
  <c r="A10" i="14623"/>
  <c r="A32" i="7"/>
  <c r="A39" i="7"/>
  <c r="A34" i="7"/>
  <c r="A33" i="7"/>
  <c r="A37" i="7"/>
  <c r="A38" i="7"/>
  <c r="A36" i="7"/>
  <c r="A35" i="7"/>
  <c r="A37" i="14639"/>
  <c r="A33" i="14639"/>
  <c r="A32" i="14639"/>
  <c r="A34" i="14639"/>
  <c r="A31" i="14639"/>
  <c r="A38" i="14639"/>
  <c r="A35" i="14639"/>
  <c r="A36" i="14639"/>
  <c r="A39" i="14704"/>
  <c r="A33" i="14704"/>
  <c r="A34" i="14704"/>
  <c r="A32" i="14704"/>
  <c r="A36" i="14704"/>
  <c r="A38" i="14704"/>
  <c r="A35" i="14704"/>
  <c r="A37" i="14704"/>
  <c r="A13" i="14638"/>
  <c r="A8" i="14638"/>
  <c r="A14" i="14638"/>
  <c r="A12" i="14638"/>
  <c r="A11" i="14638"/>
  <c r="A7" i="14638"/>
  <c r="A9" i="14638"/>
  <c r="A10" i="14638"/>
  <c r="D90" i="14647"/>
  <c r="B90" i="14647" s="1"/>
  <c r="I90" i="14647" s="1"/>
  <c r="B75" i="14647"/>
  <c r="I75" i="14647" s="1"/>
  <c r="A197" i="14703"/>
  <c r="A196" i="14703"/>
  <c r="A181" i="14703"/>
  <c r="A179" i="14698"/>
  <c r="A178" i="14698"/>
  <c r="A214" i="14698"/>
  <c r="A215" i="14698"/>
  <c r="B35" i="14639"/>
  <c r="B38" i="14639"/>
  <c r="B34" i="14639"/>
  <c r="B33" i="14639"/>
  <c r="B31" i="14639"/>
  <c r="B37" i="14639"/>
  <c r="B32" i="14639"/>
  <c r="B36" i="14639"/>
  <c r="A50" i="14679"/>
  <c r="A48" i="14679"/>
  <c r="A53" i="14679"/>
  <c r="C59" i="14653"/>
  <c r="G59" i="14685"/>
  <c r="G61" i="14685"/>
  <c r="G60" i="14685"/>
  <c r="G58" i="14685"/>
  <c r="G49" i="14685"/>
  <c r="G46" i="14685"/>
  <c r="G47" i="14685"/>
  <c r="G48" i="14685"/>
  <c r="O24" i="14625"/>
  <c r="O24" i="14641"/>
  <c r="O24" i="14677"/>
  <c r="D11" i="14696" a="1"/>
  <c r="A251" i="14701"/>
  <c r="A250" i="14701"/>
  <c r="A124" i="14700"/>
  <c r="A125" i="14700"/>
  <c r="E10" i="14696"/>
  <c r="B35" i="14628"/>
  <c r="B34" i="14628"/>
  <c r="B32" i="14628"/>
  <c r="B38" i="14628"/>
  <c r="B37" i="14628"/>
  <c r="B33" i="14628"/>
  <c r="B31" i="14628"/>
  <c r="B36" i="14628"/>
  <c r="H7" i="14667"/>
  <c r="J7" i="14667" s="1"/>
  <c r="L7" i="14667" s="1"/>
  <c r="N7" i="14667" s="1"/>
  <c r="G47" i="14653"/>
  <c r="L47" i="14653"/>
  <c r="J47" i="14653"/>
  <c r="D47" i="14653"/>
  <c r="O47" i="14653"/>
  <c r="O60" i="14653" s="1"/>
  <c r="E47" i="14653"/>
  <c r="I47" i="14653"/>
  <c r="M47" i="14653"/>
  <c r="C71" i="14653"/>
  <c r="N58" i="14653"/>
  <c r="P58" i="14653" s="1"/>
  <c r="N19" i="14708" s="1"/>
  <c r="B45" i="14689" a="1"/>
  <c r="B52" i="14689" a="1"/>
  <c r="B5" i="7" a="1"/>
  <c r="A89" i="14687"/>
  <c r="A92" i="14687"/>
  <c r="A86" i="14687"/>
  <c r="A85" i="14687"/>
  <c r="A88" i="14687"/>
  <c r="A87" i="14687"/>
  <c r="A91" i="14687"/>
  <c r="A90" i="14687"/>
  <c r="D14" i="11"/>
  <c r="B29" i="14667"/>
  <c r="B26" i="14667" s="1"/>
  <c r="B42" i="14706"/>
  <c r="B39" i="14706" s="1"/>
  <c r="B6" i="11"/>
  <c r="J26" i="14685"/>
  <c r="J25" i="14685"/>
  <c r="J24" i="14685"/>
  <c r="J23" i="14685"/>
  <c r="F57" i="14665"/>
  <c r="B57" i="14665" s="1"/>
  <c r="B56" i="14665"/>
  <c r="B73" i="14684"/>
  <c r="H49" i="14690"/>
  <c r="B74" i="14684" s="1"/>
  <c r="A54" i="14647" a="1"/>
  <c r="A23" i="14647" a="1"/>
  <c r="A87" i="14647" a="1"/>
  <c r="A72" i="14647" a="1"/>
  <c r="A38" i="14647" a="1"/>
  <c r="F19" i="14647"/>
  <c r="G19" i="14647"/>
  <c r="D19" i="14647"/>
  <c r="H19" i="14647"/>
  <c r="E19" i="14647"/>
  <c r="G43" i="14665"/>
  <c r="D43" i="14665"/>
  <c r="B43" i="14665"/>
  <c r="A42" i="14678"/>
  <c r="A41" i="14678"/>
  <c r="A39" i="14678"/>
  <c r="A36" i="14678"/>
  <c r="A38" i="14678"/>
  <c r="A40" i="14678"/>
  <c r="A35" i="14678"/>
  <c r="A37" i="14678"/>
  <c r="A39" i="14630"/>
  <c r="A35" i="14630"/>
  <c r="A38" i="14630"/>
  <c r="A34" i="14630"/>
  <c r="A32" i="14630"/>
  <c r="A36" i="14630"/>
  <c r="A37" i="14630"/>
  <c r="A33" i="14630"/>
  <c r="A62" i="14652"/>
  <c r="A64" i="14652"/>
  <c r="A59" i="14652"/>
  <c r="A58" i="14652"/>
  <c r="A60" i="14652"/>
  <c r="A63" i="14652"/>
  <c r="A61" i="14652"/>
  <c r="A57" i="14652"/>
  <c r="A64" i="14704"/>
  <c r="A62" i="14704"/>
  <c r="A63" i="14704"/>
  <c r="A61" i="14704"/>
  <c r="A66" i="14704"/>
  <c r="A65" i="14704"/>
  <c r="A60" i="14704"/>
  <c r="A59" i="14704"/>
  <c r="A9" i="14630"/>
  <c r="A11" i="14630"/>
  <c r="A10" i="14630"/>
  <c r="A7" i="14630"/>
  <c r="A12" i="14630"/>
  <c r="A8" i="14630"/>
  <c r="A5" i="14630"/>
  <c r="A6" i="14630"/>
  <c r="A51" i="14683"/>
  <c r="A50" i="14683"/>
  <c r="A49" i="14683"/>
  <c r="A54" i="14683"/>
  <c r="A56" i="14683"/>
  <c r="A55" i="14683"/>
  <c r="A52" i="14683"/>
  <c r="A53" i="14683"/>
  <c r="A13" i="14702"/>
  <c r="A11" i="14702"/>
  <c r="A9" i="14702"/>
  <c r="A12" i="14702"/>
  <c r="A10" i="14702"/>
  <c r="A8" i="14702"/>
  <c r="A14" i="14702"/>
  <c r="A15" i="14702"/>
  <c r="A49" i="14700"/>
  <c r="A53" i="14700"/>
  <c r="A48" i="14700"/>
  <c r="A47" i="14700"/>
  <c r="A50" i="14700"/>
  <c r="A52" i="14700"/>
  <c r="A51" i="14700"/>
  <c r="A46" i="14700"/>
  <c r="A10" i="14647"/>
  <c r="A14" i="14647"/>
  <c r="A9" i="14647"/>
  <c r="A8" i="14647"/>
  <c r="A7" i="14647"/>
  <c r="A11" i="14647"/>
  <c r="A12" i="14647"/>
  <c r="A13" i="14647"/>
  <c r="A22" i="14637"/>
  <c r="A17" i="14637"/>
  <c r="A24" i="14637"/>
  <c r="A19" i="14637"/>
  <c r="A18" i="14637"/>
  <c r="A20" i="14637"/>
  <c r="A23" i="14637"/>
  <c r="A21" i="14637"/>
  <c r="A21" i="14683"/>
  <c r="A20" i="14683"/>
  <c r="A19" i="14683"/>
  <c r="A22" i="14683"/>
  <c r="A26" i="14683"/>
  <c r="A25" i="14683"/>
  <c r="A23" i="14683"/>
  <c r="A24" i="14683"/>
  <c r="A39" i="14653"/>
  <c r="A34" i="14653"/>
  <c r="A33" i="14653"/>
  <c r="A37" i="14653"/>
  <c r="A32" i="14653"/>
  <c r="A35" i="14653"/>
  <c r="A36" i="14653"/>
  <c r="A38" i="14653"/>
  <c r="A35" i="14632"/>
  <c r="A42" i="14632"/>
  <c r="A36" i="14632"/>
  <c r="A38" i="14632"/>
  <c r="A37" i="14632"/>
  <c r="A41" i="14632"/>
  <c r="A40" i="14632"/>
  <c r="A39" i="14632"/>
  <c r="A5" i="7"/>
  <c r="A10" i="7"/>
  <c r="A12" i="7"/>
  <c r="A7" i="7"/>
  <c r="A6" i="7"/>
  <c r="A11" i="7"/>
  <c r="A9" i="7"/>
  <c r="A8" i="7"/>
  <c r="A104" i="14648"/>
  <c r="A66" i="14648"/>
  <c r="H4" i="14661"/>
  <c r="A109" i="14703"/>
  <c r="A125" i="14703"/>
  <c r="A163" i="14703"/>
  <c r="A178" i="14703"/>
  <c r="A179" i="14703"/>
  <c r="A161" i="14698"/>
  <c r="A160" i="14698"/>
  <c r="A196" i="14698"/>
  <c r="A197" i="14698"/>
  <c r="D39" i="14622"/>
  <c r="C43" i="14622" a="1"/>
  <c r="C43" i="14622" s="1"/>
  <c r="C9" i="14661"/>
  <c r="E65" i="14685"/>
  <c r="E9" i="14652"/>
  <c r="G8" i="14652"/>
  <c r="D94" i="14647"/>
  <c r="B94" i="14647" s="1"/>
  <c r="I94" i="14647" s="1"/>
  <c r="B79" i="14647"/>
  <c r="I79" i="14647" s="1"/>
  <c r="A142" i="14701"/>
  <c r="A143" i="14701"/>
  <c r="A215" i="14700"/>
  <c r="A214" i="14700"/>
  <c r="E72" i="14689"/>
  <c r="G72" i="14689"/>
  <c r="C72" i="14689"/>
  <c r="A125" i="14698"/>
  <c r="A124" i="14698"/>
  <c r="D17" i="14661"/>
  <c r="K47" i="14653"/>
  <c r="H47" i="14653"/>
  <c r="C47" i="14653"/>
  <c r="B47" i="14653"/>
  <c r="N34" i="14653"/>
  <c r="D40" i="14622"/>
  <c r="A47" i="14632"/>
  <c r="A52" i="14632"/>
  <c r="A49" i="14632"/>
  <c r="A50" i="14632"/>
  <c r="A54" i="14632"/>
  <c r="A48" i="14632"/>
  <c r="A53" i="14632"/>
  <c r="A51" i="14632"/>
  <c r="D41" i="14622"/>
  <c r="F48" i="14686" a="1"/>
  <c r="F48" i="14686" s="1"/>
  <c r="F30" i="14686" a="1"/>
  <c r="F30" i="14686" s="1"/>
  <c r="D22" i="14689"/>
  <c r="F22" i="14689"/>
  <c r="C28" i="14689"/>
  <c r="I62" i="14665"/>
  <c r="D3" i="4128" s="1" a="1"/>
  <c r="D27" i="14661" a="1"/>
  <c r="C32" i="14684" a="1"/>
  <c r="B33" i="14689" a="1"/>
  <c r="C24" i="14684" a="1"/>
  <c r="B39" i="14689" a="1"/>
  <c r="D32" i="14687" l="1"/>
  <c r="J29" i="14687"/>
  <c r="H48" i="14653"/>
  <c r="A142" i="14703"/>
  <c r="J28" i="14687"/>
  <c r="I7" i="14629" s="1"/>
  <c r="E73" i="14689"/>
  <c r="B28" i="14689"/>
  <c r="F28" i="14689"/>
  <c r="A52" i="14679"/>
  <c r="B12" i="14695" a="1"/>
  <c r="G12" i="14695" s="1"/>
  <c r="M32" i="14687"/>
  <c r="Q62" i="4128"/>
  <c r="M49" i="14687"/>
  <c r="D11" i="14690"/>
  <c r="B71" i="14649" s="1"/>
  <c r="J51" i="14687"/>
  <c r="J93" i="14647" a="1"/>
  <c r="J93" i="14647" s="1"/>
  <c r="M51" i="14687"/>
  <c r="G20" i="14685"/>
  <c r="A51" i="14694" a="1"/>
  <c r="D33" i="14652" a="1"/>
  <c r="D39" i="14652" s="1"/>
  <c r="A55" i="14694"/>
  <c r="A56" i="14694"/>
  <c r="A51" i="14694"/>
  <c r="A52" i="14694"/>
  <c r="A53" i="14694"/>
  <c r="A54" i="14694"/>
  <c r="F12" i="14694"/>
  <c r="G12" i="14694"/>
  <c r="D12" i="14694"/>
  <c r="A52" i="14638"/>
  <c r="A34" i="14661"/>
  <c r="E17" i="14687"/>
  <c r="A53" i="14678"/>
  <c r="F6" i="14670"/>
  <c r="F73" i="14689"/>
  <c r="G73" i="14689"/>
  <c r="A49" i="14678"/>
  <c r="D17" i="14649"/>
  <c r="F17" i="14649"/>
  <c r="E17" i="14649"/>
  <c r="G17" i="14649"/>
  <c r="F10" i="14696"/>
  <c r="A30" i="14661"/>
  <c r="G6" i="14670"/>
  <c r="F17" i="14687"/>
  <c r="A50" i="14678"/>
  <c r="A47" i="14678"/>
  <c r="J6" i="14670"/>
  <c r="C73" i="14689"/>
  <c r="G17" i="14687"/>
  <c r="D10" i="14696"/>
  <c r="E57" i="14689"/>
  <c r="F72" i="14689"/>
  <c r="B57" i="14689"/>
  <c r="K49" i="14687"/>
  <c r="F59" i="14653"/>
  <c r="F72" i="14653" s="1"/>
  <c r="B6" i="14670"/>
  <c r="A43" i="14694" a="1"/>
  <c r="M6" i="14670"/>
  <c r="A35" i="14694" a="1"/>
  <c r="B14" i="14694" a="1"/>
  <c r="M21" i="14687"/>
  <c r="K17" i="14687"/>
  <c r="O12" i="14687"/>
  <c r="N6" i="14640"/>
  <c r="E10" i="14657" s="1"/>
  <c r="D21" i="14687"/>
  <c r="D17" i="14687"/>
  <c r="O16" i="14687"/>
  <c r="E21" i="14687"/>
  <c r="J17" i="14687"/>
  <c r="C17" i="14687"/>
  <c r="K21" i="14687"/>
  <c r="C14" i="14694"/>
  <c r="D14" i="14694"/>
  <c r="L7" i="14629"/>
  <c r="B14" i="14695" a="1"/>
  <c r="F14" i="14695" s="1"/>
  <c r="F29" i="14687"/>
  <c r="K29" i="14687"/>
  <c r="H29" i="14687"/>
  <c r="M29" i="14687"/>
  <c r="N29" i="14687"/>
  <c r="G29" i="14687"/>
  <c r="E28" i="14689"/>
  <c r="G21" i="14687"/>
  <c r="F43" i="14665"/>
  <c r="D25" i="14690"/>
  <c r="A54" i="14679"/>
  <c r="A51" i="14679"/>
  <c r="C29" i="14687"/>
  <c r="D29" i="14687"/>
  <c r="H49" i="14687"/>
  <c r="G49" i="14687"/>
  <c r="B12" i="14694"/>
  <c r="H52" i="14705" s="1"/>
  <c r="C12" i="14694"/>
  <c r="G78" i="14689"/>
  <c r="A33" i="14661"/>
  <c r="A29" i="14661"/>
  <c r="C33" i="14652" a="1"/>
  <c r="C38" i="14652" s="1"/>
  <c r="N46" i="14653"/>
  <c r="K48" i="14653"/>
  <c r="J48" i="14653"/>
  <c r="B36" i="14687"/>
  <c r="I21" i="14687"/>
  <c r="I6" i="14670"/>
  <c r="H17" i="14687"/>
  <c r="L21" i="14687"/>
  <c r="L35" i="14687"/>
  <c r="M35" i="14687"/>
  <c r="K35" i="14687"/>
  <c r="N35" i="14687"/>
  <c r="E35" i="14687"/>
  <c r="G35" i="14687"/>
  <c r="D35" i="14687"/>
  <c r="C35" i="14687"/>
  <c r="H35" i="14687"/>
  <c r="J35" i="14687"/>
  <c r="I35" i="14687"/>
  <c r="F35" i="14687"/>
  <c r="E12" i="14694"/>
  <c r="H12" i="14694"/>
  <c r="D12" i="14695"/>
  <c r="L29" i="14687"/>
  <c r="A31" i="14661"/>
  <c r="A36" i="14661"/>
  <c r="D28" i="14687"/>
  <c r="C7" i="14629" s="1"/>
  <c r="K28" i="14687"/>
  <c r="F28" i="14687"/>
  <c r="L28" i="14687"/>
  <c r="G28" i="14687"/>
  <c r="H28" i="14687"/>
  <c r="E28" i="14687"/>
  <c r="D7" i="14629" s="1"/>
  <c r="I28" i="14687"/>
  <c r="H7" i="14629" s="1"/>
  <c r="C28" i="14687"/>
  <c r="B7" i="14629" s="1"/>
  <c r="N28" i="14687"/>
  <c r="F60" i="14653"/>
  <c r="F73" i="14653" s="1"/>
  <c r="D39" i="14661"/>
  <c r="E39" i="14661" s="1"/>
  <c r="E43" i="14665"/>
  <c r="B57" i="14648"/>
  <c r="A49" i="14679"/>
  <c r="I29" i="14687"/>
  <c r="D78" i="14689"/>
  <c r="A28" i="14661"/>
  <c r="A35" i="14661"/>
  <c r="J21" i="14687"/>
  <c r="F19" i="14652" a="1"/>
  <c r="F24" i="14652" s="1"/>
  <c r="O15" i="14687"/>
  <c r="N21" i="14687"/>
  <c r="G55" i="14685"/>
  <c r="H35" i="14690"/>
  <c r="B5" i="14692" s="1" a="1"/>
  <c r="K32" i="14687"/>
  <c r="J32" i="14687"/>
  <c r="F32" i="14687"/>
  <c r="G32" i="14687"/>
  <c r="L32" i="14687"/>
  <c r="N32" i="14687"/>
  <c r="E32" i="14687"/>
  <c r="C32" i="14687"/>
  <c r="I32" i="14687"/>
  <c r="J5" i="14694"/>
  <c r="B24" i="11" s="1"/>
  <c r="B32" i="14675"/>
  <c r="C57" i="14689"/>
  <c r="E22" i="14689"/>
  <c r="B22" i="14689"/>
  <c r="E12" i="14695"/>
  <c r="B12" i="14695"/>
  <c r="D57" i="14705" s="1"/>
  <c r="C60" i="14653"/>
  <c r="C73" i="14653" s="1"/>
  <c r="H21" i="14687"/>
  <c r="O11" i="14687"/>
  <c r="M17" i="14687"/>
  <c r="A143" i="14703"/>
  <c r="J40" i="14647" a="1"/>
  <c r="J40" i="14647" s="1"/>
  <c r="L17" i="14687"/>
  <c r="B9" i="14624" a="1"/>
  <c r="M9" i="14624" s="1"/>
  <c r="L51" i="14687"/>
  <c r="E51" i="14687"/>
  <c r="H51" i="14687"/>
  <c r="E14" i="14694"/>
  <c r="A32" i="14661"/>
  <c r="E59" i="14653"/>
  <c r="E72" i="14653" s="1"/>
  <c r="H59" i="14653"/>
  <c r="H72" i="14653" s="1"/>
  <c r="C48" i="14653"/>
  <c r="L33" i="14687"/>
  <c r="M33" i="14687"/>
  <c r="K33" i="14687"/>
  <c r="H33" i="14687"/>
  <c r="G33" i="14687"/>
  <c r="F33" i="14687"/>
  <c r="J33" i="14687"/>
  <c r="D33" i="14687"/>
  <c r="N33" i="14687"/>
  <c r="E33" i="14687"/>
  <c r="C33" i="14687"/>
  <c r="I33" i="14687"/>
  <c r="A40" i="14692"/>
  <c r="A38" i="14692"/>
  <c r="A36" i="14692"/>
  <c r="A39" i="14692"/>
  <c r="A37" i="14692"/>
  <c r="C6" i="14670"/>
  <c r="L6" i="14670"/>
  <c r="G38" i="14665"/>
  <c r="E6" i="14670"/>
  <c r="A51" i="14638"/>
  <c r="A47" i="14638"/>
  <c r="A54" i="14638"/>
  <c r="A48" i="14638"/>
  <c r="A49" i="14638"/>
  <c r="A53" i="14638"/>
  <c r="H6" i="14670"/>
  <c r="D57" i="14689"/>
  <c r="H12" i="14695"/>
  <c r="F12" i="14695"/>
  <c r="K31" i="14687"/>
  <c r="G31" i="14687"/>
  <c r="J31" i="14687"/>
  <c r="N31" i="14687"/>
  <c r="L31" i="14687"/>
  <c r="D31" i="14687"/>
  <c r="C31" i="14687"/>
  <c r="I31" i="14687"/>
  <c r="M31" i="14687"/>
  <c r="E31" i="14687"/>
  <c r="H31" i="14687"/>
  <c r="F31" i="14687"/>
  <c r="A54" i="14692"/>
  <c r="A56" i="14692"/>
  <c r="A55" i="14692"/>
  <c r="A53" i="14692"/>
  <c r="A52" i="14692"/>
  <c r="C67" i="14647"/>
  <c r="H30" i="14687"/>
  <c r="I30" i="14687"/>
  <c r="G30" i="14687"/>
  <c r="E30" i="14687"/>
  <c r="F30" i="14687"/>
  <c r="J30" i="14687"/>
  <c r="D30" i="14687"/>
  <c r="C30" i="14687"/>
  <c r="N30" i="14687"/>
  <c r="L30" i="14687"/>
  <c r="K30" i="14687"/>
  <c r="M30" i="14687"/>
  <c r="I17" i="14687"/>
  <c r="F21" i="14687"/>
  <c r="I51" i="14687"/>
  <c r="N51" i="14687"/>
  <c r="X25" i="14655"/>
  <c r="C30" i="14661" a="1"/>
  <c r="C35" i="14661" s="1"/>
  <c r="A49" i="14645" a="1"/>
  <c r="L48" i="14653"/>
  <c r="D34" i="14687"/>
  <c r="C34" i="14687"/>
  <c r="E34" i="14687"/>
  <c r="I34" i="14687"/>
  <c r="F34" i="14687"/>
  <c r="N34" i="14687"/>
  <c r="H34" i="14687"/>
  <c r="L34" i="14687"/>
  <c r="M34" i="14687"/>
  <c r="G34" i="14687"/>
  <c r="J34" i="14687"/>
  <c r="K34" i="14687"/>
  <c r="A45" i="14692"/>
  <c r="A44" i="14692"/>
  <c r="A48" i="14692"/>
  <c r="A47" i="14692"/>
  <c r="A46" i="14692"/>
  <c r="A43" i="14694"/>
  <c r="A48" i="14694"/>
  <c r="A45" i="14694"/>
  <c r="A47" i="14694"/>
  <c r="A46" i="14694"/>
  <c r="A44" i="14694"/>
  <c r="K6" i="14670"/>
  <c r="B34" i="14674"/>
  <c r="G59" i="14653"/>
  <c r="G72" i="14653" s="1"/>
  <c r="D48" i="14653"/>
  <c r="B48" i="14653"/>
  <c r="N35" i="14653"/>
  <c r="L59" i="14653"/>
  <c r="L72" i="14653" s="1"/>
  <c r="D59" i="14653"/>
  <c r="D72" i="14653" s="1"/>
  <c r="K59" i="14653"/>
  <c r="K72" i="14653" s="1"/>
  <c r="M59" i="14653"/>
  <c r="M72" i="14653" s="1"/>
  <c r="B59" i="14653"/>
  <c r="O48" i="14653"/>
  <c r="O61" i="14653" s="1"/>
  <c r="E48" i="14653"/>
  <c r="M48" i="14653"/>
  <c r="I48" i="14653"/>
  <c r="F48" i="14653"/>
  <c r="J59" i="14653"/>
  <c r="J72" i="14653" s="1"/>
  <c r="G48" i="14653"/>
  <c r="I59" i="14653"/>
  <c r="I72" i="14653" s="1"/>
  <c r="C62" i="14707"/>
  <c r="C61" i="14707"/>
  <c r="C55" i="14707"/>
  <c r="C57" i="14707"/>
  <c r="C60" i="14707"/>
  <c r="C59" i="14707"/>
  <c r="C56" i="14707"/>
  <c r="C58" i="14707"/>
  <c r="F14" i="14694"/>
  <c r="G14" i="14694"/>
  <c r="H14" i="14694"/>
  <c r="B14" i="14694"/>
  <c r="N14" i="14653"/>
  <c r="J90" i="14647" a="1"/>
  <c r="J90" i="14647" s="1"/>
  <c r="B35" i="14675"/>
  <c r="B33" i="14675"/>
  <c r="B38" i="14675"/>
  <c r="B31" i="14675"/>
  <c r="B37" i="14675"/>
  <c r="B36" i="14634"/>
  <c r="F23" i="14687"/>
  <c r="C23" i="14687"/>
  <c r="K23" i="14687"/>
  <c r="G23" i="14687"/>
  <c r="D23" i="14687"/>
  <c r="H49" i="14653"/>
  <c r="H62" i="14653" s="1"/>
  <c r="H75" i="14653" s="1"/>
  <c r="J49" i="14653"/>
  <c r="J62" i="14653" s="1"/>
  <c r="J75" i="14653" s="1"/>
  <c r="N36" i="14653"/>
  <c r="B49" i="14653"/>
  <c r="I49" i="14653"/>
  <c r="I62" i="14653" s="1"/>
  <c r="I75" i="14653" s="1"/>
  <c r="D49" i="14653"/>
  <c r="D62" i="14653" s="1"/>
  <c r="D75" i="14653" s="1"/>
  <c r="L49" i="14653"/>
  <c r="L62" i="14653" s="1"/>
  <c r="L75" i="14653" s="1"/>
  <c r="G49" i="14653"/>
  <c r="G62" i="14653" s="1"/>
  <c r="G75" i="14653" s="1"/>
  <c r="B66" i="14687" a="1"/>
  <c r="B67" i="14687" s="1"/>
  <c r="A232" i="14703"/>
  <c r="A233" i="14703"/>
  <c r="A217" i="14703"/>
  <c r="A199" i="14703"/>
  <c r="A214" i="14703"/>
  <c r="A215" i="14703"/>
  <c r="A178" i="14700"/>
  <c r="A179" i="14700"/>
  <c r="A251" i="14700"/>
  <c r="A250" i="14700"/>
  <c r="A161" i="14700"/>
  <c r="A160" i="14700"/>
  <c r="B35" i="14674"/>
  <c r="B33" i="14674"/>
  <c r="B36" i="14674"/>
  <c r="B32" i="14674"/>
  <c r="B37" i="14674"/>
  <c r="B31" i="14674"/>
  <c r="I27" i="14643"/>
  <c r="G47" i="14707"/>
  <c r="G79" i="14689"/>
  <c r="C79" i="14689"/>
  <c r="D79" i="14689"/>
  <c r="F79" i="14689"/>
  <c r="E79" i="14689"/>
  <c r="A233" i="14701"/>
  <c r="A232" i="14701"/>
  <c r="A161" i="14701"/>
  <c r="A160" i="14701"/>
  <c r="A125" i="14701"/>
  <c r="A124" i="14701"/>
  <c r="B36" i="14675"/>
  <c r="G51" i="14687"/>
  <c r="C51" i="14687"/>
  <c r="F51" i="14687"/>
  <c r="K51" i="14687"/>
  <c r="L53" i="14687"/>
  <c r="C53" i="14687"/>
  <c r="J53" i="14687"/>
  <c r="E53" i="14687"/>
  <c r="D53" i="14687"/>
  <c r="N53" i="14687"/>
  <c r="F53" i="14687"/>
  <c r="H53" i="14687"/>
  <c r="G53" i="14687"/>
  <c r="K53" i="14687"/>
  <c r="M53" i="14687"/>
  <c r="I53" i="14687"/>
  <c r="J47" i="14687"/>
  <c r="G47" i="14687"/>
  <c r="M47" i="14687"/>
  <c r="L47" i="14687"/>
  <c r="N47" i="14687"/>
  <c r="E47" i="14687"/>
  <c r="K47" i="14687"/>
  <c r="C47" i="14687"/>
  <c r="F47" i="14687"/>
  <c r="D47" i="14687"/>
  <c r="H47" i="14687"/>
  <c r="I47" i="14687"/>
  <c r="C52" i="14687"/>
  <c r="N52" i="14687"/>
  <c r="D52" i="14687"/>
  <c r="F52" i="14687"/>
  <c r="J52" i="14687"/>
  <c r="H52" i="14687"/>
  <c r="E52" i="14687"/>
  <c r="L52" i="14687"/>
  <c r="G52" i="14687"/>
  <c r="M52" i="14687"/>
  <c r="K52" i="14687"/>
  <c r="I52" i="14687"/>
  <c r="J39" i="14647" a="1"/>
  <c r="J39" i="14647" s="1"/>
  <c r="B35" i="14634"/>
  <c r="B38" i="14634"/>
  <c r="B31" i="14634"/>
  <c r="B37" i="14634"/>
  <c r="B33" i="14634"/>
  <c r="M49" i="14653"/>
  <c r="M62" i="14653" s="1"/>
  <c r="M75" i="14653" s="1"/>
  <c r="E49" i="14653"/>
  <c r="E62" i="14653" s="1"/>
  <c r="E75" i="14653" s="1"/>
  <c r="J37" i="14653"/>
  <c r="L37" i="14653"/>
  <c r="H37" i="14653"/>
  <c r="B37" i="14653"/>
  <c r="G37" i="14653"/>
  <c r="E37" i="14653"/>
  <c r="K37" i="14653"/>
  <c r="D37" i="14653"/>
  <c r="O37" i="14653"/>
  <c r="O50" i="14653" s="1"/>
  <c r="O63" i="14653" s="1"/>
  <c r="M37" i="14653"/>
  <c r="I37" i="14653"/>
  <c r="F37" i="14653"/>
  <c r="C37" i="14653"/>
  <c r="C50" i="14653" s="1"/>
  <c r="C63" i="14653" s="1"/>
  <c r="C76" i="14653" s="1"/>
  <c r="O25" i="14653"/>
  <c r="K49" i="14653"/>
  <c r="K62" i="14653" s="1"/>
  <c r="K75" i="14653" s="1"/>
  <c r="C49" i="14653"/>
  <c r="C62" i="14653" s="1"/>
  <c r="C75" i="14653" s="1"/>
  <c r="F49" i="14653"/>
  <c r="F62" i="14653" s="1"/>
  <c r="E29" i="14686" a="1"/>
  <c r="E29" i="14686" s="1"/>
  <c r="E31" i="14686" s="1"/>
  <c r="A251" i="14703"/>
  <c r="A250" i="14703"/>
  <c r="A235" i="14703"/>
  <c r="A160" i="14703"/>
  <c r="A161" i="14703"/>
  <c r="A145" i="14703"/>
  <c r="A197" i="14700"/>
  <c r="A196" i="14700"/>
  <c r="A233" i="14700"/>
  <c r="A232" i="14700"/>
  <c r="A143" i="14700"/>
  <c r="A142" i="14700"/>
  <c r="A26" i="14706"/>
  <c r="A27" i="14706"/>
  <c r="A28" i="14706"/>
  <c r="A29" i="14706"/>
  <c r="A32" i="14706"/>
  <c r="A30" i="14706"/>
  <c r="B32" i="14634"/>
  <c r="A25" i="14649"/>
  <c r="A26" i="14649"/>
  <c r="F71" i="14689"/>
  <c r="E71" i="14689"/>
  <c r="C71" i="14689"/>
  <c r="G71" i="14689"/>
  <c r="D71" i="14689"/>
  <c r="D9" i="14625"/>
  <c r="H9" i="14625"/>
  <c r="L9" i="14625"/>
  <c r="F9" i="14625"/>
  <c r="J9" i="14625"/>
  <c r="G9" i="14625"/>
  <c r="E9" i="14625"/>
  <c r="N9" i="14625"/>
  <c r="K9" i="14625"/>
  <c r="C9" i="14625"/>
  <c r="I9" i="14625"/>
  <c r="A215" i="14701"/>
  <c r="A214" i="14701"/>
  <c r="A179" i="14701"/>
  <c r="A178" i="14701"/>
  <c r="A196" i="14701"/>
  <c r="A197" i="14701"/>
  <c r="F76" i="14689"/>
  <c r="D76" i="14689"/>
  <c r="G76" i="14689"/>
  <c r="E76" i="14689"/>
  <c r="C76" i="14689"/>
  <c r="D49" i="14687"/>
  <c r="I49" i="14687"/>
  <c r="N49" i="14687"/>
  <c r="E49" i="14687"/>
  <c r="F49" i="14687"/>
  <c r="C49" i="14687"/>
  <c r="L49" i="14687"/>
  <c r="J50" i="14687"/>
  <c r="D50" i="14687"/>
  <c r="I50" i="14687"/>
  <c r="M50" i="14687"/>
  <c r="H50" i="14687"/>
  <c r="F50" i="14687"/>
  <c r="C50" i="14687"/>
  <c r="G50" i="14687"/>
  <c r="E50" i="14687"/>
  <c r="K50" i="14687"/>
  <c r="L50" i="14687"/>
  <c r="N50" i="14687"/>
  <c r="L54" i="14687"/>
  <c r="F54" i="14687"/>
  <c r="J54" i="14687"/>
  <c r="C54" i="14687"/>
  <c r="K54" i="14687"/>
  <c r="E54" i="14687"/>
  <c r="H54" i="14687"/>
  <c r="M54" i="14687"/>
  <c r="G54" i="14687"/>
  <c r="D54" i="14687"/>
  <c r="I54" i="14687"/>
  <c r="N54" i="14687"/>
  <c r="F11" i="14667"/>
  <c r="H11" i="14667" s="1"/>
  <c r="J11" i="14667" s="1"/>
  <c r="L11" i="14667" s="1"/>
  <c r="N11" i="14667" s="1"/>
  <c r="C14" i="14626"/>
  <c r="F76" i="14665"/>
  <c r="N7" i="14624"/>
  <c r="F7" i="14686"/>
  <c r="F29" i="14686" s="1" a="1"/>
  <c r="E14" i="14686"/>
  <c r="H48" i="14687"/>
  <c r="K48" i="14687"/>
  <c r="J48" i="14687"/>
  <c r="E48" i="14687"/>
  <c r="I48" i="14687"/>
  <c r="F48" i="14687"/>
  <c r="G48" i="14687"/>
  <c r="D48" i="14687"/>
  <c r="L48" i="14687"/>
  <c r="C48" i="14687"/>
  <c r="M48" i="14687"/>
  <c r="B55" i="14687"/>
  <c r="N48" i="14687"/>
  <c r="E40" i="14622"/>
  <c r="G63" i="14685"/>
  <c r="G10" i="14685"/>
  <c r="G26" i="14685"/>
  <c r="O20" i="14687"/>
  <c r="C74" i="14690"/>
  <c r="G74" i="14690"/>
  <c r="D74" i="14690"/>
  <c r="E74" i="14690"/>
  <c r="H74" i="14690"/>
  <c r="F74" i="14690"/>
  <c r="J63" i="14685"/>
  <c r="J58" i="14685"/>
  <c r="J59" i="14685"/>
  <c r="J61" i="14685"/>
  <c r="J60" i="14685"/>
  <c r="J62" i="14685"/>
  <c r="M10" i="14630"/>
  <c r="D9" i="14630"/>
  <c r="I9" i="14630"/>
  <c r="L7" i="14630"/>
  <c r="M8" i="14630"/>
  <c r="G6" i="14630"/>
  <c r="L6" i="14630"/>
  <c r="G7" i="14630"/>
  <c r="H12" i="14630"/>
  <c r="C12" i="14630"/>
  <c r="E7" i="14630"/>
  <c r="J10" i="14630"/>
  <c r="B7" i="14630"/>
  <c r="M6" i="14630"/>
  <c r="D6" i="14630"/>
  <c r="H9" i="14630"/>
  <c r="C6" i="14630"/>
  <c r="J7" i="14630"/>
  <c r="K7" i="14630"/>
  <c r="M9" i="14630"/>
  <c r="F5" i="14630"/>
  <c r="D12" i="14630"/>
  <c r="H7" i="14630"/>
  <c r="J12" i="14630"/>
  <c r="D5" i="14630"/>
  <c r="F12" i="14630"/>
  <c r="C10" i="14630"/>
  <c r="F7" i="14630"/>
  <c r="D10" i="14630"/>
  <c r="G8" i="14630"/>
  <c r="J6" i="14630"/>
  <c r="D7" i="14630"/>
  <c r="B8" i="14630"/>
  <c r="K10" i="14630"/>
  <c r="F10" i="14630"/>
  <c r="H10" i="14630"/>
  <c r="C8" i="14630"/>
  <c r="I10" i="14630"/>
  <c r="G5" i="14630"/>
  <c r="M5" i="14630"/>
  <c r="C7" i="14630"/>
  <c r="K9" i="14630"/>
  <c r="L8" i="14630"/>
  <c r="E5" i="14630"/>
  <c r="I12" i="14630"/>
  <c r="M7" i="14630"/>
  <c r="C9" i="14630"/>
  <c r="E10" i="14630"/>
  <c r="E6" i="14630"/>
  <c r="B6" i="14630"/>
  <c r="L10" i="14630"/>
  <c r="L5" i="14630"/>
  <c r="G10" i="14630"/>
  <c r="M12" i="14630"/>
  <c r="B10" i="14630"/>
  <c r="J5" i="14630"/>
  <c r="B12" i="14630"/>
  <c r="E12" i="14630"/>
  <c r="B9" i="14630"/>
  <c r="I11" i="14630"/>
  <c r="K8" i="14630"/>
  <c r="J8" i="14630"/>
  <c r="F11" i="14630"/>
  <c r="I7" i="14630"/>
  <c r="J9" i="14630"/>
  <c r="F8" i="14630"/>
  <c r="H11" i="14630"/>
  <c r="E9" i="14630"/>
  <c r="J11" i="14630"/>
  <c r="F6" i="14630"/>
  <c r="G12" i="14630"/>
  <c r="K6" i="14630"/>
  <c r="H8" i="14630"/>
  <c r="G9" i="14630"/>
  <c r="L11" i="14630"/>
  <c r="B5" i="14630"/>
  <c r="G11" i="14630"/>
  <c r="F9" i="14630"/>
  <c r="I8" i="14630"/>
  <c r="E8" i="14630"/>
  <c r="K5" i="14630"/>
  <c r="B11" i="14630"/>
  <c r="M11" i="14630"/>
  <c r="D8" i="14630"/>
  <c r="K12" i="14630"/>
  <c r="E11" i="14630"/>
  <c r="I5" i="14630"/>
  <c r="D11" i="14630"/>
  <c r="C11" i="14630"/>
  <c r="C5" i="14630"/>
  <c r="K11" i="14630"/>
  <c r="H6" i="14630"/>
  <c r="H5" i="14630"/>
  <c r="I6" i="14630"/>
  <c r="L9" i="14630"/>
  <c r="G32" i="14684"/>
  <c r="D32" i="14684"/>
  <c r="F32" i="14684"/>
  <c r="C32" i="14684"/>
  <c r="E32" i="14684"/>
  <c r="B39" i="14689"/>
  <c r="D39" i="14689"/>
  <c r="C39" i="14689"/>
  <c r="F39" i="14689"/>
  <c r="E39" i="14689"/>
  <c r="E33" i="14689"/>
  <c r="D33" i="14689"/>
  <c r="B33" i="14689"/>
  <c r="F33" i="14689"/>
  <c r="C33" i="14689"/>
  <c r="G3" i="4128"/>
  <c r="D3" i="4128"/>
  <c r="F3" i="4128"/>
  <c r="E3" i="4128"/>
  <c r="B60" i="14653"/>
  <c r="N47" i="14653"/>
  <c r="H60" i="14653"/>
  <c r="K60" i="14653"/>
  <c r="E41" i="14622"/>
  <c r="D43" i="14622" a="1"/>
  <c r="D43" i="14622" s="1"/>
  <c r="A109" i="14701"/>
  <c r="A109" i="14700"/>
  <c r="A109" i="14704"/>
  <c r="A109" i="14698"/>
  <c r="A109" i="14702"/>
  <c r="A250" i="14702"/>
  <c r="A251" i="14702"/>
  <c r="A125" i="14702"/>
  <c r="A124" i="14702"/>
  <c r="A197" i="14702"/>
  <c r="A196" i="14702"/>
  <c r="A178" i="14702"/>
  <c r="A179" i="14702"/>
  <c r="E7" i="14625"/>
  <c r="D11" i="14645"/>
  <c r="D12" i="14645" s="1"/>
  <c r="C11" i="14645"/>
  <c r="C12" i="14645" s="1"/>
  <c r="D7" i="14625"/>
  <c r="C19" i="14647"/>
  <c r="E11" i="14645"/>
  <c r="E12" i="14645" s="1"/>
  <c r="F7" i="14625"/>
  <c r="D72" i="14647"/>
  <c r="I72" i="14647"/>
  <c r="E72" i="14647"/>
  <c r="C72" i="14647"/>
  <c r="H72" i="14647"/>
  <c r="J72" i="14647"/>
  <c r="F72" i="14647"/>
  <c r="G72" i="14647"/>
  <c r="B72" i="14647"/>
  <c r="A72" i="14647"/>
  <c r="G23" i="14647"/>
  <c r="D23" i="14647"/>
  <c r="H23" i="14647"/>
  <c r="B23" i="14647"/>
  <c r="C23" i="14647"/>
  <c r="F23" i="14647"/>
  <c r="A23" i="14647"/>
  <c r="J23" i="14647"/>
  <c r="E23" i="14647"/>
  <c r="I23" i="14647"/>
  <c r="C16" i="14710"/>
  <c r="C70" i="14710" s="1"/>
  <c r="B16" i="14649"/>
  <c r="L6" i="7"/>
  <c r="L18" i="7" s="1"/>
  <c r="C8" i="7"/>
  <c r="C20" i="7" s="1"/>
  <c r="B11" i="7"/>
  <c r="E9" i="7"/>
  <c r="E21" i="7" s="1"/>
  <c r="M11" i="7"/>
  <c r="M23" i="7" s="1"/>
  <c r="K10" i="7"/>
  <c r="K22" i="7" s="1"/>
  <c r="F11" i="7"/>
  <c r="F23" i="7" s="1"/>
  <c r="K8" i="7"/>
  <c r="K20" i="7" s="1"/>
  <c r="D10" i="7"/>
  <c r="D22" i="7" s="1"/>
  <c r="I11" i="7"/>
  <c r="I23" i="7" s="1"/>
  <c r="B10" i="7"/>
  <c r="M9" i="7"/>
  <c r="M21" i="7" s="1"/>
  <c r="D6" i="7"/>
  <c r="D18" i="7" s="1"/>
  <c r="I5" i="7"/>
  <c r="I17" i="7" s="1"/>
  <c r="H8" i="7"/>
  <c r="H20" i="7" s="1"/>
  <c r="C12" i="7"/>
  <c r="C24" i="7" s="1"/>
  <c r="G7" i="7"/>
  <c r="G19" i="7" s="1"/>
  <c r="B9" i="7"/>
  <c r="C9" i="7"/>
  <c r="C21" i="7" s="1"/>
  <c r="J5" i="7"/>
  <c r="J17" i="7" s="1"/>
  <c r="B5" i="7"/>
  <c r="E12" i="7"/>
  <c r="E24" i="7" s="1"/>
  <c r="J6" i="7"/>
  <c r="J18" i="7" s="1"/>
  <c r="L11" i="7"/>
  <c r="L23" i="7" s="1"/>
  <c r="G10" i="7"/>
  <c r="G22" i="7" s="1"/>
  <c r="G12" i="7"/>
  <c r="G24" i="7" s="1"/>
  <c r="E11" i="7"/>
  <c r="E23" i="7" s="1"/>
  <c r="L7" i="7"/>
  <c r="L19" i="7" s="1"/>
  <c r="J8" i="7"/>
  <c r="J20" i="7" s="1"/>
  <c r="E7" i="7"/>
  <c r="E19" i="7" s="1"/>
  <c r="F9" i="7"/>
  <c r="F21" i="7" s="1"/>
  <c r="H11" i="7"/>
  <c r="H23" i="7" s="1"/>
  <c r="L10" i="7"/>
  <c r="L22" i="7" s="1"/>
  <c r="G9" i="7"/>
  <c r="G21" i="7" s="1"/>
  <c r="J9" i="7"/>
  <c r="J21" i="7" s="1"/>
  <c r="D9" i="7"/>
  <c r="D21" i="7" s="1"/>
  <c r="E8" i="7"/>
  <c r="E20" i="7" s="1"/>
  <c r="I12" i="7"/>
  <c r="I24" i="7" s="1"/>
  <c r="D12" i="7"/>
  <c r="D24" i="7" s="1"/>
  <c r="C6" i="7"/>
  <c r="C18" i="7" s="1"/>
  <c r="H7" i="7"/>
  <c r="H19" i="7" s="1"/>
  <c r="B6" i="7"/>
  <c r="M10" i="7"/>
  <c r="M22" i="7" s="1"/>
  <c r="G8" i="7"/>
  <c r="G20" i="7" s="1"/>
  <c r="H10" i="7"/>
  <c r="H22" i="7" s="1"/>
  <c r="L8" i="7"/>
  <c r="L20" i="7" s="1"/>
  <c r="I6" i="7"/>
  <c r="I18" i="7" s="1"/>
  <c r="L5" i="7"/>
  <c r="L17" i="7" s="1"/>
  <c r="C5" i="7"/>
  <c r="C17" i="7" s="1"/>
  <c r="D8" i="7"/>
  <c r="D20" i="7" s="1"/>
  <c r="I8" i="7"/>
  <c r="I20" i="7" s="1"/>
  <c r="H12" i="7"/>
  <c r="H24" i="7" s="1"/>
  <c r="J11" i="7"/>
  <c r="J23" i="7" s="1"/>
  <c r="K11" i="7"/>
  <c r="K23" i="7" s="1"/>
  <c r="J12" i="7"/>
  <c r="J24" i="7" s="1"/>
  <c r="J7" i="7"/>
  <c r="J19" i="7" s="1"/>
  <c r="H9" i="7"/>
  <c r="H21" i="7" s="1"/>
  <c r="G11" i="7"/>
  <c r="G23" i="7" s="1"/>
  <c r="K7" i="7"/>
  <c r="K19" i="7" s="1"/>
  <c r="C7" i="7"/>
  <c r="C19" i="7" s="1"/>
  <c r="F5" i="7"/>
  <c r="F17" i="7" s="1"/>
  <c r="D7" i="7"/>
  <c r="D19" i="7" s="1"/>
  <c r="D5" i="7"/>
  <c r="D17" i="7" s="1"/>
  <c r="I9" i="7"/>
  <c r="I21" i="7" s="1"/>
  <c r="L12" i="7"/>
  <c r="L24" i="7" s="1"/>
  <c r="K12" i="7"/>
  <c r="K24" i="7" s="1"/>
  <c r="I7" i="7"/>
  <c r="I19" i="7" s="1"/>
  <c r="G5" i="7"/>
  <c r="G17" i="7" s="1"/>
  <c r="F8" i="7"/>
  <c r="F20" i="7" s="1"/>
  <c r="B7" i="7"/>
  <c r="E10" i="7"/>
  <c r="E22" i="7" s="1"/>
  <c r="M6" i="7"/>
  <c r="M18" i="7" s="1"/>
  <c r="C10" i="7"/>
  <c r="C22" i="7" s="1"/>
  <c r="H5" i="7"/>
  <c r="H17" i="7" s="1"/>
  <c r="M12" i="7"/>
  <c r="M24" i="7" s="1"/>
  <c r="G6" i="7"/>
  <c r="G18" i="7" s="1"/>
  <c r="M7" i="7"/>
  <c r="M19" i="7" s="1"/>
  <c r="B12" i="7"/>
  <c r="K9" i="7"/>
  <c r="K21" i="7" s="1"/>
  <c r="H6" i="7"/>
  <c r="H18" i="7" s="1"/>
  <c r="F12" i="7"/>
  <c r="F24" i="7" s="1"/>
  <c r="M5" i="7"/>
  <c r="M17" i="7" s="1"/>
  <c r="D11" i="7"/>
  <c r="D23" i="7" s="1"/>
  <c r="F10" i="7"/>
  <c r="F22" i="7" s="1"/>
  <c r="K6" i="7"/>
  <c r="K18" i="7" s="1"/>
  <c r="I10" i="7"/>
  <c r="I22" i="7" s="1"/>
  <c r="K5" i="7"/>
  <c r="K17" i="7" s="1"/>
  <c r="E6" i="7"/>
  <c r="E18" i="7" s="1"/>
  <c r="F6" i="7"/>
  <c r="F18" i="7" s="1"/>
  <c r="E5" i="7"/>
  <c r="E17" i="7" s="1"/>
  <c r="L9" i="7"/>
  <c r="L21" i="7" s="1"/>
  <c r="M8" i="7"/>
  <c r="M20" i="7" s="1"/>
  <c r="F7" i="7"/>
  <c r="F19" i="7" s="1"/>
  <c r="B8" i="7"/>
  <c r="C11" i="7"/>
  <c r="C23" i="7" s="1"/>
  <c r="J10" i="7"/>
  <c r="J22" i="7" s="1"/>
  <c r="D40" i="14706"/>
  <c r="D27" i="14667"/>
  <c r="G10" i="14626"/>
  <c r="D8" i="11"/>
  <c r="B11" i="14693"/>
  <c r="F75" i="14653"/>
  <c r="F45" i="14689"/>
  <c r="C45" i="14689"/>
  <c r="B45" i="14689"/>
  <c r="D45" i="14689"/>
  <c r="E45" i="14689"/>
  <c r="D33" i="14652"/>
  <c r="D35" i="14652"/>
  <c r="D34" i="14652"/>
  <c r="D40" i="14652"/>
  <c r="E60" i="14653"/>
  <c r="D60" i="14653"/>
  <c r="L60" i="14653"/>
  <c r="G60" i="14653"/>
  <c r="E11" i="14696"/>
  <c r="G11" i="14696"/>
  <c r="D11" i="14696"/>
  <c r="F11" i="14696"/>
  <c r="G50" i="14685"/>
  <c r="A127" i="14702"/>
  <c r="A127" i="14701"/>
  <c r="A127" i="14700"/>
  <c r="A127" i="14704"/>
  <c r="A127" i="14698"/>
  <c r="A215" i="14704"/>
  <c r="A214" i="14704"/>
  <c r="A179" i="14704"/>
  <c r="A178" i="14704"/>
  <c r="A161" i="14704"/>
  <c r="A160" i="14704"/>
  <c r="A124" i="14704"/>
  <c r="A125" i="14704"/>
  <c r="J88" i="14647" a="1"/>
  <c r="J88" i="14647" s="1"/>
  <c r="J94" i="14647" a="1"/>
  <c r="J94" i="14647" s="1"/>
  <c r="J36" i="14685"/>
  <c r="J37" i="14685"/>
  <c r="J34" i="14685"/>
  <c r="J35" i="14685"/>
  <c r="F24" i="14684"/>
  <c r="C24" i="14684"/>
  <c r="D24" i="14684"/>
  <c r="E24" i="14684"/>
  <c r="G24" i="14684"/>
  <c r="F27" i="14661"/>
  <c r="E27" i="14661"/>
  <c r="H27" i="14661"/>
  <c r="G27" i="14661"/>
  <c r="D27" i="14661"/>
  <c r="G36" i="14696"/>
  <c r="C11" i="14696"/>
  <c r="B11" i="14696"/>
  <c r="B14" i="14695"/>
  <c r="D14" i="14695"/>
  <c r="G14" i="14695"/>
  <c r="H14" i="14695"/>
  <c r="E14" i="14695"/>
  <c r="G9" i="14652"/>
  <c r="E10" i="14652"/>
  <c r="C6" i="14661"/>
  <c r="D7" i="14661" a="1"/>
  <c r="E39" i="14622"/>
  <c r="A163" i="14698"/>
  <c r="A163" i="14702"/>
  <c r="A163" i="14700"/>
  <c r="A163" i="14704"/>
  <c r="A163" i="14701"/>
  <c r="A233" i="14702"/>
  <c r="A232" i="14702"/>
  <c r="A161" i="14702"/>
  <c r="A160" i="14702"/>
  <c r="A142" i="14702"/>
  <c r="A143" i="14702"/>
  <c r="A214" i="14702"/>
  <c r="A215" i="14702"/>
  <c r="G11" i="14645"/>
  <c r="G12" i="14645" s="1"/>
  <c r="H7" i="14625"/>
  <c r="F11" i="14645"/>
  <c r="F12" i="14645" s="1"/>
  <c r="G7" i="14625"/>
  <c r="E38" i="14647"/>
  <c r="C38" i="14647"/>
  <c r="A38" i="14647"/>
  <c r="F38" i="14647"/>
  <c r="B38" i="14647"/>
  <c r="D38" i="14647"/>
  <c r="H38" i="14647"/>
  <c r="J38" i="14647"/>
  <c r="G38" i="14647"/>
  <c r="I38" i="14647"/>
  <c r="I87" i="14647"/>
  <c r="A87" i="14647"/>
  <c r="J87" i="14647"/>
  <c r="E87" i="14647"/>
  <c r="H87" i="14647"/>
  <c r="C87" i="14647"/>
  <c r="F87" i="14647"/>
  <c r="G87" i="14647"/>
  <c r="D87" i="14647"/>
  <c r="B87" i="14647"/>
  <c r="I54" i="14647"/>
  <c r="B54" i="14647"/>
  <c r="E54" i="14647"/>
  <c r="G54" i="14647"/>
  <c r="H54" i="14647"/>
  <c r="J54" i="14647"/>
  <c r="D54" i="14647"/>
  <c r="C54" i="14647"/>
  <c r="A54" i="14647"/>
  <c r="F54" i="14647"/>
  <c r="G13" i="14626"/>
  <c r="D42" i="14706"/>
  <c r="F42" i="14706" s="1"/>
  <c r="H42" i="14706" s="1"/>
  <c r="D29" i="14667"/>
  <c r="F29" i="14667" s="1"/>
  <c r="H29" i="14667" s="1"/>
  <c r="D52" i="14689"/>
  <c r="C52" i="14689"/>
  <c r="F52" i="14689"/>
  <c r="B52" i="14689"/>
  <c r="E52" i="14689"/>
  <c r="F23" i="14652"/>
  <c r="F21" i="14652"/>
  <c r="F22" i="14652"/>
  <c r="F19" i="14652"/>
  <c r="G76" i="14665"/>
  <c r="N71" i="14653"/>
  <c r="C35" i="14652"/>
  <c r="C36" i="14652"/>
  <c r="C40" i="14652"/>
  <c r="M60" i="14653"/>
  <c r="I60" i="14653"/>
  <c r="J60" i="14653"/>
  <c r="C72" i="14653"/>
  <c r="A181" i="14704"/>
  <c r="A181" i="14700"/>
  <c r="A181" i="14702"/>
  <c r="A181" i="14698"/>
  <c r="A181" i="14701"/>
  <c r="A196" i="14704"/>
  <c r="A197" i="14704"/>
  <c r="A251" i="14704"/>
  <c r="A250" i="14704"/>
  <c r="A142" i="14704"/>
  <c r="A143" i="14704"/>
  <c r="A233" i="14704"/>
  <c r="A232" i="14704"/>
  <c r="G74" i="14689"/>
  <c r="E74" i="14689"/>
  <c r="F74" i="14689"/>
  <c r="D74" i="14689"/>
  <c r="C74" i="14689"/>
  <c r="C80" i="14689" s="1"/>
  <c r="J47" i="14685"/>
  <c r="J48" i="14685"/>
  <c r="J46" i="14685"/>
  <c r="J50" i="14685"/>
  <c r="J49" i="14685"/>
  <c r="L12" i="14661"/>
  <c r="L6" i="14661" s="1"/>
  <c r="K6" i="14661"/>
  <c r="B6" i="14661"/>
  <c r="B40" i="14690" l="1" a="1"/>
  <c r="D40" i="14690" s="1"/>
  <c r="F61" i="14653"/>
  <c r="F74" i="14653" s="1"/>
  <c r="G80" i="14689"/>
  <c r="C12" i="14695"/>
  <c r="C42" i="14687" a="1"/>
  <c r="L42" i="14687" s="1"/>
  <c r="C39" i="14652"/>
  <c r="C33" i="14652"/>
  <c r="C37" i="14652"/>
  <c r="D37" i="14652"/>
  <c r="D36" i="14652"/>
  <c r="D38" i="14652"/>
  <c r="C33" i="14661"/>
  <c r="A37" i="14694"/>
  <c r="A35" i="14694"/>
  <c r="A36" i="14694"/>
  <c r="A39" i="14694"/>
  <c r="A40" i="14694"/>
  <c r="A38" i="14694"/>
  <c r="C34" i="14661"/>
  <c r="C37" i="14661"/>
  <c r="J29" i="14667"/>
  <c r="G39" i="14661"/>
  <c r="J9" i="14624"/>
  <c r="B23" i="14624" a="1"/>
  <c r="M23" i="14624" s="1"/>
  <c r="J42" i="14706"/>
  <c r="H39" i="14661"/>
  <c r="F13" i="14624"/>
  <c r="H11" i="14624"/>
  <c r="G14" i="14624"/>
  <c r="E12" i="14624"/>
  <c r="K10" i="14624"/>
  <c r="L14" i="14624"/>
  <c r="D11" i="14624"/>
  <c r="G13" i="14624"/>
  <c r="C10" i="14624"/>
  <c r="F12" i="14624"/>
  <c r="M14" i="14624"/>
  <c r="I11" i="14624"/>
  <c r="J39" i="14687"/>
  <c r="H14" i="14624"/>
  <c r="D10" i="14624"/>
  <c r="K12" i="14624"/>
  <c r="C9" i="14624"/>
  <c r="F11" i="14624"/>
  <c r="E14" i="14624"/>
  <c r="I10" i="14624"/>
  <c r="I39" i="14687"/>
  <c r="H42" i="14687"/>
  <c r="K42" i="14687"/>
  <c r="E36" i="14687"/>
  <c r="F39" i="14687"/>
  <c r="O21" i="14687"/>
  <c r="D14" i="14624"/>
  <c r="H9" i="14624"/>
  <c r="K11" i="14624"/>
  <c r="B14" i="14624"/>
  <c r="J10" i="14624"/>
  <c r="E13" i="14624"/>
  <c r="I9" i="14624"/>
  <c r="I42" i="14687"/>
  <c r="C39" i="14687"/>
  <c r="I59" i="14687"/>
  <c r="C42" i="14687"/>
  <c r="O32" i="14687"/>
  <c r="O28" i="14687"/>
  <c r="M42" i="14687"/>
  <c r="O23" i="14687"/>
  <c r="K19" i="14657" s="1"/>
  <c r="G61" i="14653"/>
  <c r="G74" i="14653" s="1"/>
  <c r="M61" i="14653"/>
  <c r="M74" i="14653" s="1"/>
  <c r="N40" i="14687"/>
  <c r="H26" i="14705"/>
  <c r="H19" i="14705" s="1"/>
  <c r="B19" i="11"/>
  <c r="H10" i="14692"/>
  <c r="D7" i="14692"/>
  <c r="C10" i="14692"/>
  <c r="B9" i="14692"/>
  <c r="E5" i="14692"/>
  <c r="H9" i="14692"/>
  <c r="G5" i="14692"/>
  <c r="H8" i="14692"/>
  <c r="D5" i="14692"/>
  <c r="D8" i="14692"/>
  <c r="B10" i="14692"/>
  <c r="B6" i="14692"/>
  <c r="F10" i="14692"/>
  <c r="D6" i="14692"/>
  <c r="D10" i="14692"/>
  <c r="D9" i="14692"/>
  <c r="G8" i="14692"/>
  <c r="E8" i="14692"/>
  <c r="F5" i="14692"/>
  <c r="G10" i="14692"/>
  <c r="E6" i="14692"/>
  <c r="H7" i="14692"/>
  <c r="F6" i="14692"/>
  <c r="H5" i="14692"/>
  <c r="G9" i="14692"/>
  <c r="F7" i="14692"/>
  <c r="B7" i="14692"/>
  <c r="G6" i="14692"/>
  <c r="F8" i="14692"/>
  <c r="B5" i="14692"/>
  <c r="G7" i="14692"/>
  <c r="F9" i="14692"/>
  <c r="E10" i="14692"/>
  <c r="C6" i="14692"/>
  <c r="B8" i="14692"/>
  <c r="H6" i="14692"/>
  <c r="E7" i="14692"/>
  <c r="C8" i="14692"/>
  <c r="C7" i="14692"/>
  <c r="C5" i="14692"/>
  <c r="E9" i="14692"/>
  <c r="C9" i="14692"/>
  <c r="L39" i="14687"/>
  <c r="K7" i="14629"/>
  <c r="O35" i="14687"/>
  <c r="M39" i="14687"/>
  <c r="D80" i="14689"/>
  <c r="C34" i="14652"/>
  <c r="F26" i="14652"/>
  <c r="F25" i="14652"/>
  <c r="C14" i="14695"/>
  <c r="F39" i="14661"/>
  <c r="N42" i="14687"/>
  <c r="J42" i="14687"/>
  <c r="C32" i="14661"/>
  <c r="C36" i="14661"/>
  <c r="O29" i="14687"/>
  <c r="D13" i="14624"/>
  <c r="H12" i="14624"/>
  <c r="L9" i="14624"/>
  <c r="C14" i="14624"/>
  <c r="C12" i="14624"/>
  <c r="G10" i="14624"/>
  <c r="J14" i="14624"/>
  <c r="J12" i="14624"/>
  <c r="B11" i="14624"/>
  <c r="F9" i="14624"/>
  <c r="I13" i="14624"/>
  <c r="M11" i="14624"/>
  <c r="E10" i="14624"/>
  <c r="D39" i="14687"/>
  <c r="E39" i="14687"/>
  <c r="E61" i="14653"/>
  <c r="E74" i="14653" s="1"/>
  <c r="E7" i="14629"/>
  <c r="M7" i="14629"/>
  <c r="N39" i="14687"/>
  <c r="G7" i="14629"/>
  <c r="H39" i="14687"/>
  <c r="J7" i="14629"/>
  <c r="B38" i="14690" a="1"/>
  <c r="F20" i="14652"/>
  <c r="H19" i="14652" s="1" a="1"/>
  <c r="D42" i="14687"/>
  <c r="G42" i="14687"/>
  <c r="C31" i="14661"/>
  <c r="B39" i="14690" a="1"/>
  <c r="B39" i="14690" s="1"/>
  <c r="K39" i="14687"/>
  <c r="D12" i="14624"/>
  <c r="L12" i="14624"/>
  <c r="L10" i="14624"/>
  <c r="K14" i="14624"/>
  <c r="C13" i="14624"/>
  <c r="G11" i="14624"/>
  <c r="G9" i="14624"/>
  <c r="J13" i="14624"/>
  <c r="B12" i="14624"/>
  <c r="B10" i="14624"/>
  <c r="I14" i="14624"/>
  <c r="M12" i="14624"/>
  <c r="M10" i="14624"/>
  <c r="E9" i="14624"/>
  <c r="I50" i="14653"/>
  <c r="I63" i="14653" s="1"/>
  <c r="I76" i="14653" s="1"/>
  <c r="I61" i="14653"/>
  <c r="I74" i="14653" s="1"/>
  <c r="O17" i="14687"/>
  <c r="C32" i="4128" s="1"/>
  <c r="C43" i="14690" a="1"/>
  <c r="F7" i="14629"/>
  <c r="G39" i="14687"/>
  <c r="J6" i="14671"/>
  <c r="H6" i="14671"/>
  <c r="B6" i="14671"/>
  <c r="D6" i="14671"/>
  <c r="L6" i="14671"/>
  <c r="F6" i="14671"/>
  <c r="C6" i="14671"/>
  <c r="K6" i="14671"/>
  <c r="I6" i="14671"/>
  <c r="M6" i="14671"/>
  <c r="G6" i="14671"/>
  <c r="E6" i="14671"/>
  <c r="G65" i="14685"/>
  <c r="B72" i="14653"/>
  <c r="N72" i="14653" s="1"/>
  <c r="N59" i="14653"/>
  <c r="O34" i="14687"/>
  <c r="C36" i="14687"/>
  <c r="M40" i="14687"/>
  <c r="M36" i="14687"/>
  <c r="O30" i="14687"/>
  <c r="C40" i="14687"/>
  <c r="B8" i="14629" a="1"/>
  <c r="E40" i="14687"/>
  <c r="B65" i="14645"/>
  <c r="I67" i="14647"/>
  <c r="J67" i="14647" s="1"/>
  <c r="B17" i="14694" a="1"/>
  <c r="F80" i="14689"/>
  <c r="L40" i="14687"/>
  <c r="L36" i="14687"/>
  <c r="J40" i="14687"/>
  <c r="I40" i="14687"/>
  <c r="N6" i="14670"/>
  <c r="F10" i="14657" s="1"/>
  <c r="K36" i="14687"/>
  <c r="K40" i="14687"/>
  <c r="D40" i="14687"/>
  <c r="G40" i="14687"/>
  <c r="G36" i="14687"/>
  <c r="O33" i="14687"/>
  <c r="E80" i="14689"/>
  <c r="E42" i="14687"/>
  <c r="F42" i="14687"/>
  <c r="C30" i="14661"/>
  <c r="J36" i="14687"/>
  <c r="H13" i="14624"/>
  <c r="L11" i="14624"/>
  <c r="L13" i="14624"/>
  <c r="H10" i="14624"/>
  <c r="D9" i="14624"/>
  <c r="K13" i="14624"/>
  <c r="G12" i="14624"/>
  <c r="C11" i="14624"/>
  <c r="K9" i="14624"/>
  <c r="F14" i="14624"/>
  <c r="B13" i="14624"/>
  <c r="J11" i="14624"/>
  <c r="F10" i="14624"/>
  <c r="B9" i="14624"/>
  <c r="M13" i="14624"/>
  <c r="I12" i="14624"/>
  <c r="E11" i="14624"/>
  <c r="A49" i="14645"/>
  <c r="A51" i="14645"/>
  <c r="A50" i="14645"/>
  <c r="A53" i="14645"/>
  <c r="A52" i="14645"/>
  <c r="N36" i="14687"/>
  <c r="F40" i="14687"/>
  <c r="F36" i="14687"/>
  <c r="H40" i="14687"/>
  <c r="H36" i="14687"/>
  <c r="O31" i="14687"/>
  <c r="D36" i="14687"/>
  <c r="I36" i="14687"/>
  <c r="D61" i="14653"/>
  <c r="D74" i="14653" s="1"/>
  <c r="L61" i="14653"/>
  <c r="L74" i="14653" s="1"/>
  <c r="B61" i="14653"/>
  <c r="N48" i="14653"/>
  <c r="J61" i="14653"/>
  <c r="J74" i="14653" s="1"/>
  <c r="K61" i="14653"/>
  <c r="K74" i="14653" s="1"/>
  <c r="C61" i="14653"/>
  <c r="C74" i="14653" s="1"/>
  <c r="H61" i="14653"/>
  <c r="H74" i="14653" s="1"/>
  <c r="K59" i="14687"/>
  <c r="F59" i="14687"/>
  <c r="E59" i="14687"/>
  <c r="M59" i="14687"/>
  <c r="L59" i="14687"/>
  <c r="O51" i="14687"/>
  <c r="J19" i="14661" a="1"/>
  <c r="K19" i="14661" s="1"/>
  <c r="O50" i="14687"/>
  <c r="H59" i="14687"/>
  <c r="J59" i="14687"/>
  <c r="C59" i="14687"/>
  <c r="O49" i="14687"/>
  <c r="O9" i="14625"/>
  <c r="A145" i="14704"/>
  <c r="A145" i="14698"/>
  <c r="A145" i="14701"/>
  <c r="A145" i="14702"/>
  <c r="A145" i="14700"/>
  <c r="B38" i="14653"/>
  <c r="O38" i="14653"/>
  <c r="O51" i="14653" s="1"/>
  <c r="O64" i="14653" s="1"/>
  <c r="F38" i="14653"/>
  <c r="I38" i="14653"/>
  <c r="C38" i="14653"/>
  <c r="K38" i="14653"/>
  <c r="J38" i="14653"/>
  <c r="D38" i="14653"/>
  <c r="E38" i="14653"/>
  <c r="L38" i="14653"/>
  <c r="O26" i="14653"/>
  <c r="H38" i="14653"/>
  <c r="G38" i="14653"/>
  <c r="M38" i="14653"/>
  <c r="M51" i="14653" s="1"/>
  <c r="M64" i="14653" s="1"/>
  <c r="M77" i="14653" s="1"/>
  <c r="F50" i="14653"/>
  <c r="F63" i="14653" s="1"/>
  <c r="F76" i="14653" s="1"/>
  <c r="M50" i="14653"/>
  <c r="M63" i="14653" s="1"/>
  <c r="M76" i="14653" s="1"/>
  <c r="D50" i="14653"/>
  <c r="D63" i="14653" s="1"/>
  <c r="D76" i="14653" s="1"/>
  <c r="E50" i="14653"/>
  <c r="E63" i="14653" s="1"/>
  <c r="E76" i="14653" s="1"/>
  <c r="N37" i="14653"/>
  <c r="B50" i="14653"/>
  <c r="L50" i="14653"/>
  <c r="L63" i="14653" s="1"/>
  <c r="L76" i="14653" s="1"/>
  <c r="O52" i="14687"/>
  <c r="A199" i="14704"/>
  <c r="A199" i="14702"/>
  <c r="A199" i="14701"/>
  <c r="A199" i="14698"/>
  <c r="A199" i="14700"/>
  <c r="B71" i="14687"/>
  <c r="B72" i="14687"/>
  <c r="B70" i="14687"/>
  <c r="B69" i="14687"/>
  <c r="B68" i="14687"/>
  <c r="B66" i="14687"/>
  <c r="B73" i="14687"/>
  <c r="B85" i="14687" a="1"/>
  <c r="B86" i="14687" s="1"/>
  <c r="O54" i="14687"/>
  <c r="G59" i="14687"/>
  <c r="N59" i="14687"/>
  <c r="D59" i="14687"/>
  <c r="A235" i="14698"/>
  <c r="A235" i="14704"/>
  <c r="A235" i="14702"/>
  <c r="A235" i="14700"/>
  <c r="A235" i="14701"/>
  <c r="K50" i="14653"/>
  <c r="K63" i="14653" s="1"/>
  <c r="K76" i="14653" s="1"/>
  <c r="G50" i="14653"/>
  <c r="G63" i="14653" s="1"/>
  <c r="G76" i="14653" s="1"/>
  <c r="H50" i="14653"/>
  <c r="H63" i="14653" s="1"/>
  <c r="H76" i="14653" s="1"/>
  <c r="J50" i="14653"/>
  <c r="O47" i="14687"/>
  <c r="O53" i="14687"/>
  <c r="A217" i="14701"/>
  <c r="A217" i="14700"/>
  <c r="A217" i="14698"/>
  <c r="A217" i="14702"/>
  <c r="A217" i="14704"/>
  <c r="N49" i="14653"/>
  <c r="B62" i="14653"/>
  <c r="B7" i="14636" a="1"/>
  <c r="E8" i="14636" s="1"/>
  <c r="N55" i="14687"/>
  <c r="N58" i="14687"/>
  <c r="L58" i="14687"/>
  <c r="L55" i="14687"/>
  <c r="I58" i="14687"/>
  <c r="I55" i="14687"/>
  <c r="H55" i="14687"/>
  <c r="H58" i="14687"/>
  <c r="M58" i="14687"/>
  <c r="M55" i="14687"/>
  <c r="G58" i="14687"/>
  <c r="G55" i="14687"/>
  <c r="J55" i="14687"/>
  <c r="J58" i="14687"/>
  <c r="O48" i="14687"/>
  <c r="C58" i="14687"/>
  <c r="C55" i="14687"/>
  <c r="F58" i="14687"/>
  <c r="F55" i="14687"/>
  <c r="K55" i="14687"/>
  <c r="K58" i="14687"/>
  <c r="D67" i="14687"/>
  <c r="J67" i="14687"/>
  <c r="C67" i="14687"/>
  <c r="H67" i="14687"/>
  <c r="G67" i="14687"/>
  <c r="K67" i="14687"/>
  <c r="M67" i="14687"/>
  <c r="I67" i="14687"/>
  <c r="E67" i="14687"/>
  <c r="F67" i="14687"/>
  <c r="L67" i="14687"/>
  <c r="N67" i="14687"/>
  <c r="C61" i="14687" a="1"/>
  <c r="N61" i="14687" s="1"/>
  <c r="D58" i="14687"/>
  <c r="D55" i="14687"/>
  <c r="E58" i="14687"/>
  <c r="E55" i="14687"/>
  <c r="F29" i="14686"/>
  <c r="F31" i="14686" s="1"/>
  <c r="F14" i="14686"/>
  <c r="N11" i="14630"/>
  <c r="N8" i="14630"/>
  <c r="N7" i="14630"/>
  <c r="N12" i="14630"/>
  <c r="N10" i="14630"/>
  <c r="B17" i="14630" a="1"/>
  <c r="E22" i="14630" s="1"/>
  <c r="B8" i="14698" a="1"/>
  <c r="D14" i="14698" s="1"/>
  <c r="N6" i="14630"/>
  <c r="N9" i="14630"/>
  <c r="N5" i="14630"/>
  <c r="E25" i="7"/>
  <c r="E9" i="14681" s="1"/>
  <c r="L25" i="7"/>
  <c r="L9" i="14681" s="1"/>
  <c r="D22" i="14706"/>
  <c r="F22" i="14706" s="1"/>
  <c r="H22" i="14706" s="1"/>
  <c r="J22" i="14706" s="1"/>
  <c r="L22" i="14706" s="1"/>
  <c r="N22" i="14706" s="1"/>
  <c r="C10" i="14626"/>
  <c r="D6" i="14667"/>
  <c r="J73" i="14653"/>
  <c r="I73" i="14653"/>
  <c r="M73" i="14653"/>
  <c r="H76" i="14665"/>
  <c r="C11" i="14626"/>
  <c r="D8" i="14667"/>
  <c r="D21" i="14706"/>
  <c r="G41" i="14696"/>
  <c r="G39" i="14696"/>
  <c r="G73" i="14653"/>
  <c r="L73" i="14653"/>
  <c r="D73" i="14653"/>
  <c r="E73" i="14653"/>
  <c r="F40" i="14706"/>
  <c r="H40" i="14706" s="1"/>
  <c r="J40" i="14706" s="1"/>
  <c r="L40" i="14706" s="1"/>
  <c r="N40" i="14706" s="1"/>
  <c r="K25" i="7"/>
  <c r="K9" i="14681" s="1"/>
  <c r="D25" i="7"/>
  <c r="D9" i="14681" s="1"/>
  <c r="F25" i="7"/>
  <c r="F9" i="14681" s="1"/>
  <c r="C25" i="7"/>
  <c r="C9" i="14681" s="1"/>
  <c r="B17" i="7"/>
  <c r="B8" i="14703" a="1"/>
  <c r="N5" i="7"/>
  <c r="N10" i="7"/>
  <c r="B22" i="7"/>
  <c r="N22" i="7" s="1"/>
  <c r="B23" i="7"/>
  <c r="N23" i="7" s="1"/>
  <c r="N11" i="7"/>
  <c r="C73" i="14710"/>
  <c r="C75" i="14710"/>
  <c r="C13" i="4128" a="1"/>
  <c r="C17" i="4128" a="1"/>
  <c r="C29" i="4128" a="1"/>
  <c r="J19" i="14661"/>
  <c r="L19" i="14661"/>
  <c r="E43" i="14622" a="1"/>
  <c r="E43" i="14622" s="1"/>
  <c r="F41" i="14622"/>
  <c r="F40" i="14622"/>
  <c r="F39" i="14622"/>
  <c r="N8" i="14624"/>
  <c r="D7" i="14661"/>
  <c r="D13" i="14661"/>
  <c r="D12" i="14661"/>
  <c r="D10" i="14661"/>
  <c r="D14" i="14661"/>
  <c r="D11" i="14661"/>
  <c r="D9" i="14661"/>
  <c r="D8" i="14661"/>
  <c r="D15" i="14661"/>
  <c r="E11" i="14652"/>
  <c r="G10" i="14652"/>
  <c r="B17" i="14695" a="1"/>
  <c r="B48" i="14710"/>
  <c r="B20" i="14710" a="1"/>
  <c r="B35" i="14710" a="1"/>
  <c r="F27" i="14667"/>
  <c r="H27" i="14667" s="1"/>
  <c r="J27" i="14667" s="1"/>
  <c r="L27" i="14667" s="1"/>
  <c r="N27" i="14667" s="1"/>
  <c r="B20" i="7"/>
  <c r="N20" i="7" s="1"/>
  <c r="N8" i="7"/>
  <c r="M25" i="7"/>
  <c r="M9" i="14681" s="1"/>
  <c r="B24" i="7"/>
  <c r="N24" i="7" s="1"/>
  <c r="N12" i="7"/>
  <c r="H25" i="7"/>
  <c r="H9" i="14681" s="1"/>
  <c r="N7" i="7"/>
  <c r="B19" i="7"/>
  <c r="N19" i="7" s="1"/>
  <c r="G25" i="7"/>
  <c r="G9" i="14681" s="1"/>
  <c r="B18" i="7"/>
  <c r="N18" i="7" s="1"/>
  <c r="N6" i="7"/>
  <c r="J25" i="7"/>
  <c r="J9" i="14681" s="1"/>
  <c r="B21" i="7"/>
  <c r="N21" i="7" s="1"/>
  <c r="N9" i="7"/>
  <c r="I25" i="7"/>
  <c r="I9" i="14681" s="1"/>
  <c r="C7" i="14625"/>
  <c r="O7" i="14625" s="1"/>
  <c r="B11" i="14645"/>
  <c r="I19" i="14647"/>
  <c r="J19" i="14647" s="1"/>
  <c r="K73" i="14653"/>
  <c r="H73" i="14653"/>
  <c r="B73" i="14653"/>
  <c r="N60" i="14653"/>
  <c r="E33" i="14652" l="1" a="1"/>
  <c r="K51" i="14653"/>
  <c r="K64" i="14653" s="1"/>
  <c r="K77" i="14653" s="1"/>
  <c r="G40" i="14690"/>
  <c r="C40" i="14690"/>
  <c r="B40" i="14690"/>
  <c r="F40" i="14690"/>
  <c r="E40" i="14690"/>
  <c r="H40" i="14690"/>
  <c r="M19" i="14624" a="1"/>
  <c r="C19" i="14624" a="1"/>
  <c r="J8" i="14636"/>
  <c r="F39" i="14690"/>
  <c r="G19" i="14624" a="1"/>
  <c r="G19" i="14624" s="1"/>
  <c r="I19" i="14624" a="1"/>
  <c r="I19" i="14624" s="1"/>
  <c r="J19" i="14624" a="1"/>
  <c r="J19" i="14624" s="1"/>
  <c r="D39" i="14690"/>
  <c r="F19" i="14624" a="1"/>
  <c r="H19" i="14624" a="1"/>
  <c r="H19" i="14624" s="1"/>
  <c r="B23" i="14624"/>
  <c r="F23" i="14624"/>
  <c r="B24" i="14624"/>
  <c r="C24" i="14624"/>
  <c r="E24" i="14624"/>
  <c r="I24" i="14624"/>
  <c r="K24" i="14624"/>
  <c r="M24" i="14624"/>
  <c r="M25" i="14624" s="1"/>
  <c r="D23" i="14624"/>
  <c r="G23" i="14624"/>
  <c r="H24" i="14624"/>
  <c r="K23" i="14624"/>
  <c r="J24" i="14624"/>
  <c r="J23" i="14624"/>
  <c r="L23" i="14624"/>
  <c r="E23" i="14624"/>
  <c r="F24" i="14624"/>
  <c r="D24" i="14624"/>
  <c r="G24" i="14624"/>
  <c r="I23" i="14624"/>
  <c r="C23" i="14624"/>
  <c r="L24" i="14624"/>
  <c r="H23" i="14624"/>
  <c r="H25" i="14624" s="1"/>
  <c r="H15" i="14624"/>
  <c r="L29" i="14667"/>
  <c r="N12" i="14624"/>
  <c r="E15" i="14624"/>
  <c r="L15" i="14624"/>
  <c r="N11" i="14624"/>
  <c r="G15" i="14624"/>
  <c r="N10" i="14624"/>
  <c r="M19" i="14624"/>
  <c r="C19" i="14624"/>
  <c r="O39" i="14687"/>
  <c r="F19" i="14624"/>
  <c r="D15" i="14624"/>
  <c r="M15" i="14624"/>
  <c r="C15" i="14624"/>
  <c r="N7" i="14629"/>
  <c r="H22" i="14652"/>
  <c r="H26" i="14652"/>
  <c r="H23" i="14652"/>
  <c r="J15" i="14624"/>
  <c r="E19" i="14624" a="1"/>
  <c r="E19" i="14624" s="1"/>
  <c r="D19" i="14624" a="1"/>
  <c r="D19" i="14624" s="1"/>
  <c r="C39" i="14690"/>
  <c r="G39" i="14690"/>
  <c r="B74" i="14687"/>
  <c r="B19" i="14624" a="1"/>
  <c r="B19" i="14624" s="1"/>
  <c r="F15" i="14624"/>
  <c r="K19" i="14624" a="1"/>
  <c r="K19" i="14624" s="1"/>
  <c r="L19" i="14624" a="1"/>
  <c r="L19" i="14624" s="1"/>
  <c r="O42" i="14687"/>
  <c r="L19" i="14657" s="1"/>
  <c r="B41" i="14690" a="1"/>
  <c r="I15" i="14624"/>
  <c r="E39" i="14690"/>
  <c r="H39" i="14690"/>
  <c r="G43" i="14690"/>
  <c r="C43" i="14690"/>
  <c r="F43" i="14690"/>
  <c r="H43" i="14690"/>
  <c r="E43" i="14690"/>
  <c r="D43" i="14690"/>
  <c r="B12" i="14692" a="1"/>
  <c r="L42" i="14706"/>
  <c r="C38" i="14690"/>
  <c r="B38" i="14690"/>
  <c r="D38" i="14690"/>
  <c r="H38" i="14690"/>
  <c r="F38" i="14690"/>
  <c r="G38" i="14690"/>
  <c r="E38" i="14690"/>
  <c r="B15" i="14692" a="1"/>
  <c r="B14" i="14692" a="1"/>
  <c r="B15" i="14624"/>
  <c r="N13" i="14624"/>
  <c r="N14" i="14624"/>
  <c r="K15" i="14624"/>
  <c r="F8" i="14629"/>
  <c r="G9" i="14629"/>
  <c r="K14" i="14629"/>
  <c r="L10" i="14629"/>
  <c r="J12" i="14629"/>
  <c r="I11" i="14629"/>
  <c r="I13" i="14629"/>
  <c r="I12" i="14629"/>
  <c r="L14" i="14629"/>
  <c r="E12" i="14629"/>
  <c r="B8" i="14629"/>
  <c r="H12" i="14629"/>
  <c r="B14" i="14629"/>
  <c r="D8" i="14629"/>
  <c r="C14" i="14629"/>
  <c r="J13" i="14629"/>
  <c r="G11" i="14629"/>
  <c r="M9" i="14629"/>
  <c r="F9" i="14629"/>
  <c r="E14" i="14629"/>
  <c r="K12" i="14629"/>
  <c r="L9" i="14629"/>
  <c r="E11" i="14629"/>
  <c r="I10" i="14629"/>
  <c r="B13" i="14629"/>
  <c r="E8" i="14629"/>
  <c r="K13" i="14629"/>
  <c r="F14" i="14629"/>
  <c r="M14" i="14629"/>
  <c r="D13" i="14629"/>
  <c r="L12" i="14629"/>
  <c r="C12" i="14629"/>
  <c r="J9" i="14629"/>
  <c r="C13" i="14629"/>
  <c r="D11" i="14629"/>
  <c r="M8" i="14629"/>
  <c r="E10" i="14629"/>
  <c r="C9" i="14629"/>
  <c r="J14" i="14629"/>
  <c r="H14" i="14629"/>
  <c r="B10" i="14629"/>
  <c r="K9" i="14629"/>
  <c r="G10" i="14629"/>
  <c r="K8" i="14629"/>
  <c r="H13" i="14629"/>
  <c r="H11" i="14629"/>
  <c r="G14" i="14629"/>
  <c r="C8" i="14629"/>
  <c r="M11" i="14629"/>
  <c r="M12" i="14629"/>
  <c r="E13" i="14629"/>
  <c r="B12" i="14629"/>
  <c r="J10" i="14629"/>
  <c r="K10" i="14629"/>
  <c r="L8" i="14629"/>
  <c r="L13" i="14629"/>
  <c r="B9" i="14629"/>
  <c r="I8" i="14629"/>
  <c r="H8" i="14629"/>
  <c r="M13" i="14629"/>
  <c r="J11" i="14629"/>
  <c r="G12" i="14629"/>
  <c r="F13" i="14629"/>
  <c r="I14" i="14629"/>
  <c r="F11" i="14629"/>
  <c r="G8" i="14629"/>
  <c r="L11" i="14629"/>
  <c r="J8" i="14629"/>
  <c r="H9" i="14629"/>
  <c r="D14" i="14629"/>
  <c r="B11" i="14629"/>
  <c r="K11" i="14629"/>
  <c r="D9" i="14629"/>
  <c r="G13" i="14629"/>
  <c r="D10" i="14629"/>
  <c r="C10" i="14629"/>
  <c r="F10" i="14629"/>
  <c r="E9" i="14629"/>
  <c r="H10" i="14629"/>
  <c r="D12" i="14629"/>
  <c r="C11" i="14629"/>
  <c r="F12" i="14629"/>
  <c r="M10" i="14629"/>
  <c r="I9" i="14629"/>
  <c r="F17" i="14694"/>
  <c r="G17" i="14694"/>
  <c r="B17" i="14694"/>
  <c r="H17" i="14694"/>
  <c r="E17" i="14694"/>
  <c r="D17" i="14694"/>
  <c r="C17" i="14694"/>
  <c r="N6" i="14671"/>
  <c r="H20" i="14652"/>
  <c r="H25" i="14652"/>
  <c r="N9" i="14624"/>
  <c r="H24" i="14652"/>
  <c r="H21" i="14652"/>
  <c r="D61" i="14687"/>
  <c r="O36" i="14687"/>
  <c r="D32" i="4128" s="1"/>
  <c r="O40" i="14687"/>
  <c r="E61" i="14687"/>
  <c r="H19" i="14652"/>
  <c r="H51" i="14653"/>
  <c r="H64" i="14653" s="1"/>
  <c r="H77" i="14653" s="1"/>
  <c r="D51" i="14653"/>
  <c r="D64" i="14653" s="1"/>
  <c r="D77" i="14653" s="1"/>
  <c r="I51" i="14653"/>
  <c r="I64" i="14653" s="1"/>
  <c r="B66" i="14645"/>
  <c r="N66" i="14645" s="1"/>
  <c r="N65" i="14645"/>
  <c r="B23" i="14629" a="1"/>
  <c r="B74" i="14653"/>
  <c r="N74" i="14653" s="1"/>
  <c r="N61" i="14653"/>
  <c r="C61" i="14687"/>
  <c r="I8" i="14636"/>
  <c r="J61" i="14687"/>
  <c r="G61" i="14687"/>
  <c r="M61" i="14687"/>
  <c r="H61" i="14687"/>
  <c r="C86" i="14687"/>
  <c r="N86" i="14687"/>
  <c r="M86" i="14687"/>
  <c r="L86" i="14687"/>
  <c r="E86" i="14687"/>
  <c r="H86" i="14687"/>
  <c r="I86" i="14687"/>
  <c r="G86" i="14687"/>
  <c r="K86" i="14687"/>
  <c r="F86" i="14687"/>
  <c r="D86" i="14687"/>
  <c r="J86" i="14687"/>
  <c r="F8" i="14636"/>
  <c r="K61" i="14687"/>
  <c r="F61" i="14687"/>
  <c r="L8" i="14636"/>
  <c r="I61" i="14687"/>
  <c r="L61" i="14687"/>
  <c r="J63" i="14653"/>
  <c r="I66" i="14687"/>
  <c r="N66" i="14687"/>
  <c r="J66" i="14687"/>
  <c r="C66" i="14687"/>
  <c r="C77" i="14687" s="1"/>
  <c r="M66" i="14687"/>
  <c r="G66" i="14687"/>
  <c r="K66" i="14687"/>
  <c r="E66" i="14687"/>
  <c r="F66" i="14687"/>
  <c r="L66" i="14687"/>
  <c r="H66" i="14687"/>
  <c r="D66" i="14687"/>
  <c r="I69" i="14687"/>
  <c r="L69" i="14687"/>
  <c r="M69" i="14687"/>
  <c r="J69" i="14687"/>
  <c r="K69" i="14687"/>
  <c r="C69" i="14687"/>
  <c r="N69" i="14687"/>
  <c r="D69" i="14687"/>
  <c r="F69" i="14687"/>
  <c r="G69" i="14687"/>
  <c r="H69" i="14687"/>
  <c r="E69" i="14687"/>
  <c r="L72" i="14687"/>
  <c r="D72" i="14687"/>
  <c r="H72" i="14687"/>
  <c r="I72" i="14687"/>
  <c r="J72" i="14687"/>
  <c r="G72" i="14687"/>
  <c r="C72" i="14687"/>
  <c r="N72" i="14687"/>
  <c r="F72" i="14687"/>
  <c r="E72" i="14687"/>
  <c r="K72" i="14687"/>
  <c r="M72" i="14687"/>
  <c r="G51" i="14653"/>
  <c r="L39" i="14653"/>
  <c r="L40" i="14653" s="1"/>
  <c r="B39" i="14653"/>
  <c r="E39" i="14653"/>
  <c r="O39" i="14653"/>
  <c r="O52" i="14653" s="1"/>
  <c r="O65" i="14653" s="1"/>
  <c r="G39" i="14653"/>
  <c r="I39" i="14653"/>
  <c r="J39" i="14653"/>
  <c r="K39" i="14653"/>
  <c r="C39" i="14653"/>
  <c r="D39" i="14653"/>
  <c r="F39" i="14653"/>
  <c r="M39" i="14653"/>
  <c r="H39" i="14653"/>
  <c r="E51" i="14653"/>
  <c r="E64" i="14653" s="1"/>
  <c r="E77" i="14653" s="1"/>
  <c r="J51" i="14653"/>
  <c r="J64" i="14653" s="1"/>
  <c r="J77" i="14653" s="1"/>
  <c r="C51" i="14653"/>
  <c r="C64" i="14653" s="1"/>
  <c r="C77" i="14653" s="1"/>
  <c r="F51" i="14653"/>
  <c r="F64" i="14653" s="1"/>
  <c r="F77" i="14653" s="1"/>
  <c r="N38" i="14653"/>
  <c r="B51" i="14653"/>
  <c r="O59" i="14687"/>
  <c r="B75" i="14653"/>
  <c r="N75" i="14653" s="1"/>
  <c r="N62" i="14653"/>
  <c r="B88" i="14687"/>
  <c r="B87" i="14687"/>
  <c r="B92" i="14687"/>
  <c r="B90" i="14687"/>
  <c r="B91" i="14687"/>
  <c r="B85" i="14687"/>
  <c r="B89" i="14687"/>
  <c r="I73" i="14687"/>
  <c r="K73" i="14687"/>
  <c r="D73" i="14687"/>
  <c r="L73" i="14687"/>
  <c r="G73" i="14687"/>
  <c r="N73" i="14687"/>
  <c r="J73" i="14687"/>
  <c r="E73" i="14687"/>
  <c r="M73" i="14687"/>
  <c r="C73" i="14687"/>
  <c r="H73" i="14687"/>
  <c r="F73" i="14687"/>
  <c r="D68" i="14687"/>
  <c r="M68" i="14687"/>
  <c r="N68" i="14687"/>
  <c r="I68" i="14687"/>
  <c r="E68" i="14687"/>
  <c r="F68" i="14687"/>
  <c r="K68" i="14687"/>
  <c r="L68" i="14687"/>
  <c r="J68" i="14687"/>
  <c r="C68" i="14687"/>
  <c r="G68" i="14687"/>
  <c r="H68" i="14687"/>
  <c r="F70" i="14687"/>
  <c r="K70" i="14687"/>
  <c r="L70" i="14687"/>
  <c r="J70" i="14687"/>
  <c r="H70" i="14687"/>
  <c r="G70" i="14687"/>
  <c r="D70" i="14687"/>
  <c r="M70" i="14687"/>
  <c r="N70" i="14687"/>
  <c r="C70" i="14687"/>
  <c r="E70" i="14687"/>
  <c r="I70" i="14687"/>
  <c r="N71" i="14687"/>
  <c r="C71" i="14687"/>
  <c r="L71" i="14687"/>
  <c r="M71" i="14687"/>
  <c r="J71" i="14687"/>
  <c r="I71" i="14687"/>
  <c r="K71" i="14687"/>
  <c r="D71" i="14687"/>
  <c r="E71" i="14687"/>
  <c r="H71" i="14687"/>
  <c r="F71" i="14687"/>
  <c r="G71" i="14687"/>
  <c r="N50" i="14653"/>
  <c r="B63" i="14653"/>
  <c r="L51" i="14653"/>
  <c r="L64" i="14653" s="1"/>
  <c r="B23" i="14636" a="1"/>
  <c r="C23" i="14636" s="1"/>
  <c r="D8" i="14636"/>
  <c r="H8" i="14636"/>
  <c r="B13" i="14636"/>
  <c r="B14" i="14636"/>
  <c r="L12" i="14636"/>
  <c r="J12" i="14636"/>
  <c r="M13" i="14636"/>
  <c r="J13" i="14636"/>
  <c r="D13" i="14636"/>
  <c r="G10" i="14636"/>
  <c r="B10" i="14636"/>
  <c r="C8" i="14636"/>
  <c r="H11" i="14636"/>
  <c r="I11" i="14636"/>
  <c r="M7" i="14636"/>
  <c r="M11" i="14636"/>
  <c r="G14" i="14636"/>
  <c r="I14" i="14636"/>
  <c r="H7" i="14636"/>
  <c r="J9" i="14636"/>
  <c r="J10" i="14636"/>
  <c r="I9" i="14636"/>
  <c r="M10" i="14636"/>
  <c r="L10" i="14636"/>
  <c r="L14" i="14636"/>
  <c r="H13" i="14636"/>
  <c r="C12" i="14636"/>
  <c r="K11" i="14636"/>
  <c r="I10" i="14636"/>
  <c r="G11" i="14636"/>
  <c r="B7" i="14636"/>
  <c r="M14" i="14636"/>
  <c r="L7" i="14636"/>
  <c r="H9" i="14636"/>
  <c r="E9" i="14636"/>
  <c r="L13" i="14636"/>
  <c r="F12" i="14636"/>
  <c r="K10" i="14636"/>
  <c r="E11" i="14636"/>
  <c r="E7" i="14636"/>
  <c r="C10" i="14636"/>
  <c r="G7" i="14636"/>
  <c r="G9" i="14636"/>
  <c r="C13" i="14636"/>
  <c r="E14" i="14636"/>
  <c r="E10" i="14636"/>
  <c r="K14" i="14636"/>
  <c r="K13" i="14636"/>
  <c r="B12" i="14636"/>
  <c r="E12" i="14636"/>
  <c r="I12" i="14636"/>
  <c r="I13" i="14636"/>
  <c r="L11" i="14636"/>
  <c r="G13" i="14636"/>
  <c r="F10" i="14636"/>
  <c r="H10" i="14636"/>
  <c r="M8" i="14636"/>
  <c r="J11" i="14636"/>
  <c r="B8" i="14636"/>
  <c r="D7" i="14636"/>
  <c r="J7" i="14636"/>
  <c r="F11" i="14636"/>
  <c r="J14" i="14636"/>
  <c r="C11" i="14636"/>
  <c r="C7" i="14636"/>
  <c r="G12" i="14636"/>
  <c r="B9" i="14636"/>
  <c r="C9" i="14636"/>
  <c r="D9" i="14636"/>
  <c r="F13" i="14636"/>
  <c r="M12" i="14636"/>
  <c r="G8" i="14636"/>
  <c r="F7" i="14636"/>
  <c r="C14" i="14636"/>
  <c r="L9" i="14636"/>
  <c r="K8" i="14636"/>
  <c r="K7" i="14636"/>
  <c r="K9" i="14636"/>
  <c r="I7" i="14636"/>
  <c r="D14" i="14636"/>
  <c r="F9" i="14636"/>
  <c r="E13" i="14636"/>
  <c r="D10" i="14636"/>
  <c r="H14" i="14636"/>
  <c r="M9" i="14636"/>
  <c r="H12" i="14636"/>
  <c r="B11" i="14636"/>
  <c r="F14" i="14636"/>
  <c r="D11" i="14636"/>
  <c r="D12" i="14636"/>
  <c r="K12" i="14636"/>
  <c r="O67" i="14687"/>
  <c r="O58" i="14687"/>
  <c r="O55" i="14687"/>
  <c r="E32" i="4128" s="1"/>
  <c r="C10" i="14698"/>
  <c r="D15" i="14698"/>
  <c r="M8" i="14698"/>
  <c r="K14" i="14698"/>
  <c r="F8" i="14698"/>
  <c r="C12" i="14698"/>
  <c r="F15" i="14698"/>
  <c r="G9" i="14698"/>
  <c r="K10" i="14698"/>
  <c r="F10" i="14698"/>
  <c r="D13" i="14698"/>
  <c r="B9" i="14698"/>
  <c r="B15" i="14698"/>
  <c r="H8" i="14698"/>
  <c r="H12" i="14698"/>
  <c r="K15" i="14698"/>
  <c r="G10" i="14698"/>
  <c r="F14" i="14698"/>
  <c r="K13" i="14698"/>
  <c r="C15" i="14698"/>
  <c r="M10" i="14698"/>
  <c r="L14" i="14698"/>
  <c r="E21" i="14630"/>
  <c r="D19" i="14630"/>
  <c r="K24" i="14630"/>
  <c r="C24" i="14630"/>
  <c r="B22" i="14630"/>
  <c r="J18" i="14630"/>
  <c r="D24" i="14630"/>
  <c r="B24" i="14630"/>
  <c r="K21" i="14630"/>
  <c r="J21" i="14630"/>
  <c r="F19" i="14630"/>
  <c r="F23" i="14630"/>
  <c r="C20" i="14630"/>
  <c r="H21" i="14630"/>
  <c r="I20" i="14630"/>
  <c r="L22" i="14630"/>
  <c r="J20" i="14630"/>
  <c r="G15" i="14698"/>
  <c r="I10" i="14698"/>
  <c r="D22" i="14630"/>
  <c r="L18" i="14630"/>
  <c r="D23" i="14630"/>
  <c r="I17" i="14630"/>
  <c r="D21" i="14630"/>
  <c r="E20" i="14630"/>
  <c r="J17" i="14630"/>
  <c r="G19" i="14630"/>
  <c r="M24" i="14630"/>
  <c r="M22" i="14630"/>
  <c r="I18" i="14630"/>
  <c r="G20" i="14630"/>
  <c r="K22" i="14630"/>
  <c r="F18" i="14630"/>
  <c r="F22" i="14630"/>
  <c r="C22" i="14630"/>
  <c r="M19" i="14630"/>
  <c r="D17" i="14630"/>
  <c r="C11" i="14707" a="1"/>
  <c r="C15" i="14707" s="1"/>
  <c r="I22" i="14630"/>
  <c r="C18" i="14630"/>
  <c r="M17" i="14630"/>
  <c r="H24" i="14630"/>
  <c r="I24" i="14630"/>
  <c r="G24" i="14630"/>
  <c r="K18" i="14630"/>
  <c r="H19" i="14630"/>
  <c r="F24" i="14630"/>
  <c r="F21" i="14630"/>
  <c r="B21" i="14630"/>
  <c r="I21" i="14630"/>
  <c r="C23" i="14630"/>
  <c r="G13" i="14698"/>
  <c r="B13" i="14698"/>
  <c r="K8" i="14698"/>
  <c r="E15" i="14698"/>
  <c r="L15" i="14698"/>
  <c r="J12" i="14698"/>
  <c r="G17" i="14630"/>
  <c r="M21" i="14630"/>
  <c r="L24" i="14630"/>
  <c r="M18" i="14630"/>
  <c r="K17" i="14630"/>
  <c r="H18" i="14630"/>
  <c r="B19" i="14630"/>
  <c r="D20" i="14630"/>
  <c r="L23" i="14630"/>
  <c r="L19" i="14630"/>
  <c r="I19" i="14630"/>
  <c r="L21" i="14630"/>
  <c r="M23" i="14630"/>
  <c r="E19" i="14630"/>
  <c r="G23" i="14630"/>
  <c r="J19" i="14630"/>
  <c r="L20" i="14630"/>
  <c r="H17" i="14630"/>
  <c r="M20" i="14630"/>
  <c r="B23" i="14630"/>
  <c r="D18" i="14630"/>
  <c r="C21" i="14630"/>
  <c r="F17" i="14630"/>
  <c r="C19" i="14630"/>
  <c r="C17" i="14630"/>
  <c r="K19" i="14630"/>
  <c r="G22" i="14630"/>
  <c r="E17" i="14630"/>
  <c r="E18" i="14630"/>
  <c r="J22" i="14630"/>
  <c r="K23" i="14630"/>
  <c r="H23" i="14630"/>
  <c r="J23" i="14630"/>
  <c r="B12" i="14698"/>
  <c r="J10" i="14698"/>
  <c r="H11" i="14698"/>
  <c r="E8" i="14698"/>
  <c r="F9" i="14698"/>
  <c r="L13" i="14698"/>
  <c r="M9" i="14698"/>
  <c r="M13" i="14698"/>
  <c r="C11" i="14698"/>
  <c r="I8" i="14698"/>
  <c r="D12" i="14698"/>
  <c r="C9" i="14698"/>
  <c r="J14" i="14698"/>
  <c r="E10" i="14698"/>
  <c r="I12" i="14698"/>
  <c r="L11" i="14698"/>
  <c r="E9" i="14698"/>
  <c r="L8" i="14698"/>
  <c r="H22" i="14630"/>
  <c r="J24" i="14630"/>
  <c r="B18" i="14630"/>
  <c r="E24" i="14630"/>
  <c r="G21" i="14630"/>
  <c r="B17" i="14630"/>
  <c r="I23" i="14630"/>
  <c r="B20" i="14630"/>
  <c r="K20" i="14630"/>
  <c r="G18" i="14630"/>
  <c r="H20" i="14630"/>
  <c r="E23" i="14630"/>
  <c r="L17" i="14630"/>
  <c r="F20" i="14630"/>
  <c r="C6" i="14683" a="1"/>
  <c r="C7" i="14683" s="1"/>
  <c r="I15" i="14698"/>
  <c r="K11" i="14698"/>
  <c r="L12" i="14698"/>
  <c r="J8" i="14698"/>
  <c r="K9" i="14698"/>
  <c r="F13" i="14698"/>
  <c r="L9" i="14698"/>
  <c r="B11" i="14698"/>
  <c r="J13" i="14698"/>
  <c r="H15" i="14698"/>
  <c r="J9" i="14698"/>
  <c r="K12" i="14698"/>
  <c r="F12" i="14698"/>
  <c r="I9" i="14698"/>
  <c r="F11" i="14698"/>
  <c r="I14" i="14698"/>
  <c r="B8" i="14698"/>
  <c r="G14" i="14698"/>
  <c r="G8" i="14698"/>
  <c r="M14" i="14698"/>
  <c r="D10" i="14698"/>
  <c r="M15" i="14698"/>
  <c r="D11" i="14698"/>
  <c r="E14" i="14698"/>
  <c r="B10" i="14698"/>
  <c r="C13" i="14698"/>
  <c r="L10" i="14698"/>
  <c r="G11" i="14698"/>
  <c r="I13" i="14698"/>
  <c r="J15" i="14698"/>
  <c r="E12" i="14698"/>
  <c r="H13" i="14698"/>
  <c r="D9" i="14698"/>
  <c r="J11" i="14698"/>
  <c r="B14" i="14698"/>
  <c r="H9" i="14698"/>
  <c r="G12" i="14698"/>
  <c r="C8" i="14698"/>
  <c r="H14" i="14698"/>
  <c r="M11" i="14698"/>
  <c r="D8" i="14698"/>
  <c r="M12" i="14698"/>
  <c r="H10" i="14698"/>
  <c r="C14" i="14698"/>
  <c r="E13" i="14698"/>
  <c r="E11" i="14698"/>
  <c r="I11" i="14698"/>
  <c r="N73" i="14653"/>
  <c r="B35" i="14710"/>
  <c r="C35" i="14710"/>
  <c r="E35" i="14710"/>
  <c r="D35" i="14710"/>
  <c r="F35" i="14710"/>
  <c r="G29" i="4128"/>
  <c r="D29" i="4128"/>
  <c r="C29" i="4128"/>
  <c r="F29" i="4128"/>
  <c r="E29" i="4128"/>
  <c r="E13" i="4128"/>
  <c r="F13" i="4128"/>
  <c r="C13" i="4128"/>
  <c r="D13" i="4128"/>
  <c r="G13" i="4128"/>
  <c r="B11" i="14707" a="1"/>
  <c r="B6" i="14683" a="1"/>
  <c r="B25" i="7"/>
  <c r="B7" i="14623" a="1"/>
  <c r="N17" i="7"/>
  <c r="C31" i="14628" a="1"/>
  <c r="B12" i="14645"/>
  <c r="N12" i="14645" s="1"/>
  <c r="N11" i="14645"/>
  <c r="E40" i="14652"/>
  <c r="E33" i="14652"/>
  <c r="E39" i="14652"/>
  <c r="E37" i="14652"/>
  <c r="E38" i="14652"/>
  <c r="E34" i="14652"/>
  <c r="E36" i="14652"/>
  <c r="E35" i="14652"/>
  <c r="C20" i="14710"/>
  <c r="E20" i="14710"/>
  <c r="B20" i="14710"/>
  <c r="D20" i="14710"/>
  <c r="F20" i="14710"/>
  <c r="E17" i="14695"/>
  <c r="G17" i="14695"/>
  <c r="H17" i="14695"/>
  <c r="F17" i="14695"/>
  <c r="C17" i="14695"/>
  <c r="D17" i="14695"/>
  <c r="B17" i="14695"/>
  <c r="D37" i="14661"/>
  <c r="G37" i="14661" s="1"/>
  <c r="D31" i="14661"/>
  <c r="H31" i="14661" s="1"/>
  <c r="D36" i="14661"/>
  <c r="G36" i="14661" s="1"/>
  <c r="D34" i="14661"/>
  <c r="G34" i="14661" s="1"/>
  <c r="D6" i="14661"/>
  <c r="F43" i="14622" a="1"/>
  <c r="F43" i="14622" s="1"/>
  <c r="D17" i="4128"/>
  <c r="E17" i="4128"/>
  <c r="C17" i="4128"/>
  <c r="F17" i="4128"/>
  <c r="G17" i="4128"/>
  <c r="I8" i="14703"/>
  <c r="L8" i="14703"/>
  <c r="M13" i="14703"/>
  <c r="L10" i="14703"/>
  <c r="F12" i="14703"/>
  <c r="D8" i="14703"/>
  <c r="D12" i="14703"/>
  <c r="E9" i="14703"/>
  <c r="F10" i="14703"/>
  <c r="B12" i="14703"/>
  <c r="G15" i="14703"/>
  <c r="L11" i="14703"/>
  <c r="L12" i="14703"/>
  <c r="L14" i="14703"/>
  <c r="E14" i="14703"/>
  <c r="C10" i="14703"/>
  <c r="K12" i="14703"/>
  <c r="M15" i="14703"/>
  <c r="H9" i="14703"/>
  <c r="M9" i="14703"/>
  <c r="F14" i="14703"/>
  <c r="E12" i="14703"/>
  <c r="H10" i="14703"/>
  <c r="J9" i="14703"/>
  <c r="D10" i="14703"/>
  <c r="H14" i="14703"/>
  <c r="M12" i="14703"/>
  <c r="B8" i="14703"/>
  <c r="H8" i="14703"/>
  <c r="H11" i="14703"/>
  <c r="C9" i="14703"/>
  <c r="J8" i="14703"/>
  <c r="K10" i="14703"/>
  <c r="K14" i="14703"/>
  <c r="J15" i="14703"/>
  <c r="K13" i="14703"/>
  <c r="M11" i="14703"/>
  <c r="B10" i="14703"/>
  <c r="H13" i="14703"/>
  <c r="D14" i="14703"/>
  <c r="J11" i="14703"/>
  <c r="D13" i="14703"/>
  <c r="D9" i="14703"/>
  <c r="C12" i="14703"/>
  <c r="C11" i="14703"/>
  <c r="K11" i="14703"/>
  <c r="I9" i="14703"/>
  <c r="D11" i="14703"/>
  <c r="J13" i="14703"/>
  <c r="E13" i="14703"/>
  <c r="F13" i="14703"/>
  <c r="G10" i="14703"/>
  <c r="F8" i="14703"/>
  <c r="F9" i="14703"/>
  <c r="H12" i="14703"/>
  <c r="I13" i="14703"/>
  <c r="L15" i="14703"/>
  <c r="D15" i="14703"/>
  <c r="G8" i="14703"/>
  <c r="K8" i="14703"/>
  <c r="E8" i="14703"/>
  <c r="F15" i="14703"/>
  <c r="C13" i="14703"/>
  <c r="K9" i="14703"/>
  <c r="I10" i="14703"/>
  <c r="B14" i="14703"/>
  <c r="H15" i="14703"/>
  <c r="G11" i="14703"/>
  <c r="C8" i="14703"/>
  <c r="I12" i="14703"/>
  <c r="I14" i="14703"/>
  <c r="I11" i="14703"/>
  <c r="J12" i="14703"/>
  <c r="I15" i="14703"/>
  <c r="F11" i="14703"/>
  <c r="B11" i="14703"/>
  <c r="M10" i="14703"/>
  <c r="C14" i="14703"/>
  <c r="G14" i="14703"/>
  <c r="B9" i="14703"/>
  <c r="E10" i="14703"/>
  <c r="G9" i="14703"/>
  <c r="K15" i="14703"/>
  <c r="L9" i="14703"/>
  <c r="C15" i="14703"/>
  <c r="E11" i="14703"/>
  <c r="L13" i="14703"/>
  <c r="M8" i="14703"/>
  <c r="B15" i="14703"/>
  <c r="G12" i="14703"/>
  <c r="M14" i="14703"/>
  <c r="G13" i="14703"/>
  <c r="B13" i="14703"/>
  <c r="J14" i="14703"/>
  <c r="J10" i="14703"/>
  <c r="E15" i="14703"/>
  <c r="I76" i="14665"/>
  <c r="F6" i="14667"/>
  <c r="G11" i="14652"/>
  <c r="E12" i="14652"/>
  <c r="D30" i="14661"/>
  <c r="D33" i="14661"/>
  <c r="F33" i="14661" s="1"/>
  <c r="D32" i="14661"/>
  <c r="F32" i="14661" s="1"/>
  <c r="D35" i="14661"/>
  <c r="G35" i="14661" s="1"/>
  <c r="B5" i="14682" l="1" a="1"/>
  <c r="B6" i="14682" s="1"/>
  <c r="H77" i="14687"/>
  <c r="L77" i="14687"/>
  <c r="M19" i="14636" a="1"/>
  <c r="D19" i="14629" a="1"/>
  <c r="D19" i="14629" s="1"/>
  <c r="H19" i="14629" a="1"/>
  <c r="H19" i="14629" s="1"/>
  <c r="I19" i="14629" a="1"/>
  <c r="B25" i="14624"/>
  <c r="C25" i="14624"/>
  <c r="E25" i="14624"/>
  <c r="F25" i="14624"/>
  <c r="J25" i="14624"/>
  <c r="D25" i="14624"/>
  <c r="I25" i="14624"/>
  <c r="K25" i="14624"/>
  <c r="L25" i="14624"/>
  <c r="N24" i="14624"/>
  <c r="N23" i="14624"/>
  <c r="B21" i="14682" s="1" a="1"/>
  <c r="G25" i="14624"/>
  <c r="E77" i="14687"/>
  <c r="M77" i="14687"/>
  <c r="N74" i="14687"/>
  <c r="B8" i="14682"/>
  <c r="I19" i="14629"/>
  <c r="N15" i="14624"/>
  <c r="M19" i="14636"/>
  <c r="N77" i="14687"/>
  <c r="O61" i="14687"/>
  <c r="M19" i="14657" s="1"/>
  <c r="J19" i="14652" a="1"/>
  <c r="J21" i="14652" s="1"/>
  <c r="H14" i="14692"/>
  <c r="F14" i="14692"/>
  <c r="D14" i="14692"/>
  <c r="D17" i="14692" s="1"/>
  <c r="E14" i="14692"/>
  <c r="G14" i="14692"/>
  <c r="C14" i="14692"/>
  <c r="C17" i="14692" s="1"/>
  <c r="B14" i="14692"/>
  <c r="B17" i="14692" s="1"/>
  <c r="N19" i="14624"/>
  <c r="D15" i="14692"/>
  <c r="F15" i="14692"/>
  <c r="C15" i="14692"/>
  <c r="G15" i="14692"/>
  <c r="H15" i="14692"/>
  <c r="E15" i="14692"/>
  <c r="B15" i="14692"/>
  <c r="H41" i="14690"/>
  <c r="G41" i="14690"/>
  <c r="E41" i="14690"/>
  <c r="C41" i="14690"/>
  <c r="D41" i="14690"/>
  <c r="F41" i="14690"/>
  <c r="B41" i="14690"/>
  <c r="B10" i="14682"/>
  <c r="D74" i="14687"/>
  <c r="E12" i="14692"/>
  <c r="G12" i="14692"/>
  <c r="D12" i="14692"/>
  <c r="C12" i="14692"/>
  <c r="F12" i="14692"/>
  <c r="B12" i="14692"/>
  <c r="H12" i="14692"/>
  <c r="E74" i="14687"/>
  <c r="I77" i="14687"/>
  <c r="G74" i="14687"/>
  <c r="K74" i="14687"/>
  <c r="J77" i="14687"/>
  <c r="B7" i="14672" a="1"/>
  <c r="M23" i="14629"/>
  <c r="L24" i="14629"/>
  <c r="K24" i="14629"/>
  <c r="C23" i="14629"/>
  <c r="D24" i="14629"/>
  <c r="H24" i="14629"/>
  <c r="G23" i="14629"/>
  <c r="M24" i="14629"/>
  <c r="I24" i="14629"/>
  <c r="B24" i="14629"/>
  <c r="H23" i="14629"/>
  <c r="J23" i="14629"/>
  <c r="K23" i="14629"/>
  <c r="C24" i="14629"/>
  <c r="E23" i="14629"/>
  <c r="G24" i="14629"/>
  <c r="F23" i="14629"/>
  <c r="I23" i="14629"/>
  <c r="J24" i="14629"/>
  <c r="B23" i="14629"/>
  <c r="L23" i="14629"/>
  <c r="E24" i="14629"/>
  <c r="F24" i="14629"/>
  <c r="D23" i="14629"/>
  <c r="G10" i="14657"/>
  <c r="N42" i="14706"/>
  <c r="N29" i="14667"/>
  <c r="C54" i="14694"/>
  <c r="M54" i="14694"/>
  <c r="K54" i="14694"/>
  <c r="F54" i="14694"/>
  <c r="I54" i="14694"/>
  <c r="E54" i="14694"/>
  <c r="J54" i="14694"/>
  <c r="G54" i="14694"/>
  <c r="L54" i="14694"/>
  <c r="B54" i="14694"/>
  <c r="D54" i="14694"/>
  <c r="H54" i="14694"/>
  <c r="J15" i="14629"/>
  <c r="N12" i="14629"/>
  <c r="C15" i="14629"/>
  <c r="K15" i="14629"/>
  <c r="M15" i="14629"/>
  <c r="B11" i="14682"/>
  <c r="B5" i="14682"/>
  <c r="D77" i="14687"/>
  <c r="B23" i="14636"/>
  <c r="C74" i="14687"/>
  <c r="H74" i="14687"/>
  <c r="O86" i="14687"/>
  <c r="B53" i="14694" a="1"/>
  <c r="H47" i="14694"/>
  <c r="L62" i="14694"/>
  <c r="G31" i="14694"/>
  <c r="K39" i="14694"/>
  <c r="B39" i="14694"/>
  <c r="J31" i="14694"/>
  <c r="C23" i="14694"/>
  <c r="H23" i="14694"/>
  <c r="C39" i="14694"/>
  <c r="M31" i="14694"/>
  <c r="B45" i="14694" a="1"/>
  <c r="H55" i="14694"/>
  <c r="G55" i="14694"/>
  <c r="I55" i="14694"/>
  <c r="D31" i="14694"/>
  <c r="E47" i="14694"/>
  <c r="H62" i="14694"/>
  <c r="J62" i="14694"/>
  <c r="B29" i="14694" a="1"/>
  <c r="G62" i="14694"/>
  <c r="C31" i="14694"/>
  <c r="J23" i="14694"/>
  <c r="C55" i="14694"/>
  <c r="I62" i="14694"/>
  <c r="G47" i="14694"/>
  <c r="K47" i="14694"/>
  <c r="H39" i="14694"/>
  <c r="J39" i="14694"/>
  <c r="D62" i="14694"/>
  <c r="B31" i="14694"/>
  <c r="E55" i="14694"/>
  <c r="B55" i="14694"/>
  <c r="C47" i="14694"/>
  <c r="M55" i="14694"/>
  <c r="E31" i="14694"/>
  <c r="M62" i="14694"/>
  <c r="K23" i="14694"/>
  <c r="K62" i="14694"/>
  <c r="L47" i="14694"/>
  <c r="E39" i="14694"/>
  <c r="F31" i="14694"/>
  <c r="F39" i="14694"/>
  <c r="B47" i="14694"/>
  <c r="F55" i="14694"/>
  <c r="D23" i="14694"/>
  <c r="K31" i="14694"/>
  <c r="I39" i="14694"/>
  <c r="B61" i="14694" a="1"/>
  <c r="D39" i="14694"/>
  <c r="G39" i="14694"/>
  <c r="J55" i="14694"/>
  <c r="C62" i="14694"/>
  <c r="B37" i="14694" a="1"/>
  <c r="L31" i="14694"/>
  <c r="F62" i="14694"/>
  <c r="L23" i="14694"/>
  <c r="I23" i="14694"/>
  <c r="B22" i="14694" a="1"/>
  <c r="B23" i="14694"/>
  <c r="D55" i="14694"/>
  <c r="I47" i="14694"/>
  <c r="D47" i="14694"/>
  <c r="E23" i="14694"/>
  <c r="K55" i="14694"/>
  <c r="M39" i="14694"/>
  <c r="F47" i="14694"/>
  <c r="L39" i="14694"/>
  <c r="I31" i="14694"/>
  <c r="M23" i="14694"/>
  <c r="F23" i="14694"/>
  <c r="M47" i="14694"/>
  <c r="B62" i="14694"/>
  <c r="H31" i="14694"/>
  <c r="L55" i="14694"/>
  <c r="E62" i="14694"/>
  <c r="G23" i="14694"/>
  <c r="J47" i="14694"/>
  <c r="N11" i="14629"/>
  <c r="H15" i="14629"/>
  <c r="L15" i="14629"/>
  <c r="F19" i="14629" a="1"/>
  <c r="F19" i="14629" s="1"/>
  <c r="N8" i="14629"/>
  <c r="B15" i="14629"/>
  <c r="H30" i="14694"/>
  <c r="M30" i="14694"/>
  <c r="I30" i="14694"/>
  <c r="L30" i="14694"/>
  <c r="F30" i="14694"/>
  <c r="E30" i="14694"/>
  <c r="J30" i="14694"/>
  <c r="D30" i="14694"/>
  <c r="G30" i="14694"/>
  <c r="B30" i="14694"/>
  <c r="C30" i="14694"/>
  <c r="K30" i="14694"/>
  <c r="J38" i="14694"/>
  <c r="F38" i="14694"/>
  <c r="I38" i="14694"/>
  <c r="M38" i="14694"/>
  <c r="D38" i="14694"/>
  <c r="B38" i="14694"/>
  <c r="L38" i="14694"/>
  <c r="G38" i="14694"/>
  <c r="H38" i="14694"/>
  <c r="C38" i="14694"/>
  <c r="K38" i="14694"/>
  <c r="E38" i="14694"/>
  <c r="B19" i="14629" a="1"/>
  <c r="B19" i="14629" s="1"/>
  <c r="N9" i="14629"/>
  <c r="N10" i="14629"/>
  <c r="J19" i="14629" a="1"/>
  <c r="J19" i="14629" s="1"/>
  <c r="N13" i="14629"/>
  <c r="N14" i="14629"/>
  <c r="F15" i="14629"/>
  <c r="L74" i="14687"/>
  <c r="B12" i="14682"/>
  <c r="F74" i="14687"/>
  <c r="H46" i="14694"/>
  <c r="D46" i="14694"/>
  <c r="J46" i="14694"/>
  <c r="F46" i="14694"/>
  <c r="E46" i="14694"/>
  <c r="B46" i="14694"/>
  <c r="L46" i="14694"/>
  <c r="G46" i="14694"/>
  <c r="K46" i="14694"/>
  <c r="M46" i="14694"/>
  <c r="C46" i="14694"/>
  <c r="I46" i="14694"/>
  <c r="E19" i="14629" a="1"/>
  <c r="E19" i="14629" s="1"/>
  <c r="G15" i="14629"/>
  <c r="I15" i="14629"/>
  <c r="K19" i="14629" a="1"/>
  <c r="K19" i="14629" s="1"/>
  <c r="C19" i="14629" a="1"/>
  <c r="C19" i="14629" s="1"/>
  <c r="E15" i="14629"/>
  <c r="L19" i="14629" a="1"/>
  <c r="L19" i="14629" s="1"/>
  <c r="M19" i="14629" a="1"/>
  <c r="M19" i="14629" s="1"/>
  <c r="D15" i="14629"/>
  <c r="G19" i="14629" a="1"/>
  <c r="G19" i="14629" s="1"/>
  <c r="L52" i="14653"/>
  <c r="G77" i="14687"/>
  <c r="J74" i="14687"/>
  <c r="K77" i="14687"/>
  <c r="F77" i="14687"/>
  <c r="M74" i="14687"/>
  <c r="I74" i="14687"/>
  <c r="H8" i="14672"/>
  <c r="I77" i="14653"/>
  <c r="L77" i="14653"/>
  <c r="G78" i="14687"/>
  <c r="J78" i="14687"/>
  <c r="K78" i="14687"/>
  <c r="E78" i="14687"/>
  <c r="N78" i="14687"/>
  <c r="D78" i="14687"/>
  <c r="J85" i="14687"/>
  <c r="I85" i="14687"/>
  <c r="K85" i="14687"/>
  <c r="B93" i="14687"/>
  <c r="C85" i="14687"/>
  <c r="D85" i="14687"/>
  <c r="L85" i="14687"/>
  <c r="G85" i="14687"/>
  <c r="M85" i="14687"/>
  <c r="H85" i="14687"/>
  <c r="E85" i="14687"/>
  <c r="N85" i="14687"/>
  <c r="F85" i="14687"/>
  <c r="E90" i="14687"/>
  <c r="F90" i="14687"/>
  <c r="L90" i="14687"/>
  <c r="J90" i="14687"/>
  <c r="H90" i="14687"/>
  <c r="G90" i="14687"/>
  <c r="C90" i="14687"/>
  <c r="I90" i="14687"/>
  <c r="M90" i="14687"/>
  <c r="N90" i="14687"/>
  <c r="K90" i="14687"/>
  <c r="D90" i="14687"/>
  <c r="N87" i="14687"/>
  <c r="L87" i="14687"/>
  <c r="C87" i="14687"/>
  <c r="J87" i="14687"/>
  <c r="K87" i="14687"/>
  <c r="H87" i="14687"/>
  <c r="I87" i="14687"/>
  <c r="G87" i="14687"/>
  <c r="D87" i="14687"/>
  <c r="M87" i="14687"/>
  <c r="E87" i="14687"/>
  <c r="F87" i="14687"/>
  <c r="M40" i="14653"/>
  <c r="M52" i="14653"/>
  <c r="D40" i="14653"/>
  <c r="D52" i="14653"/>
  <c r="K52" i="14653"/>
  <c r="K40" i="14653"/>
  <c r="I52" i="14653"/>
  <c r="I40" i="14653"/>
  <c r="N39" i="14653"/>
  <c r="B40" i="14653"/>
  <c r="B5" i="14637" a="1"/>
  <c r="B52" i="14653"/>
  <c r="G64" i="14653"/>
  <c r="O69" i="14687"/>
  <c r="C80" i="14687" a="1"/>
  <c r="O66" i="14687"/>
  <c r="B76" i="14653"/>
  <c r="N63" i="14653"/>
  <c r="O71" i="14687"/>
  <c r="O70" i="14687"/>
  <c r="H78" i="14687"/>
  <c r="O68" i="14687"/>
  <c r="C78" i="14687"/>
  <c r="L78" i="14687"/>
  <c r="F78" i="14687"/>
  <c r="I78" i="14687"/>
  <c r="M78" i="14687"/>
  <c r="O73" i="14687"/>
  <c r="J89" i="14687"/>
  <c r="D89" i="14687"/>
  <c r="L89" i="14687"/>
  <c r="N89" i="14687"/>
  <c r="F89" i="14687"/>
  <c r="M89" i="14687"/>
  <c r="K89" i="14687"/>
  <c r="I89" i="14687"/>
  <c r="H89" i="14687"/>
  <c r="G89" i="14687"/>
  <c r="C89" i="14687"/>
  <c r="E89" i="14687"/>
  <c r="G91" i="14687"/>
  <c r="E91" i="14687"/>
  <c r="D91" i="14687"/>
  <c r="L91" i="14687"/>
  <c r="M91" i="14687"/>
  <c r="N91" i="14687"/>
  <c r="I91" i="14687"/>
  <c r="K91" i="14687"/>
  <c r="J91" i="14687"/>
  <c r="F91" i="14687"/>
  <c r="H91" i="14687"/>
  <c r="C91" i="14687"/>
  <c r="L92" i="14687"/>
  <c r="C92" i="14687"/>
  <c r="E92" i="14687"/>
  <c r="M92" i="14687"/>
  <c r="G92" i="14687"/>
  <c r="J92" i="14687"/>
  <c r="F92" i="14687"/>
  <c r="D92" i="14687"/>
  <c r="K92" i="14687"/>
  <c r="I92" i="14687"/>
  <c r="N92" i="14687"/>
  <c r="H92" i="14687"/>
  <c r="E88" i="14687"/>
  <c r="L88" i="14687"/>
  <c r="M88" i="14687"/>
  <c r="C88" i="14687"/>
  <c r="F88" i="14687"/>
  <c r="H88" i="14687"/>
  <c r="K88" i="14687"/>
  <c r="I88" i="14687"/>
  <c r="N88" i="14687"/>
  <c r="G88" i="14687"/>
  <c r="D88" i="14687"/>
  <c r="J88" i="14687"/>
  <c r="N51" i="14653"/>
  <c r="B64" i="14653"/>
  <c r="H40" i="14653"/>
  <c r="H52" i="14653"/>
  <c r="F40" i="14653"/>
  <c r="F52" i="14653"/>
  <c r="C52" i="14653"/>
  <c r="C40" i="14653"/>
  <c r="J52" i="14653"/>
  <c r="J65" i="14653" s="1"/>
  <c r="J78" i="14653" s="1"/>
  <c r="J40" i="14653"/>
  <c r="G52" i="14653"/>
  <c r="G65" i="14653" s="1"/>
  <c r="G78" i="14653" s="1"/>
  <c r="G40" i="14653"/>
  <c r="E40" i="14653"/>
  <c r="E52" i="14653"/>
  <c r="O72" i="14687"/>
  <c r="J76" i="14653"/>
  <c r="F19" i="14636" a="1"/>
  <c r="F19" i="14636" s="1"/>
  <c r="I15" i="14636"/>
  <c r="L19" i="14636" a="1"/>
  <c r="L19" i="14636" s="1"/>
  <c r="C15" i="14636"/>
  <c r="J15" i="14636"/>
  <c r="N8" i="14636"/>
  <c r="G19" i="14636" a="1"/>
  <c r="G19" i="14636" s="1"/>
  <c r="L15" i="14636"/>
  <c r="H15" i="14636"/>
  <c r="K23" i="14636"/>
  <c r="J23" i="14636"/>
  <c r="M8" i="14672"/>
  <c r="F23" i="14636"/>
  <c r="K19" i="14636" a="1"/>
  <c r="K19" i="14636" s="1"/>
  <c r="C19" i="14636" a="1"/>
  <c r="C19" i="14636" s="1"/>
  <c r="D15" i="14636"/>
  <c r="G15" i="14636"/>
  <c r="E15" i="14636"/>
  <c r="H19" i="14636" a="1"/>
  <c r="H19" i="14636" s="1"/>
  <c r="I19" i="14636" a="1"/>
  <c r="I19" i="14636" s="1"/>
  <c r="J19" i="14636" a="1"/>
  <c r="J19" i="14636" s="1"/>
  <c r="N14" i="14636"/>
  <c r="E23" i="14636"/>
  <c r="B8" i="14672"/>
  <c r="N11" i="14636"/>
  <c r="K15" i="14636"/>
  <c r="F15" i="14636"/>
  <c r="D19" i="14636" a="1"/>
  <c r="D19" i="14636" s="1"/>
  <c r="N9" i="14636"/>
  <c r="B19" i="14636" a="1"/>
  <c r="B19" i="14636" s="1"/>
  <c r="N12" i="14636"/>
  <c r="E19" i="14636" a="1"/>
  <c r="E19" i="14636" s="1"/>
  <c r="B15" i="14636"/>
  <c r="N7" i="14636"/>
  <c r="M15" i="14636"/>
  <c r="N10" i="14636"/>
  <c r="N13" i="14636"/>
  <c r="M23" i="14636"/>
  <c r="I24" i="14636"/>
  <c r="F24" i="14636"/>
  <c r="L24" i="14636"/>
  <c r="G23" i="14636"/>
  <c r="J24" i="14636"/>
  <c r="I23" i="14636"/>
  <c r="C24" i="14636"/>
  <c r="C25" i="14636" s="1"/>
  <c r="L23" i="14636"/>
  <c r="K24" i="14636"/>
  <c r="B24" i="14636"/>
  <c r="B25" i="14636" s="1"/>
  <c r="H24" i="14636"/>
  <c r="E24" i="14636"/>
  <c r="G24" i="14636"/>
  <c r="D24" i="14636"/>
  <c r="M24" i="14636"/>
  <c r="H23" i="14636"/>
  <c r="L8" i="14672"/>
  <c r="I13" i="14672"/>
  <c r="B10" i="14672"/>
  <c r="D8" i="14672"/>
  <c r="M12" i="14672"/>
  <c r="L14" i="14672"/>
  <c r="F7" i="14672"/>
  <c r="F9" i="14672"/>
  <c r="D11" i="14672"/>
  <c r="J13" i="14672"/>
  <c r="C13" i="14672"/>
  <c r="E8" i="14672"/>
  <c r="M13" i="14672"/>
  <c r="I10" i="14672"/>
  <c r="I8" i="14672"/>
  <c r="E14" i="14672"/>
  <c r="G14" i="14672"/>
  <c r="E7" i="14672"/>
  <c r="L11" i="14672"/>
  <c r="H11" i="14672"/>
  <c r="K7" i="14672"/>
  <c r="H9" i="14672"/>
  <c r="I9" i="14672"/>
  <c r="J14" i="14672"/>
  <c r="E10" i="14672"/>
  <c r="C14" i="14672"/>
  <c r="J11" i="14672"/>
  <c r="H7" i="14672"/>
  <c r="H10" i="14672"/>
  <c r="B13" i="14672"/>
  <c r="C12" i="14672"/>
  <c r="J7" i="14672"/>
  <c r="L12" i="14672"/>
  <c r="J9" i="14672"/>
  <c r="L10" i="14672"/>
  <c r="B14" i="14672"/>
  <c r="H12" i="14672"/>
  <c r="M10" i="14672"/>
  <c r="F12" i="14672"/>
  <c r="G13" i="14672"/>
  <c r="J10" i="14672"/>
  <c r="G7" i="14672"/>
  <c r="L13" i="14672"/>
  <c r="G10" i="14672"/>
  <c r="L7" i="14672"/>
  <c r="I11" i="14672"/>
  <c r="D13" i="14672"/>
  <c r="F10" i="14672"/>
  <c r="F11" i="14672"/>
  <c r="I14" i="14672"/>
  <c r="E12" i="14672"/>
  <c r="B12" i="14672"/>
  <c r="G11" i="14672"/>
  <c r="K11" i="14672"/>
  <c r="D7" i="14672"/>
  <c r="G9" i="14672"/>
  <c r="C9" i="14672"/>
  <c r="E13" i="14672"/>
  <c r="D10" i="14672"/>
  <c r="C10" i="14672"/>
  <c r="F8" i="14672"/>
  <c r="K10" i="14672"/>
  <c r="K12" i="14672"/>
  <c r="B7" i="14672"/>
  <c r="L9" i="14672"/>
  <c r="B9" i="14672"/>
  <c r="H13" i="14672"/>
  <c r="M11" i="14672"/>
  <c r="D12" i="14672"/>
  <c r="K13" i="14672"/>
  <c r="I12" i="14672"/>
  <c r="I7" i="14672"/>
  <c r="G12" i="14672"/>
  <c r="M9" i="14672"/>
  <c r="M14" i="14672"/>
  <c r="C11" i="14672"/>
  <c r="F14" i="14672"/>
  <c r="D9" i="14672"/>
  <c r="M7" i="14672"/>
  <c r="D14" i="14672"/>
  <c r="H14" i="14672"/>
  <c r="E9" i="14672"/>
  <c r="F13" i="14672"/>
  <c r="K14" i="14672"/>
  <c r="K9" i="14672"/>
  <c r="C8" i="14672"/>
  <c r="C7" i="14672"/>
  <c r="E11" i="14672"/>
  <c r="J8" i="14672"/>
  <c r="B11" i="14672"/>
  <c r="J12" i="14672"/>
  <c r="D23" i="14636"/>
  <c r="F35" i="14661"/>
  <c r="E35" i="14661"/>
  <c r="H34" i="14661"/>
  <c r="H35" i="14661"/>
  <c r="G32" i="14661"/>
  <c r="E33" i="14661"/>
  <c r="F34" i="14661"/>
  <c r="E37" i="14661"/>
  <c r="H32" i="14661"/>
  <c r="C16" i="14707"/>
  <c r="C6" i="14683"/>
  <c r="G25" i="14630"/>
  <c r="G18" i="14681" s="1"/>
  <c r="L25" i="14630"/>
  <c r="L18" i="14681" s="1"/>
  <c r="C12" i="14707"/>
  <c r="C17" i="14707"/>
  <c r="C11" i="14707"/>
  <c r="C11" i="14683"/>
  <c r="C18" i="14707"/>
  <c r="C12" i="14683"/>
  <c r="C14" i="14707"/>
  <c r="C13" i="14707"/>
  <c r="C13" i="14683"/>
  <c r="C9" i="14683"/>
  <c r="N12" i="14698"/>
  <c r="N17" i="14630"/>
  <c r="N15" i="14698"/>
  <c r="N13" i="14698"/>
  <c r="N9" i="14698"/>
  <c r="N10" i="14698"/>
  <c r="N23" i="14630"/>
  <c r="B25" i="14630"/>
  <c r="B18" i="14681" s="1"/>
  <c r="N24" i="14630"/>
  <c r="N18" i="14630"/>
  <c r="N22" i="14630"/>
  <c r="C25" i="14630"/>
  <c r="C18" i="14681" s="1"/>
  <c r="D25" i="14630"/>
  <c r="D18" i="14681" s="1"/>
  <c r="M25" i="14630"/>
  <c r="M18" i="14681" s="1"/>
  <c r="I25" i="14630"/>
  <c r="I18" i="14681" s="1"/>
  <c r="H25" i="14630"/>
  <c r="H18" i="14681" s="1"/>
  <c r="N11" i="14698"/>
  <c r="C31" i="14634" a="1"/>
  <c r="F35" i="14634" s="1"/>
  <c r="F25" i="14630"/>
  <c r="F18" i="14681" s="1"/>
  <c r="N20" i="14630"/>
  <c r="B7" i="14632" a="1"/>
  <c r="M7" i="14632" s="1"/>
  <c r="J25" i="14630"/>
  <c r="J18" i="14681" s="1"/>
  <c r="E25" i="14630"/>
  <c r="E18" i="14681" s="1"/>
  <c r="N19" i="14630"/>
  <c r="K25" i="14630"/>
  <c r="K18" i="14681" s="1"/>
  <c r="N21" i="14630"/>
  <c r="N14" i="14698"/>
  <c r="N8" i="14698"/>
  <c r="B20" i="14698" a="1"/>
  <c r="C26" i="14698" s="1"/>
  <c r="C8" i="14683"/>
  <c r="C10" i="14683"/>
  <c r="N13" i="14703"/>
  <c r="N15" i="14703"/>
  <c r="G33" i="14661"/>
  <c r="D28" i="14661"/>
  <c r="G30" i="14661"/>
  <c r="G12" i="14652"/>
  <c r="E13" i="14652"/>
  <c r="J76" i="14665"/>
  <c r="B10" i="14696"/>
  <c r="B14" i="14696" s="1"/>
  <c r="C10" i="14696"/>
  <c r="B19" i="14661" a="1"/>
  <c r="F36" i="14661"/>
  <c r="E36" i="14661"/>
  <c r="G31" i="14661"/>
  <c r="F37" i="14661"/>
  <c r="I51" i="14695"/>
  <c r="D44" i="14695"/>
  <c r="J37" i="14695"/>
  <c r="I23" i="14695"/>
  <c r="E30" i="14695"/>
  <c r="B30" i="14695"/>
  <c r="C30" i="14695"/>
  <c r="F51" i="14695"/>
  <c r="H44" i="14695"/>
  <c r="L44" i="14695"/>
  <c r="M44" i="14695"/>
  <c r="F23" i="14695"/>
  <c r="E44" i="14695"/>
  <c r="C37" i="14695"/>
  <c r="E23" i="14695"/>
  <c r="D23" i="14695"/>
  <c r="M23" i="14695"/>
  <c r="B44" i="14695"/>
  <c r="M58" i="14695"/>
  <c r="L37" i="14695"/>
  <c r="G44" i="14695"/>
  <c r="K30" i="14695"/>
  <c r="K51" i="14695"/>
  <c r="K37" i="14695"/>
  <c r="M51" i="14695"/>
  <c r="J58" i="14695"/>
  <c r="D58" i="14695"/>
  <c r="C58" i="14695"/>
  <c r="I30" i="14695"/>
  <c r="H30" i="14695"/>
  <c r="B37" i="14695"/>
  <c r="G37" i="14695"/>
  <c r="M37" i="14695"/>
  <c r="K58" i="14695"/>
  <c r="F58" i="14695"/>
  <c r="B51" i="14695"/>
  <c r="C44" i="14695"/>
  <c r="H58" i="14695"/>
  <c r="H37" i="14695"/>
  <c r="B23" i="14695"/>
  <c r="I37" i="14695"/>
  <c r="K23" i="14695"/>
  <c r="L58" i="14695"/>
  <c r="F44" i="14695"/>
  <c r="G58" i="14695"/>
  <c r="E37" i="14695"/>
  <c r="D51" i="14695"/>
  <c r="C51" i="14695"/>
  <c r="H23" i="14695"/>
  <c r="B57" i="14695" a="1"/>
  <c r="J23" i="14695"/>
  <c r="E51" i="14695"/>
  <c r="F30" i="14695"/>
  <c r="D37" i="14695"/>
  <c r="H51" i="14695"/>
  <c r="L30" i="14695"/>
  <c r="K44" i="14695"/>
  <c r="C23" i="14695"/>
  <c r="M30" i="14695"/>
  <c r="E58" i="14695"/>
  <c r="L23" i="14695"/>
  <c r="J30" i="14695"/>
  <c r="B58" i="14695"/>
  <c r="G23" i="14695"/>
  <c r="J44" i="14695"/>
  <c r="J51" i="14695"/>
  <c r="D30" i="14695"/>
  <c r="G30" i="14695"/>
  <c r="I44" i="14695"/>
  <c r="G51" i="14695"/>
  <c r="I58" i="14695"/>
  <c r="L51" i="14695"/>
  <c r="F37" i="14695"/>
  <c r="B22" i="14695" a="1"/>
  <c r="B29" i="14695" a="1"/>
  <c r="B43" i="14695" a="1"/>
  <c r="B50" i="14695" a="1"/>
  <c r="B36" i="14695" a="1"/>
  <c r="C40" i="14643" a="1"/>
  <c r="B24" i="14707" a="1"/>
  <c r="B32" i="7" a="1"/>
  <c r="B19" i="14683" a="1"/>
  <c r="N25" i="7"/>
  <c r="B5" i="8" a="1"/>
  <c r="B9" i="14681"/>
  <c r="N9" i="14681" s="1"/>
  <c r="C23" i="14657" s="1"/>
  <c r="B12" i="14707"/>
  <c r="B13" i="14707"/>
  <c r="B14" i="14707"/>
  <c r="B17" i="14707"/>
  <c r="B15" i="14707"/>
  <c r="B18" i="14707"/>
  <c r="B11" i="14707"/>
  <c r="B16" i="14707"/>
  <c r="E32" i="14661"/>
  <c r="H33" i="14661"/>
  <c r="H30" i="14661"/>
  <c r="E30" i="14661"/>
  <c r="F30" i="14661"/>
  <c r="H6" i="14667"/>
  <c r="N9" i="14703"/>
  <c r="N11" i="14703"/>
  <c r="N14" i="14703"/>
  <c r="N10" i="14703"/>
  <c r="B20" i="14703" a="1"/>
  <c r="N8" i="14703"/>
  <c r="N12" i="14703"/>
  <c r="J24" i="14652"/>
  <c r="J25" i="14652"/>
  <c r="J20" i="14652"/>
  <c r="J22" i="14652"/>
  <c r="J26" i="14652"/>
  <c r="E34" i="14661"/>
  <c r="H36" i="14661"/>
  <c r="E31" i="14661"/>
  <c r="F31" i="14661"/>
  <c r="H37" i="14661"/>
  <c r="K36" i="14628"/>
  <c r="H33" i="14628"/>
  <c r="H37" i="14628"/>
  <c r="N35" i="14628"/>
  <c r="C35" i="14628"/>
  <c r="N34" i="14628"/>
  <c r="K37" i="14628"/>
  <c r="I37" i="14628"/>
  <c r="F33" i="14628"/>
  <c r="C33" i="14628"/>
  <c r="I31" i="14628"/>
  <c r="G37" i="14628"/>
  <c r="M33" i="14628"/>
  <c r="D37" i="14628"/>
  <c r="K31" i="14628"/>
  <c r="N31" i="14628"/>
  <c r="E32" i="14628"/>
  <c r="E40" i="14628" s="1"/>
  <c r="I34" i="14628"/>
  <c r="M32" i="14628"/>
  <c r="M40" i="14628" s="1"/>
  <c r="D36" i="14628"/>
  <c r="H32" i="14628"/>
  <c r="H40" i="14628" s="1"/>
  <c r="N38" i="14628"/>
  <c r="N32" i="14628"/>
  <c r="N40" i="14628" s="1"/>
  <c r="N37" i="14628"/>
  <c r="E34" i="14628"/>
  <c r="M31" i="14628"/>
  <c r="F32" i="14628"/>
  <c r="F40" i="14628" s="1"/>
  <c r="K34" i="14628"/>
  <c r="K38" i="14628"/>
  <c r="G33" i="14628"/>
  <c r="H35" i="14628"/>
  <c r="L36" i="14628"/>
  <c r="E35" i="14628"/>
  <c r="D34" i="14628"/>
  <c r="N33" i="14628"/>
  <c r="C31" i="14628"/>
  <c r="F35" i="14628"/>
  <c r="M36" i="14628"/>
  <c r="H36" i="14628"/>
  <c r="L33" i="14628"/>
  <c r="D33" i="14628"/>
  <c r="D32" i="14628"/>
  <c r="D40" i="14628" s="1"/>
  <c r="D35" i="14628"/>
  <c r="E33" i="14628"/>
  <c r="E38" i="14628"/>
  <c r="C32" i="14628"/>
  <c r="C40" i="14628" s="1"/>
  <c r="D31" i="14628"/>
  <c r="J37" i="14628"/>
  <c r="G32" i="14628"/>
  <c r="G40" i="14628" s="1"/>
  <c r="L37" i="14628"/>
  <c r="J31" i="14628"/>
  <c r="F34" i="14628"/>
  <c r="L32" i="14628"/>
  <c r="L40" i="14628" s="1"/>
  <c r="G31" i="14628"/>
  <c r="D38" i="14628"/>
  <c r="L34" i="14628"/>
  <c r="G36" i="14628"/>
  <c r="K33" i="14628"/>
  <c r="G35" i="14628"/>
  <c r="J33" i="14628"/>
  <c r="I35" i="14628"/>
  <c r="J34" i="14628"/>
  <c r="C34" i="14628"/>
  <c r="C37" i="14628"/>
  <c r="L35" i="14628"/>
  <c r="G38" i="14628"/>
  <c r="G34" i="14628"/>
  <c r="I38" i="14628"/>
  <c r="M35" i="14628"/>
  <c r="E37" i="14628"/>
  <c r="J32" i="14628"/>
  <c r="J40" i="14628" s="1"/>
  <c r="M37" i="14628"/>
  <c r="L31" i="14628"/>
  <c r="E36" i="14628"/>
  <c r="F36" i="14628"/>
  <c r="M38" i="14628"/>
  <c r="I33" i="14628"/>
  <c r="J35" i="14628"/>
  <c r="K35" i="14628"/>
  <c r="J36" i="14628"/>
  <c r="H38" i="14628"/>
  <c r="F38" i="14628"/>
  <c r="I36" i="14628"/>
  <c r="E31" i="14628"/>
  <c r="C38" i="14628"/>
  <c r="F31" i="14628"/>
  <c r="I32" i="14628"/>
  <c r="I40" i="14628" s="1"/>
  <c r="C36" i="14628"/>
  <c r="K32" i="14628"/>
  <c r="K40" i="14628" s="1"/>
  <c r="H31" i="14628"/>
  <c r="L38" i="14628"/>
  <c r="F37" i="14628"/>
  <c r="M34" i="14628"/>
  <c r="J38" i="14628"/>
  <c r="N36" i="14628"/>
  <c r="H34" i="14628"/>
  <c r="J7" i="14623"/>
  <c r="B13" i="14623"/>
  <c r="K13" i="14623"/>
  <c r="G13" i="14623"/>
  <c r="B14" i="14623"/>
  <c r="K7" i="14623"/>
  <c r="G10" i="14623"/>
  <c r="B11" i="14623"/>
  <c r="L8" i="14623"/>
  <c r="G8" i="14623"/>
  <c r="J11" i="14623"/>
  <c r="D13" i="14623"/>
  <c r="J9" i="14623"/>
  <c r="I9" i="14623"/>
  <c r="C13" i="14623"/>
  <c r="F9" i="14623"/>
  <c r="E9" i="14623"/>
  <c r="K11" i="14623"/>
  <c r="L9" i="14623"/>
  <c r="H8" i="14623"/>
  <c r="J14" i="14623"/>
  <c r="B9" i="14623"/>
  <c r="D12" i="14623"/>
  <c r="E7" i="14623"/>
  <c r="B12" i="14623"/>
  <c r="J8" i="14623"/>
  <c r="I12" i="14623"/>
  <c r="C8" i="14623"/>
  <c r="D14" i="14623"/>
  <c r="F13" i="14623"/>
  <c r="I11" i="14623"/>
  <c r="B8" i="14623"/>
  <c r="K10" i="14623"/>
  <c r="C12" i="14623"/>
  <c r="I8" i="14623"/>
  <c r="J13" i="14623"/>
  <c r="I10" i="14623"/>
  <c r="L14" i="14623"/>
  <c r="L7" i="14623"/>
  <c r="F10" i="14623"/>
  <c r="I7" i="14623"/>
  <c r="K12" i="14623"/>
  <c r="C11" i="14623"/>
  <c r="E14" i="14623"/>
  <c r="J10" i="14623"/>
  <c r="G9" i="14623"/>
  <c r="C9" i="14623"/>
  <c r="F12" i="14623"/>
  <c r="L13" i="14623"/>
  <c r="I14" i="14623"/>
  <c r="D9" i="14623"/>
  <c r="H9" i="14623"/>
  <c r="M7" i="14623"/>
  <c r="H12" i="14623"/>
  <c r="D8" i="14623"/>
  <c r="D7" i="14623"/>
  <c r="G12" i="14623"/>
  <c r="H13" i="14623"/>
  <c r="H11" i="14623"/>
  <c r="M10" i="14623"/>
  <c r="E10" i="14623"/>
  <c r="L10" i="14623"/>
  <c r="D11" i="14623"/>
  <c r="H10" i="14623"/>
  <c r="M8" i="14623"/>
  <c r="C7" i="14623"/>
  <c r="B7" i="14623"/>
  <c r="C10" i="14623"/>
  <c r="F14" i="14623"/>
  <c r="L12" i="14623"/>
  <c r="F7" i="14623"/>
  <c r="D10" i="14623"/>
  <c r="M13" i="14623"/>
  <c r="E13" i="14623"/>
  <c r="H14" i="14623"/>
  <c r="L11" i="14623"/>
  <c r="G7" i="14623"/>
  <c r="M12" i="14623"/>
  <c r="B10" i="14623"/>
  <c r="E11" i="14623"/>
  <c r="M9" i="14623"/>
  <c r="J12" i="14623"/>
  <c r="K14" i="14623"/>
  <c r="G14" i="14623"/>
  <c r="F11" i="14623"/>
  <c r="H7" i="14623"/>
  <c r="K8" i="14623"/>
  <c r="E8" i="14623"/>
  <c r="F8" i="14623"/>
  <c r="C14" i="14623"/>
  <c r="I13" i="14623"/>
  <c r="K9" i="14623"/>
  <c r="G11" i="14623"/>
  <c r="E12" i="14623"/>
  <c r="M11" i="14623"/>
  <c r="M14" i="14623"/>
  <c r="B7" i="14683"/>
  <c r="B10" i="14683"/>
  <c r="B8" i="14683"/>
  <c r="B9" i="14683"/>
  <c r="B13" i="14683"/>
  <c r="B11" i="14683"/>
  <c r="B12" i="14683"/>
  <c r="B6" i="14683"/>
  <c r="J66" i="14653" l="1"/>
  <c r="J23" i="14652"/>
  <c r="B9" i="14682"/>
  <c r="B7" i="14682"/>
  <c r="J19" i="14652"/>
  <c r="B23" i="14672" a="1"/>
  <c r="B23" i="14672" s="1"/>
  <c r="N25" i="14624"/>
  <c r="F25" i="14636"/>
  <c r="F25" i="14629"/>
  <c r="K25" i="14629"/>
  <c r="M25" i="14629"/>
  <c r="M19" i="14672" a="1"/>
  <c r="M19" i="14672" s="1"/>
  <c r="O77" i="14687"/>
  <c r="N62" i="14694"/>
  <c r="N54" i="14694"/>
  <c r="L25" i="14629"/>
  <c r="K25" i="14636"/>
  <c r="O74" i="14687"/>
  <c r="F32" i="4128" s="1"/>
  <c r="J25" i="14629"/>
  <c r="C25" i="14629"/>
  <c r="E17" i="14692" a="1"/>
  <c r="H25" i="14629"/>
  <c r="B44" i="14690" a="1"/>
  <c r="J5" i="14692"/>
  <c r="B23" i="11" s="1"/>
  <c r="N55" i="14694"/>
  <c r="N46" i="14694"/>
  <c r="N15" i="14629"/>
  <c r="N23" i="14694"/>
  <c r="C24" i="11" s="1"/>
  <c r="N47" i="14694"/>
  <c r="F29" i="14694"/>
  <c r="H29" i="14694"/>
  <c r="E29" i="14694"/>
  <c r="M29" i="14694"/>
  <c r="D29" i="14694"/>
  <c r="L29" i="14694"/>
  <c r="I29" i="14694"/>
  <c r="J29" i="14694"/>
  <c r="C29" i="14694"/>
  <c r="K29" i="14694"/>
  <c r="B29" i="14694"/>
  <c r="G29" i="14694"/>
  <c r="F45" i="14694"/>
  <c r="C45" i="14694"/>
  <c r="I45" i="14694"/>
  <c r="L45" i="14694"/>
  <c r="K45" i="14694"/>
  <c r="B45" i="14694"/>
  <c r="H45" i="14694"/>
  <c r="E45" i="14694"/>
  <c r="G45" i="14694"/>
  <c r="J45" i="14694"/>
  <c r="D45" i="14694"/>
  <c r="M45" i="14694"/>
  <c r="D25" i="14629"/>
  <c r="N23" i="14629"/>
  <c r="B25" i="14629"/>
  <c r="K8" i="14672"/>
  <c r="G8" i="14672"/>
  <c r="G15" i="14672" s="1"/>
  <c r="C61" i="14694"/>
  <c r="F61" i="14694"/>
  <c r="M61" i="14694"/>
  <c r="J61" i="14694"/>
  <c r="I61" i="14694"/>
  <c r="E61" i="14694"/>
  <c r="L61" i="14694"/>
  <c r="K61" i="14694"/>
  <c r="G61" i="14694"/>
  <c r="B61" i="14694"/>
  <c r="D61" i="14694"/>
  <c r="H61" i="14694"/>
  <c r="E53" i="14694"/>
  <c r="G53" i="14694"/>
  <c r="H53" i="14694"/>
  <c r="D53" i="14694"/>
  <c r="B53" i="14694"/>
  <c r="K53" i="14694"/>
  <c r="I53" i="14694"/>
  <c r="M53" i="14694"/>
  <c r="F53" i="14694"/>
  <c r="C53" i="14694"/>
  <c r="J53" i="14694"/>
  <c r="L53" i="14694"/>
  <c r="D25" i="14636"/>
  <c r="G19" i="14672" a="1"/>
  <c r="G19" i="14672" s="1"/>
  <c r="C5" i="14682" a="1"/>
  <c r="C22" i="14694"/>
  <c r="J22" i="14694"/>
  <c r="E22" i="14694"/>
  <c r="M22" i="14694"/>
  <c r="H22" i="14694"/>
  <c r="F22" i="14694"/>
  <c r="B22" i="14694"/>
  <c r="I22" i="14694"/>
  <c r="D22" i="14694"/>
  <c r="G22" i="14694"/>
  <c r="K22" i="14694"/>
  <c r="L22" i="14694"/>
  <c r="N31" i="14694"/>
  <c r="E25" i="14629"/>
  <c r="G25" i="14629"/>
  <c r="N19" i="14629"/>
  <c r="N38" i="14694"/>
  <c r="N30" i="14694"/>
  <c r="F37" i="14694"/>
  <c r="J37" i="14694"/>
  <c r="L37" i="14694"/>
  <c r="G37" i="14694"/>
  <c r="C37" i="14694"/>
  <c r="I37" i="14694"/>
  <c r="E37" i="14694"/>
  <c r="D37" i="14694"/>
  <c r="M37" i="14694"/>
  <c r="K37" i="14694"/>
  <c r="H37" i="14694"/>
  <c r="B37" i="14694"/>
  <c r="N39" i="14694"/>
  <c r="I25" i="14629"/>
  <c r="N24" i="14629"/>
  <c r="L65" i="14653"/>
  <c r="L53" i="14653"/>
  <c r="O40" i="14628"/>
  <c r="N11" i="14672"/>
  <c r="I15" i="14672"/>
  <c r="H15" i="14672"/>
  <c r="H25" i="14636"/>
  <c r="L25" i="14636"/>
  <c r="I25" i="14636"/>
  <c r="J79" i="14653"/>
  <c r="O91" i="14687"/>
  <c r="J25" i="14636"/>
  <c r="C53" i="14653"/>
  <c r="C65" i="14653"/>
  <c r="O89" i="14687"/>
  <c r="O78" i="14687"/>
  <c r="N76" i="14653"/>
  <c r="G77" i="14653"/>
  <c r="G79" i="14653" s="1"/>
  <c r="G66" i="14653"/>
  <c r="L11" i="14637"/>
  <c r="F9" i="14637"/>
  <c r="H12" i="14637"/>
  <c r="B9" i="14637"/>
  <c r="D11" i="14637"/>
  <c r="K6" i="14637"/>
  <c r="J8" i="14637"/>
  <c r="K7" i="14637"/>
  <c r="F12" i="14637"/>
  <c r="D5" i="14637"/>
  <c r="D12" i="14637"/>
  <c r="C9" i="14637"/>
  <c r="M10" i="14637"/>
  <c r="I11" i="14637"/>
  <c r="K8" i="14637"/>
  <c r="F8" i="14637"/>
  <c r="E9" i="14637"/>
  <c r="H7" i="14637"/>
  <c r="J10" i="14637"/>
  <c r="D7" i="14637"/>
  <c r="I12" i="14637"/>
  <c r="L8" i="14637"/>
  <c r="F10" i="14637"/>
  <c r="E8" i="14637"/>
  <c r="K5" i="14637"/>
  <c r="J6" i="14637"/>
  <c r="D9" i="14637"/>
  <c r="B10" i="14637"/>
  <c r="G12" i="14637"/>
  <c r="I10" i="14637"/>
  <c r="G6" i="14637"/>
  <c r="M6" i="14637"/>
  <c r="G9" i="14637"/>
  <c r="E7" i="14637"/>
  <c r="G8" i="14637"/>
  <c r="C10" i="14637"/>
  <c r="M12" i="14637"/>
  <c r="D8" i="14637"/>
  <c r="E12" i="14637"/>
  <c r="C6" i="14637"/>
  <c r="M8" i="14637"/>
  <c r="H9" i="14637"/>
  <c r="B5" i="14637"/>
  <c r="M7" i="14637"/>
  <c r="G7" i="14637"/>
  <c r="E5" i="14637"/>
  <c r="J12" i="14637"/>
  <c r="K11" i="14637"/>
  <c r="L5" i="14637"/>
  <c r="B8" i="14637"/>
  <c r="I6" i="14637"/>
  <c r="E6" i="14637"/>
  <c r="C8" i="14637"/>
  <c r="F11" i="14637"/>
  <c r="G11" i="14637"/>
  <c r="H10" i="14637"/>
  <c r="F7" i="14637"/>
  <c r="L6" i="14637"/>
  <c r="E10" i="14637"/>
  <c r="L7" i="14637"/>
  <c r="C7" i="14637"/>
  <c r="C12" i="14637"/>
  <c r="M11" i="14637"/>
  <c r="K9" i="14637"/>
  <c r="F6" i="14637"/>
  <c r="F5" i="14637"/>
  <c r="B12" i="14637"/>
  <c r="D10" i="14637"/>
  <c r="E11" i="14637"/>
  <c r="I7" i="14637"/>
  <c r="J5" i="14637"/>
  <c r="B6" i="14637"/>
  <c r="M5" i="14637"/>
  <c r="C5" i="14637"/>
  <c r="B11" i="14637"/>
  <c r="H5" i="14637"/>
  <c r="K12" i="14637"/>
  <c r="L10" i="14637"/>
  <c r="L9" i="14637"/>
  <c r="L12" i="14637"/>
  <c r="J11" i="14637"/>
  <c r="H6" i="14637"/>
  <c r="I5" i="14637"/>
  <c r="C11" i="14637"/>
  <c r="I8" i="14637"/>
  <c r="J7" i="14637"/>
  <c r="G5" i="14637"/>
  <c r="G10" i="14637"/>
  <c r="I9" i="14637"/>
  <c r="K10" i="14637"/>
  <c r="H8" i="14637"/>
  <c r="M9" i="14637"/>
  <c r="B7" i="14637"/>
  <c r="H11" i="14637"/>
  <c r="D6" i="14637"/>
  <c r="J9" i="14637"/>
  <c r="I65" i="14653"/>
  <c r="I53" i="14653"/>
  <c r="K53" i="14653"/>
  <c r="K65" i="14653"/>
  <c r="E97" i="14687"/>
  <c r="D97" i="14687"/>
  <c r="I97" i="14687"/>
  <c r="K97" i="14687"/>
  <c r="O87" i="14687"/>
  <c r="C97" i="14687"/>
  <c r="N97" i="14687"/>
  <c r="O90" i="14687"/>
  <c r="N93" i="14687"/>
  <c r="N96" i="14687"/>
  <c r="H96" i="14687"/>
  <c r="H93" i="14687"/>
  <c r="G93" i="14687"/>
  <c r="G96" i="14687"/>
  <c r="D93" i="14687"/>
  <c r="D96" i="14687"/>
  <c r="I96" i="14687"/>
  <c r="I93" i="14687"/>
  <c r="D5" i="14682" a="1"/>
  <c r="E53" i="14653"/>
  <c r="E65" i="14653"/>
  <c r="F53" i="14653"/>
  <c r="F65" i="14653"/>
  <c r="H53" i="14653"/>
  <c r="H65" i="14653"/>
  <c r="B77" i="14653"/>
  <c r="N64" i="14653"/>
  <c r="O88" i="14687"/>
  <c r="O92" i="14687"/>
  <c r="J53" i="14653"/>
  <c r="D80" i="14687"/>
  <c r="G80" i="14687"/>
  <c r="J80" i="14687"/>
  <c r="C80" i="14687"/>
  <c r="K80" i="14687"/>
  <c r="E80" i="14687"/>
  <c r="N80" i="14687"/>
  <c r="H80" i="14687"/>
  <c r="I80" i="14687"/>
  <c r="L80" i="14687"/>
  <c r="M80" i="14687"/>
  <c r="F80" i="14687"/>
  <c r="G53" i="14653"/>
  <c r="B65" i="14653"/>
  <c r="B53" i="14653"/>
  <c r="N52" i="14653"/>
  <c r="B5" i="14668" a="1"/>
  <c r="N40" i="14653"/>
  <c r="D53" i="14653"/>
  <c r="D65" i="14653"/>
  <c r="M53" i="14653"/>
  <c r="M65" i="14653"/>
  <c r="F97" i="14687"/>
  <c r="M97" i="14687"/>
  <c r="G97" i="14687"/>
  <c r="H97" i="14687"/>
  <c r="J97" i="14687"/>
  <c r="L97" i="14687"/>
  <c r="F93" i="14687"/>
  <c r="F96" i="14687"/>
  <c r="E96" i="14687"/>
  <c r="E93" i="14687"/>
  <c r="M96" i="14687"/>
  <c r="M93" i="14687"/>
  <c r="L93" i="14687"/>
  <c r="L96" i="14687"/>
  <c r="C96" i="14687"/>
  <c r="C93" i="14687"/>
  <c r="B7" i="14673" a="1"/>
  <c r="C99" i="14687" a="1"/>
  <c r="O85" i="14687"/>
  <c r="K93" i="14687"/>
  <c r="K96" i="14687"/>
  <c r="J93" i="14687"/>
  <c r="J96" i="14687"/>
  <c r="L19" i="14672" a="1"/>
  <c r="L19" i="14672" s="1"/>
  <c r="C15" i="14672"/>
  <c r="K19" i="14672" a="1"/>
  <c r="K19" i="14672" s="1"/>
  <c r="M15" i="14672"/>
  <c r="C19" i="14672" a="1"/>
  <c r="C19" i="14672" s="1"/>
  <c r="D15" i="14672"/>
  <c r="L15" i="14672"/>
  <c r="I19" i="14672" a="1"/>
  <c r="I19" i="14672" s="1"/>
  <c r="F15" i="14672"/>
  <c r="N10" i="14672"/>
  <c r="N15" i="14636"/>
  <c r="B24" i="14672"/>
  <c r="J23" i="14672"/>
  <c r="N23" i="14636"/>
  <c r="E19" i="14672" a="1"/>
  <c r="E19" i="14672" s="1"/>
  <c r="D19" i="14672" a="1"/>
  <c r="D19" i="14672" s="1"/>
  <c r="B19" i="14672" a="1"/>
  <c r="B19" i="14672" s="1"/>
  <c r="N9" i="14672"/>
  <c r="N7" i="14672"/>
  <c r="B15" i="14672"/>
  <c r="N12" i="14672"/>
  <c r="N14" i="14672"/>
  <c r="J19" i="14672" a="1"/>
  <c r="J19" i="14672" s="1"/>
  <c r="J15" i="14672"/>
  <c r="N13" i="14672"/>
  <c r="H19" i="14672" a="1"/>
  <c r="H19" i="14672" s="1"/>
  <c r="E15" i="14672"/>
  <c r="F19" i="14672" a="1"/>
  <c r="F19" i="14672" s="1"/>
  <c r="N24" i="14636"/>
  <c r="G25" i="14636"/>
  <c r="M25" i="14636"/>
  <c r="N19" i="14636"/>
  <c r="E25" i="14636"/>
  <c r="B40" i="7" a="1"/>
  <c r="H40" i="7" s="1"/>
  <c r="C9" i="14657"/>
  <c r="I38" i="14634"/>
  <c r="C32" i="14634"/>
  <c r="C40" i="14634" s="1"/>
  <c r="L8" i="14632"/>
  <c r="N37" i="14634"/>
  <c r="I31" i="14634"/>
  <c r="G8" i="14632"/>
  <c r="L11" i="14632"/>
  <c r="L9" i="14632"/>
  <c r="F37" i="14634"/>
  <c r="K34" i="14634"/>
  <c r="C37" i="14634"/>
  <c r="C8" i="14632"/>
  <c r="M36" i="14634"/>
  <c r="L14" i="14632"/>
  <c r="E8" i="14632"/>
  <c r="M8" i="14632"/>
  <c r="L33" i="14634"/>
  <c r="F32" i="14634"/>
  <c r="F40" i="14634" s="1"/>
  <c r="C31" i="14634"/>
  <c r="F38" i="14634"/>
  <c r="I37" i="14634"/>
  <c r="E37" i="14634"/>
  <c r="H12" i="14632"/>
  <c r="J38" i="14634"/>
  <c r="C38" i="14634"/>
  <c r="G10" i="14632"/>
  <c r="M10" i="14632"/>
  <c r="J13" i="14632"/>
  <c r="B12" i="14632"/>
  <c r="L12" i="14632"/>
  <c r="D32" i="14634"/>
  <c r="D40" i="14634" s="1"/>
  <c r="M31" i="14634"/>
  <c r="M32" i="14634"/>
  <c r="M40" i="14634" s="1"/>
  <c r="L38" i="14634"/>
  <c r="G36" i="14634"/>
  <c r="F33" i="14634"/>
  <c r="G32" i="14634"/>
  <c r="G40" i="14634" s="1"/>
  <c r="I34" i="14634"/>
  <c r="K37" i="14634"/>
  <c r="L35" i="14634"/>
  <c r="D38" i="14634"/>
  <c r="I32" i="14634"/>
  <c r="I40" i="14634" s="1"/>
  <c r="J12" i="14632"/>
  <c r="H32" i="14634"/>
  <c r="H40" i="14634" s="1"/>
  <c r="D36" i="14634"/>
  <c r="C53" i="14643" a="1"/>
  <c r="C58" i="14643" s="1"/>
  <c r="B5" i="14631" a="1"/>
  <c r="M5" i="14631" s="1"/>
  <c r="B32" i="14630" a="1"/>
  <c r="F34" i="14630" s="1"/>
  <c r="L31" i="14634"/>
  <c r="K33" i="14634"/>
  <c r="N35" i="14634"/>
  <c r="E35" i="14634"/>
  <c r="K36" i="14634"/>
  <c r="E38" i="14634"/>
  <c r="C34" i="14634"/>
  <c r="D33" i="14634"/>
  <c r="K35" i="14634"/>
  <c r="J33" i="14634"/>
  <c r="I36" i="14634"/>
  <c r="M38" i="14634"/>
  <c r="L37" i="14634"/>
  <c r="J35" i="14634"/>
  <c r="N33" i="14634"/>
  <c r="I35" i="14634"/>
  <c r="D31" i="14634"/>
  <c r="D34" i="14634"/>
  <c r="L34" i="14634"/>
  <c r="G33" i="14634"/>
  <c r="L36" i="14634"/>
  <c r="D35" i="14634"/>
  <c r="H37" i="14634"/>
  <c r="G38" i="14634"/>
  <c r="J36" i="14634"/>
  <c r="K38" i="14634"/>
  <c r="E31" i="14634"/>
  <c r="H31" i="14634"/>
  <c r="H35" i="14634"/>
  <c r="D37" i="14634"/>
  <c r="I14" i="14632"/>
  <c r="H8" i="14632"/>
  <c r="K8" i="14632"/>
  <c r="F7" i="14632"/>
  <c r="D14" i="14632"/>
  <c r="L10" i="14632"/>
  <c r="D12" i="14632"/>
  <c r="E9" i="14632"/>
  <c r="E14" i="14632"/>
  <c r="K10" i="14632"/>
  <c r="C9" i="14632"/>
  <c r="H10" i="14632"/>
  <c r="M14" i="14632"/>
  <c r="F11" i="14632"/>
  <c r="F12" i="14632"/>
  <c r="E12" i="14632"/>
  <c r="M37" i="14634"/>
  <c r="J34" i="14634"/>
  <c r="D7" i="14632"/>
  <c r="H11" i="14632"/>
  <c r="I8" i="14632"/>
  <c r="K9" i="14632"/>
  <c r="C10" i="14632"/>
  <c r="E13" i="14632"/>
  <c r="E36" i="14634"/>
  <c r="M34" i="14634"/>
  <c r="F34" i="14634"/>
  <c r="K31" i="14634"/>
  <c r="L32" i="14634"/>
  <c r="L40" i="14634" s="1"/>
  <c r="M35" i="14634"/>
  <c r="C36" i="14634"/>
  <c r="G34" i="14634"/>
  <c r="E32" i="14634"/>
  <c r="E40" i="14634" s="1"/>
  <c r="C14" i="14632"/>
  <c r="N34" i="14634"/>
  <c r="N38" i="14634"/>
  <c r="N32" i="14634"/>
  <c r="N40" i="14634" s="1"/>
  <c r="I11" i="14632"/>
  <c r="B11" i="14632"/>
  <c r="F10" i="14632"/>
  <c r="I7" i="14632"/>
  <c r="K12" i="14632"/>
  <c r="M13" i="14632"/>
  <c r="L13" i="14632"/>
  <c r="M12" i="14632"/>
  <c r="D10" i="14632"/>
  <c r="K14" i="14632"/>
  <c r="F8" i="14632"/>
  <c r="J10" i="14632"/>
  <c r="E10" i="14632"/>
  <c r="G9" i="14632"/>
  <c r="J7" i="14632"/>
  <c r="I12" i="14632"/>
  <c r="D11" i="14632"/>
  <c r="F14" i="14632"/>
  <c r="M11" i="14632"/>
  <c r="G12" i="14632"/>
  <c r="B13" i="14632"/>
  <c r="K13" i="14632"/>
  <c r="D9" i="14632"/>
  <c r="G11" i="14632"/>
  <c r="N18" i="14681"/>
  <c r="D23" i="14657" s="1"/>
  <c r="K7" i="14632"/>
  <c r="E11" i="14632"/>
  <c r="B7" i="14632"/>
  <c r="H13" i="14632"/>
  <c r="D8" i="14632"/>
  <c r="B10" i="14632"/>
  <c r="G7" i="14632"/>
  <c r="C12" i="14632"/>
  <c r="G13" i="14632"/>
  <c r="G14" i="14632"/>
  <c r="B9" i="14632"/>
  <c r="J9" i="14632"/>
  <c r="H9" i="14632"/>
  <c r="E7" i="14632"/>
  <c r="H33" i="14634"/>
  <c r="I33" i="14634"/>
  <c r="C35" i="14634"/>
  <c r="H36" i="14634"/>
  <c r="K11" i="14632"/>
  <c r="B14" i="14632"/>
  <c r="C24" i="14707" a="1"/>
  <c r="C25" i="14707" s="1"/>
  <c r="K32" i="14634"/>
  <c r="K40" i="14634" s="1"/>
  <c r="J37" i="14634"/>
  <c r="J31" i="14634"/>
  <c r="J32" i="14634"/>
  <c r="J40" i="14634" s="1"/>
  <c r="G31" i="14634"/>
  <c r="G35" i="14634"/>
  <c r="C19" i="14683" a="1"/>
  <c r="C26" i="14683" s="1"/>
  <c r="N25" i="14630"/>
  <c r="K26" i="14698"/>
  <c r="F13" i="14632"/>
  <c r="I13" i="14632"/>
  <c r="C13" i="14632"/>
  <c r="I9" i="14632"/>
  <c r="B8" i="14632"/>
  <c r="C7" i="14632"/>
  <c r="H38" i="14634"/>
  <c r="H34" i="14634"/>
  <c r="E33" i="14634"/>
  <c r="F31" i="14634"/>
  <c r="E34" i="14634"/>
  <c r="N31" i="14634"/>
  <c r="F36" i="14634"/>
  <c r="C33" i="14634"/>
  <c r="N36" i="14634"/>
  <c r="M33" i="14634"/>
  <c r="G37" i="14634"/>
  <c r="C11" i="14632"/>
  <c r="I10" i="14632"/>
  <c r="H7" i="14632"/>
  <c r="J11" i="14632"/>
  <c r="D13" i="14632"/>
  <c r="J8" i="14632"/>
  <c r="L7" i="14632"/>
  <c r="F9" i="14632"/>
  <c r="M9" i="14632"/>
  <c r="J14" i="14632"/>
  <c r="H14" i="14632"/>
  <c r="G27" i="14698"/>
  <c r="J22" i="14698"/>
  <c r="M20" i="14698"/>
  <c r="F25" i="14698"/>
  <c r="L27" i="14698"/>
  <c r="I22" i="14698"/>
  <c r="J25" i="14698"/>
  <c r="M21" i="14698"/>
  <c r="M22" i="14698"/>
  <c r="D27" i="14698"/>
  <c r="B23" i="14698"/>
  <c r="J26" i="14698"/>
  <c r="D21" i="14698"/>
  <c r="E24" i="14698"/>
  <c r="G25" i="14698"/>
  <c r="H26" i="14698"/>
  <c r="J20" i="14698"/>
  <c r="H20" i="14698"/>
  <c r="D25" i="14698"/>
  <c r="C23" i="14698"/>
  <c r="L23" i="14698"/>
  <c r="E20" i="14698"/>
  <c r="G20" i="14698"/>
  <c r="G21" i="14698"/>
  <c r="D22" i="14698"/>
  <c r="L21" i="14698"/>
  <c r="I25" i="14698"/>
  <c r="E22" i="14698"/>
  <c r="J24" i="14698"/>
  <c r="F27" i="14698"/>
  <c r="B25" i="14698"/>
  <c r="L26" i="14698"/>
  <c r="D20" i="14698"/>
  <c r="K25" i="14698"/>
  <c r="F22" i="14698"/>
  <c r="F26" i="14698"/>
  <c r="E27" i="14698"/>
  <c r="L22" i="14698"/>
  <c r="F20" i="14698"/>
  <c r="C20" i="14698"/>
  <c r="I26" i="14698"/>
  <c r="B20" i="14698"/>
  <c r="K24" i="14698"/>
  <c r="D23" i="14698"/>
  <c r="M23" i="14698"/>
  <c r="C25" i="14698"/>
  <c r="K21" i="14698"/>
  <c r="H22" i="14698"/>
  <c r="C22" i="14698"/>
  <c r="E26" i="14698"/>
  <c r="M26" i="14698"/>
  <c r="G26" i="14698"/>
  <c r="K22" i="14698"/>
  <c r="C21" i="14698"/>
  <c r="F23" i="14698"/>
  <c r="K23" i="14698"/>
  <c r="K20" i="14698"/>
  <c r="F24" i="14698"/>
  <c r="M24" i="14698"/>
  <c r="H25" i="14698"/>
  <c r="J21" i="14698"/>
  <c r="B22" i="14698"/>
  <c r="I24" i="14698"/>
  <c r="L25" i="14698"/>
  <c r="B21" i="14698"/>
  <c r="G23" i="14698"/>
  <c r="B26" i="14698"/>
  <c r="D24" i="14698"/>
  <c r="C24" i="14698"/>
  <c r="F21" i="14698"/>
  <c r="L20" i="14698"/>
  <c r="L24" i="14698"/>
  <c r="G24" i="14698"/>
  <c r="D26" i="14698"/>
  <c r="J23" i="14698"/>
  <c r="H27" i="14698"/>
  <c r="M27" i="14698"/>
  <c r="B27" i="14698"/>
  <c r="I23" i="14698"/>
  <c r="M25" i="14698"/>
  <c r="I27" i="14698"/>
  <c r="G22" i="14698"/>
  <c r="I21" i="14698"/>
  <c r="E23" i="14698"/>
  <c r="H23" i="14698"/>
  <c r="B24" i="14698"/>
  <c r="E21" i="14698"/>
  <c r="K27" i="14698"/>
  <c r="I20" i="14698"/>
  <c r="E25" i="14698"/>
  <c r="H21" i="14698"/>
  <c r="J27" i="14698"/>
  <c r="C27" i="14698"/>
  <c r="H24" i="14698"/>
  <c r="D6" i="14683" a="1"/>
  <c r="D13" i="14683" s="1"/>
  <c r="O36" i="14628"/>
  <c r="O32" i="14628"/>
  <c r="B25" i="14703"/>
  <c r="C20" i="14703"/>
  <c r="C24" i="14703"/>
  <c r="B27" i="14703"/>
  <c r="K24" i="14703"/>
  <c r="L27" i="14703"/>
  <c r="K23" i="14703"/>
  <c r="B24" i="14703"/>
  <c r="G26" i="14703"/>
  <c r="I20" i="14703"/>
  <c r="H26" i="14703"/>
  <c r="F27" i="14703"/>
  <c r="E21" i="14703"/>
  <c r="J22" i="14703"/>
  <c r="K22" i="14703"/>
  <c r="C26" i="14703"/>
  <c r="K27" i="14703"/>
  <c r="L21" i="14703"/>
  <c r="D21" i="14703"/>
  <c r="G24" i="14703"/>
  <c r="E20" i="14703"/>
  <c r="I23" i="14703"/>
  <c r="J21" i="14703"/>
  <c r="M22" i="14703"/>
  <c r="I21" i="14703"/>
  <c r="C23" i="14703"/>
  <c r="K20" i="14703"/>
  <c r="M21" i="14703"/>
  <c r="H24" i="14703"/>
  <c r="I22" i="14703"/>
  <c r="E27" i="14703"/>
  <c r="L26" i="14703"/>
  <c r="J26" i="14703"/>
  <c r="G25" i="14703"/>
  <c r="G20" i="14703"/>
  <c r="J25" i="14703"/>
  <c r="D23" i="14703"/>
  <c r="C22" i="14703"/>
  <c r="H27" i="14703"/>
  <c r="E24" i="14703"/>
  <c r="D20" i="14703"/>
  <c r="J24" i="14703"/>
  <c r="C25" i="14703"/>
  <c r="K21" i="14703"/>
  <c r="F25" i="14703"/>
  <c r="F26" i="14703"/>
  <c r="B23" i="14703"/>
  <c r="L25" i="14703"/>
  <c r="I26" i="14703"/>
  <c r="J23" i="14703"/>
  <c r="F20" i="14703"/>
  <c r="F24" i="14703"/>
  <c r="C21" i="14703"/>
  <c r="G21" i="14703"/>
  <c r="L23" i="14703"/>
  <c r="H25" i="14703"/>
  <c r="H20" i="14703"/>
  <c r="M25" i="14703"/>
  <c r="M26" i="14703"/>
  <c r="B20" i="14703"/>
  <c r="H22" i="14703"/>
  <c r="K26" i="14703"/>
  <c r="E23" i="14703"/>
  <c r="G23" i="14703"/>
  <c r="M20" i="14703"/>
  <c r="E25" i="14703"/>
  <c r="F23" i="14703"/>
  <c r="E26" i="14703"/>
  <c r="M23" i="14703"/>
  <c r="J27" i="14703"/>
  <c r="M24" i="14703"/>
  <c r="L22" i="14703"/>
  <c r="I27" i="14703"/>
  <c r="B26" i="14703"/>
  <c r="C27" i="14703"/>
  <c r="M27" i="14703"/>
  <c r="L20" i="14703"/>
  <c r="B22" i="14703"/>
  <c r="L24" i="14703"/>
  <c r="G27" i="14703"/>
  <c r="J20" i="14703"/>
  <c r="D26" i="14703"/>
  <c r="F21" i="14703"/>
  <c r="I25" i="14703"/>
  <c r="D22" i="14703"/>
  <c r="D25" i="14703"/>
  <c r="E22" i="14703"/>
  <c r="B21" i="14703"/>
  <c r="K25" i="14703"/>
  <c r="F22" i="14703"/>
  <c r="G22" i="14703"/>
  <c r="H21" i="14703"/>
  <c r="I24" i="14703"/>
  <c r="D27" i="14703"/>
  <c r="H23" i="14703"/>
  <c r="D24" i="14703"/>
  <c r="J6" i="14667"/>
  <c r="I21" i="14623" a="1"/>
  <c r="I21" i="14623" s="1"/>
  <c r="H15" i="14623"/>
  <c r="M25" i="14623" a="1"/>
  <c r="M25" i="14623" s="1"/>
  <c r="H20" i="14623" a="1"/>
  <c r="H20" i="14623" s="1"/>
  <c r="K23" i="14623" a="1"/>
  <c r="K23" i="14623" s="1"/>
  <c r="L24" i="14623" a="1"/>
  <c r="L24" i="14623" s="1"/>
  <c r="J22" i="14623" a="1"/>
  <c r="J22" i="14623" s="1"/>
  <c r="N26" i="14623" a="1"/>
  <c r="N26" i="14623" s="1"/>
  <c r="E22" i="14623" a="1"/>
  <c r="E22" i="14623" s="1"/>
  <c r="D21" i="14623" a="1"/>
  <c r="D21" i="14623" s="1"/>
  <c r="I26" i="14623" a="1"/>
  <c r="I26" i="14623" s="1"/>
  <c r="C15" i="14623"/>
  <c r="C20" i="14623" a="1"/>
  <c r="C20" i="14623" s="1"/>
  <c r="G24" i="14623" a="1"/>
  <c r="G24" i="14623" s="1"/>
  <c r="F23" i="14623" a="1"/>
  <c r="F23" i="14623" s="1"/>
  <c r="H25" i="14623" a="1"/>
  <c r="H25" i="14623" s="1"/>
  <c r="F22" i="14623" a="1"/>
  <c r="F22" i="14623" s="1"/>
  <c r="D20" i="14623" a="1"/>
  <c r="D20" i="14623" s="1"/>
  <c r="H24" i="14623" a="1"/>
  <c r="H24" i="14623" s="1"/>
  <c r="D15" i="14623"/>
  <c r="G23" i="14623" a="1"/>
  <c r="G23" i="14623" s="1"/>
  <c r="J26" i="14623" a="1"/>
  <c r="J26" i="14623" s="1"/>
  <c r="E21" i="14623" a="1"/>
  <c r="E21" i="14623" s="1"/>
  <c r="I25" i="14623" a="1"/>
  <c r="I25" i="14623" s="1"/>
  <c r="N8" i="14623"/>
  <c r="J25" i="14623" a="1"/>
  <c r="J25" i="14623" s="1"/>
  <c r="H23" i="14623" a="1"/>
  <c r="H23" i="14623" s="1"/>
  <c r="F21" i="14623" a="1"/>
  <c r="F21" i="14623" s="1"/>
  <c r="E15" i="14623"/>
  <c r="G22" i="14623" a="1"/>
  <c r="G22" i="14623" s="1"/>
  <c r="K26" i="14623" a="1"/>
  <c r="K26" i="14623" s="1"/>
  <c r="E20" i="14623" a="1"/>
  <c r="E20" i="14623" s="1"/>
  <c r="I24" i="14623" a="1"/>
  <c r="I24" i="14623" s="1"/>
  <c r="N9" i="14623"/>
  <c r="N11" i="14623"/>
  <c r="P25" i="14623" a="1"/>
  <c r="P25" i="14623" s="1"/>
  <c r="K20" i="14623" a="1"/>
  <c r="K20" i="14623" s="1"/>
  <c r="K15" i="14623"/>
  <c r="O24" i="14623" a="1"/>
  <c r="O24" i="14623" s="1"/>
  <c r="Q26" i="14623" a="1"/>
  <c r="Q26" i="14623" s="1"/>
  <c r="L21" i="14623" a="1"/>
  <c r="L21" i="14623" s="1"/>
  <c r="M22" i="14623" a="1"/>
  <c r="M22" i="14623" s="1"/>
  <c r="N23" i="14623" a="1"/>
  <c r="N23" i="14623" s="1"/>
  <c r="N13" i="14623"/>
  <c r="H19" i="14628" a="1"/>
  <c r="H19" i="14628" s="1"/>
  <c r="H39" i="14628"/>
  <c r="F19" i="14628" a="1"/>
  <c r="F19" i="14628" s="1"/>
  <c r="F39" i="14628"/>
  <c r="E39" i="14628"/>
  <c r="E19" i="14628" a="1"/>
  <c r="E19" i="14628" s="1"/>
  <c r="O37" i="14628"/>
  <c r="G39" i="14628"/>
  <c r="G19" i="14628" a="1"/>
  <c r="G19" i="14628" s="1"/>
  <c r="C19" i="14628" a="1"/>
  <c r="C19" i="14628" s="1"/>
  <c r="O31" i="14628"/>
  <c r="C39" i="14628"/>
  <c r="M19" i="14628" a="1"/>
  <c r="M19" i="14628" s="1"/>
  <c r="M39" i="14628"/>
  <c r="N19" i="14628" a="1"/>
  <c r="N19" i="14628" s="1"/>
  <c r="N39" i="14628"/>
  <c r="O33" i="14628"/>
  <c r="E28" i="14661"/>
  <c r="M38" i="7"/>
  <c r="G33" i="7"/>
  <c r="K38" i="7"/>
  <c r="D38" i="7"/>
  <c r="K35" i="7"/>
  <c r="M32" i="7"/>
  <c r="C37" i="7"/>
  <c r="I38" i="7"/>
  <c r="D39" i="7"/>
  <c r="L32" i="7"/>
  <c r="M36" i="7"/>
  <c r="B38" i="7"/>
  <c r="G39" i="7"/>
  <c r="B36" i="7"/>
  <c r="H39" i="7"/>
  <c r="F33" i="7"/>
  <c r="K34" i="7"/>
  <c r="C36" i="7"/>
  <c r="K36" i="7"/>
  <c r="J33" i="7"/>
  <c r="F39" i="7"/>
  <c r="C35" i="7"/>
  <c r="D36" i="7"/>
  <c r="B39" i="7"/>
  <c r="E34" i="7"/>
  <c r="I35" i="7"/>
  <c r="F34" i="7"/>
  <c r="I34" i="7"/>
  <c r="B37" i="7"/>
  <c r="E32" i="7"/>
  <c r="G37" i="7"/>
  <c r="J38" i="7"/>
  <c r="D34" i="7"/>
  <c r="L38" i="7"/>
  <c r="L37" i="7"/>
  <c r="M37" i="7"/>
  <c r="H33" i="7"/>
  <c r="H36" i="7"/>
  <c r="K33" i="7"/>
  <c r="C34" i="7"/>
  <c r="D33" i="7"/>
  <c r="F38" i="7"/>
  <c r="J39" i="7"/>
  <c r="D37" i="7"/>
  <c r="I36" i="7"/>
  <c r="K32" i="7"/>
  <c r="C33" i="7"/>
  <c r="K39" i="7"/>
  <c r="E36" i="7"/>
  <c r="G32" i="7"/>
  <c r="L34" i="7"/>
  <c r="L36" i="7"/>
  <c r="H32" i="7"/>
  <c r="L39" i="7"/>
  <c r="B32" i="7"/>
  <c r="B35" i="7"/>
  <c r="J37" i="7"/>
  <c r="G35" i="7"/>
  <c r="H34" i="7"/>
  <c r="M39" i="7"/>
  <c r="M35" i="7"/>
  <c r="L33" i="7"/>
  <c r="J34" i="7"/>
  <c r="M34" i="7"/>
  <c r="C32" i="7"/>
  <c r="I33" i="7"/>
  <c r="E39" i="7"/>
  <c r="G36" i="7"/>
  <c r="I37" i="7"/>
  <c r="G38" i="7"/>
  <c r="D35" i="7"/>
  <c r="B33" i="7"/>
  <c r="E33" i="7"/>
  <c r="E37" i="7"/>
  <c r="F32" i="7"/>
  <c r="K37" i="7"/>
  <c r="H38" i="7"/>
  <c r="H35" i="7"/>
  <c r="H37" i="7"/>
  <c r="J32" i="7"/>
  <c r="J35" i="7"/>
  <c r="B34" i="7"/>
  <c r="J36" i="7"/>
  <c r="F36" i="7"/>
  <c r="C38" i="7"/>
  <c r="D32" i="7"/>
  <c r="L35" i="7"/>
  <c r="C39" i="7"/>
  <c r="E35" i="7"/>
  <c r="F35" i="7"/>
  <c r="F37" i="7"/>
  <c r="M33" i="7"/>
  <c r="I39" i="7"/>
  <c r="G34" i="7"/>
  <c r="E38" i="7"/>
  <c r="I32" i="7"/>
  <c r="C44" i="14643"/>
  <c r="C46" i="14643"/>
  <c r="C41" i="14643"/>
  <c r="C43" i="14643"/>
  <c r="C42" i="14643"/>
  <c r="C45" i="14643"/>
  <c r="C40" i="14643"/>
  <c r="C47" i="14643"/>
  <c r="D50" i="14695"/>
  <c r="G50" i="14695"/>
  <c r="I50" i="14695"/>
  <c r="K50" i="14695"/>
  <c r="B50" i="14695"/>
  <c r="H50" i="14695"/>
  <c r="M50" i="14695"/>
  <c r="F50" i="14695"/>
  <c r="J50" i="14695"/>
  <c r="E50" i="14695"/>
  <c r="C50" i="14695"/>
  <c r="L50" i="14695"/>
  <c r="K29" i="14695"/>
  <c r="D29" i="14695"/>
  <c r="M29" i="14695"/>
  <c r="J29" i="14695"/>
  <c r="F29" i="14695"/>
  <c r="C29" i="14695"/>
  <c r="H29" i="14695"/>
  <c r="E29" i="14695"/>
  <c r="B29" i="14695"/>
  <c r="I29" i="14695"/>
  <c r="L29" i="14695"/>
  <c r="G29" i="14695"/>
  <c r="N58" i="14695"/>
  <c r="N37" i="14695"/>
  <c r="E14" i="14652"/>
  <c r="G13" i="14652"/>
  <c r="G28" i="14661"/>
  <c r="N10" i="14623"/>
  <c r="G20" i="14623" a="1"/>
  <c r="G20" i="14623" s="1"/>
  <c r="H21" i="14623" a="1"/>
  <c r="H21" i="14623" s="1"/>
  <c r="I22" i="14623" a="1"/>
  <c r="I22" i="14623" s="1"/>
  <c r="K24" i="14623" a="1"/>
  <c r="K24" i="14623" s="1"/>
  <c r="J23" i="14623" a="1"/>
  <c r="J23" i="14623" s="1"/>
  <c r="M26" i="14623" a="1"/>
  <c r="M26" i="14623" s="1"/>
  <c r="L25" i="14623" a="1"/>
  <c r="L25" i="14623" s="1"/>
  <c r="G15" i="14623"/>
  <c r="G21" i="14623" a="1"/>
  <c r="G21" i="14623" s="1"/>
  <c r="H22" i="14623" a="1"/>
  <c r="H22" i="14623" s="1"/>
  <c r="I23" i="14623" a="1"/>
  <c r="I23" i="14623" s="1"/>
  <c r="F20" i="14623" a="1"/>
  <c r="F20" i="14623" s="1"/>
  <c r="K25" i="14623" a="1"/>
  <c r="K25" i="14623" s="1"/>
  <c r="J24" i="14623" a="1"/>
  <c r="J24" i="14623" s="1"/>
  <c r="F15" i="14623"/>
  <c r="L26" i="14623" a="1"/>
  <c r="L26" i="14623" s="1"/>
  <c r="H26" i="14623" a="1"/>
  <c r="H26" i="14623" s="1"/>
  <c r="B20" i="14623" a="1"/>
  <c r="B20" i="14623" s="1"/>
  <c r="E23" i="14623" a="1"/>
  <c r="E23" i="14623" s="1"/>
  <c r="G25" i="14623" a="1"/>
  <c r="G25" i="14623" s="1"/>
  <c r="C21" i="14623" a="1"/>
  <c r="C21" i="14623" s="1"/>
  <c r="D22" i="14623" a="1"/>
  <c r="D22" i="14623" s="1"/>
  <c r="F24" i="14623" a="1"/>
  <c r="F24" i="14623" s="1"/>
  <c r="B15" i="14623"/>
  <c r="N7" i="14623"/>
  <c r="Q24" i="14623" a="1"/>
  <c r="Q24" i="14623" s="1"/>
  <c r="O22" i="14623" a="1"/>
  <c r="O22" i="14623" s="1"/>
  <c r="M15" i="14623"/>
  <c r="M20" i="14623" a="1"/>
  <c r="M20" i="14623" s="1"/>
  <c r="P23" i="14623" a="1"/>
  <c r="P23" i="14623" s="1"/>
  <c r="S26" i="14623" a="1"/>
  <c r="S26" i="14623" s="1"/>
  <c r="R25" i="14623" a="1"/>
  <c r="R25" i="14623" s="1"/>
  <c r="N21" i="14623" a="1"/>
  <c r="N21" i="14623" s="1"/>
  <c r="M24" i="14623" a="1"/>
  <c r="M24" i="14623" s="1"/>
  <c r="K22" i="14623" a="1"/>
  <c r="K22" i="14623" s="1"/>
  <c r="J21" i="14623" a="1"/>
  <c r="J21" i="14623" s="1"/>
  <c r="I15" i="14623"/>
  <c r="L23" i="14623" a="1"/>
  <c r="L23" i="14623" s="1"/>
  <c r="O26" i="14623" a="1"/>
  <c r="O26" i="14623" s="1"/>
  <c r="I20" i="14623" a="1"/>
  <c r="I20" i="14623" s="1"/>
  <c r="N25" i="14623" a="1"/>
  <c r="N25" i="14623" s="1"/>
  <c r="M21" i="14623" a="1"/>
  <c r="M21" i="14623" s="1"/>
  <c r="L20" i="14623" a="1"/>
  <c r="L20" i="14623" s="1"/>
  <c r="P24" i="14623" a="1"/>
  <c r="P24" i="14623" s="1"/>
  <c r="L15" i="14623"/>
  <c r="O23" i="14623" a="1"/>
  <c r="O23" i="14623" s="1"/>
  <c r="N22" i="14623" a="1"/>
  <c r="N22" i="14623" s="1"/>
  <c r="Q25" i="14623" a="1"/>
  <c r="Q25" i="14623" s="1"/>
  <c r="R26" i="14623" a="1"/>
  <c r="R26" i="14623" s="1"/>
  <c r="N12" i="14623"/>
  <c r="N14" i="14623"/>
  <c r="O25" i="14623" a="1"/>
  <c r="O25" i="14623" s="1"/>
  <c r="K21" i="14623" a="1"/>
  <c r="K21" i="14623" s="1"/>
  <c r="P26" i="14623" a="1"/>
  <c r="P26" i="14623" s="1"/>
  <c r="J20" i="14623" a="1"/>
  <c r="J20" i="14623" s="1"/>
  <c r="N24" i="14623" a="1"/>
  <c r="N24" i="14623" s="1"/>
  <c r="L22" i="14623" a="1"/>
  <c r="L22" i="14623" s="1"/>
  <c r="J15" i="14623"/>
  <c r="M23" i="14623" a="1"/>
  <c r="M23" i="14623" s="1"/>
  <c r="O38" i="14628"/>
  <c r="L39" i="14628"/>
  <c r="L19" i="14628" a="1"/>
  <c r="L19" i="14628" s="1"/>
  <c r="O34" i="14628"/>
  <c r="J39" i="14628"/>
  <c r="J19" i="14628" a="1"/>
  <c r="J19" i="14628" s="1"/>
  <c r="D19" i="14628" a="1"/>
  <c r="D19" i="14628" s="1"/>
  <c r="D39" i="14628"/>
  <c r="K19" i="14628" a="1"/>
  <c r="K19" i="14628" s="1"/>
  <c r="K39" i="14628"/>
  <c r="I19" i="14628" a="1"/>
  <c r="I19" i="14628" s="1"/>
  <c r="I39" i="14628"/>
  <c r="O35" i="14628"/>
  <c r="F28" i="14661"/>
  <c r="H28" i="14661"/>
  <c r="D11" i="14707" a="1"/>
  <c r="I5" i="8"/>
  <c r="D5" i="8"/>
  <c r="M5" i="8"/>
  <c r="B5" i="8"/>
  <c r="J5" i="8"/>
  <c r="E5" i="8"/>
  <c r="F5" i="8"/>
  <c r="G5" i="8"/>
  <c r="H5" i="8"/>
  <c r="L5" i="8"/>
  <c r="C5" i="8"/>
  <c r="K5" i="8"/>
  <c r="B23" i="14683"/>
  <c r="B26" i="14683"/>
  <c r="B25" i="14683"/>
  <c r="B21" i="14683"/>
  <c r="B20" i="14683"/>
  <c r="B22" i="14683"/>
  <c r="B19" i="14683"/>
  <c r="B24" i="14683"/>
  <c r="B26" i="14707"/>
  <c r="B30" i="14707"/>
  <c r="B31" i="14707"/>
  <c r="B24" i="14707"/>
  <c r="B27" i="14707"/>
  <c r="B28" i="14707"/>
  <c r="B25" i="14707"/>
  <c r="B29" i="14707"/>
  <c r="B22" i="14682"/>
  <c r="B21" i="14682"/>
  <c r="M36" i="14695"/>
  <c r="K36" i="14695"/>
  <c r="F36" i="14695"/>
  <c r="J36" i="14695"/>
  <c r="H36" i="14695"/>
  <c r="C36" i="14695"/>
  <c r="D36" i="14695"/>
  <c r="B36" i="14695"/>
  <c r="E36" i="14695"/>
  <c r="I36" i="14695"/>
  <c r="L36" i="14695"/>
  <c r="G36" i="14695"/>
  <c r="L43" i="14695"/>
  <c r="K43" i="14695"/>
  <c r="B43" i="14695"/>
  <c r="F43" i="14695"/>
  <c r="E43" i="14695"/>
  <c r="J43" i="14695"/>
  <c r="I43" i="14695"/>
  <c r="D43" i="14695"/>
  <c r="G43" i="14695"/>
  <c r="H43" i="14695"/>
  <c r="C43" i="14695"/>
  <c r="M43" i="14695"/>
  <c r="I22" i="14695"/>
  <c r="D22" i="14695"/>
  <c r="H22" i="14695"/>
  <c r="J22" i="14695"/>
  <c r="E22" i="14695"/>
  <c r="M22" i="14695"/>
  <c r="G22" i="14695"/>
  <c r="K22" i="14695"/>
  <c r="B22" i="14695"/>
  <c r="C22" i="14695"/>
  <c r="L22" i="14695"/>
  <c r="F22" i="14695"/>
  <c r="C57" i="14695"/>
  <c r="J57" i="14695"/>
  <c r="B57" i="14695"/>
  <c r="H57" i="14695"/>
  <c r="G57" i="14695"/>
  <c r="D57" i="14695"/>
  <c r="L57" i="14695"/>
  <c r="E57" i="14695"/>
  <c r="K57" i="14695"/>
  <c r="I57" i="14695"/>
  <c r="F57" i="14695"/>
  <c r="M57" i="14695"/>
  <c r="N23" i="14695"/>
  <c r="N51" i="14695"/>
  <c r="N44" i="14695"/>
  <c r="N30" i="14695"/>
  <c r="H19" i="14661"/>
  <c r="H21" i="14661" s="1" a="1"/>
  <c r="H21" i="14661" s="1"/>
  <c r="G39" i="4128" s="1"/>
  <c r="G19" i="14661"/>
  <c r="G21" i="14661" s="1" a="1"/>
  <c r="G21" i="14661" s="1"/>
  <c r="F39" i="4128" s="1"/>
  <c r="E19" i="14661"/>
  <c r="D19" i="14661"/>
  <c r="D21" i="14661" s="1" a="1"/>
  <c r="D21" i="14661" s="1"/>
  <c r="C39" i="4128" s="1"/>
  <c r="C19" i="14661"/>
  <c r="B19" i="14661"/>
  <c r="F19" i="14661"/>
  <c r="F21" i="14661" s="1" a="1"/>
  <c r="F21" i="14661" s="1"/>
  <c r="E39" i="4128" s="1"/>
  <c r="L10" i="14696"/>
  <c r="M10" i="14696" s="1"/>
  <c r="B16" i="14696"/>
  <c r="K76" i="14665"/>
  <c r="F21" i="14706"/>
  <c r="F8" i="14667"/>
  <c r="B13" i="14682" l="1"/>
  <c r="N77" i="14653"/>
  <c r="E23" i="14672"/>
  <c r="F24" i="14672"/>
  <c r="E24" i="14672"/>
  <c r="D41" i="14661" a="1"/>
  <c r="D23" i="14672"/>
  <c r="M23" i="14672"/>
  <c r="F23" i="14672"/>
  <c r="J24" i="14672"/>
  <c r="J25" i="14672" s="1"/>
  <c r="D24" i="14672"/>
  <c r="H24" i="14672"/>
  <c r="H23" i="14672"/>
  <c r="L23" i="14672"/>
  <c r="G24" i="14672"/>
  <c r="K24" i="14672"/>
  <c r="C24" i="14672"/>
  <c r="C23" i="14672"/>
  <c r="I23" i="14672"/>
  <c r="M24" i="14672"/>
  <c r="I24" i="14672"/>
  <c r="G23" i="14672"/>
  <c r="L24" i="14672"/>
  <c r="K23" i="14672"/>
  <c r="K25" i="14672" s="1"/>
  <c r="B15" i="14617"/>
  <c r="N8" i="14672"/>
  <c r="B44" i="14690"/>
  <c r="H44" i="14690"/>
  <c r="E44" i="14690"/>
  <c r="F44" i="14690"/>
  <c r="C44" i="14690"/>
  <c r="D44" i="14690"/>
  <c r="G44" i="14690"/>
  <c r="F17" i="14692"/>
  <c r="E17" i="14692"/>
  <c r="H17" i="14692"/>
  <c r="G17" i="14692"/>
  <c r="B27" i="14706"/>
  <c r="B26" i="14706" s="1"/>
  <c r="B22" i="11"/>
  <c r="H25" i="14705"/>
  <c r="B18" i="11"/>
  <c r="B38" i="14667"/>
  <c r="N37" i="14694"/>
  <c r="B36" i="14694" a="1"/>
  <c r="C46" i="14648" a="1"/>
  <c r="C11" i="14682"/>
  <c r="C10" i="14682"/>
  <c r="C8" i="14682"/>
  <c r="C12" i="14682"/>
  <c r="C9" i="14682"/>
  <c r="C5" i="14682"/>
  <c r="C6" i="14682"/>
  <c r="C7" i="14682"/>
  <c r="N25" i="14629"/>
  <c r="N29" i="14694"/>
  <c r="C31" i="14648" a="1"/>
  <c r="B28" i="14694" a="1"/>
  <c r="C19" i="11"/>
  <c r="D19" i="11" s="1"/>
  <c r="D24" i="11"/>
  <c r="C16" i="14648" a="1"/>
  <c r="N22" i="14694"/>
  <c r="B21" i="14694" a="1"/>
  <c r="C21" i="14682" a="1"/>
  <c r="B44" i="14694" a="1"/>
  <c r="C61" i="14648" a="1"/>
  <c r="N45" i="14694"/>
  <c r="K15" i="14672"/>
  <c r="N15" i="14672" s="1"/>
  <c r="N61" i="14694"/>
  <c r="B60" i="14694" a="1"/>
  <c r="N53" i="14694"/>
  <c r="B52" i="14694" a="1"/>
  <c r="C76" i="14648" a="1"/>
  <c r="L78" i="14653"/>
  <c r="L79" i="14653" s="1"/>
  <c r="L66" i="14653"/>
  <c r="O40" i="14634"/>
  <c r="N7" i="14637"/>
  <c r="D21" i="14682" a="1"/>
  <c r="J99" i="14687"/>
  <c r="L99" i="14687"/>
  <c r="M99" i="14687"/>
  <c r="N99" i="14687"/>
  <c r="K99" i="14687"/>
  <c r="G99" i="14687"/>
  <c r="H99" i="14687"/>
  <c r="C99" i="14687"/>
  <c r="I99" i="14687"/>
  <c r="F99" i="14687"/>
  <c r="E99" i="14687"/>
  <c r="D99" i="14687"/>
  <c r="O93" i="14687"/>
  <c r="G32" i="4128" s="1"/>
  <c r="B47" i="14649" s="1" a="1"/>
  <c r="C7" i="14668"/>
  <c r="H7" i="14668"/>
  <c r="H6" i="14668"/>
  <c r="G7" i="14668"/>
  <c r="G11" i="14668"/>
  <c r="J10" i="14668"/>
  <c r="B5" i="14668"/>
  <c r="L6" i="14668"/>
  <c r="K6" i="14668"/>
  <c r="M5" i="14668"/>
  <c r="D6" i="14668"/>
  <c r="F9" i="14668"/>
  <c r="D8" i="14668"/>
  <c r="B10" i="14668"/>
  <c r="C11" i="14668"/>
  <c r="M12" i="14668"/>
  <c r="B11" i="14668"/>
  <c r="G6" i="14668"/>
  <c r="B8" i="14668"/>
  <c r="C5" i="14668"/>
  <c r="I8" i="14668"/>
  <c r="L12" i="14668"/>
  <c r="I5" i="14668"/>
  <c r="C8" i="14668"/>
  <c r="F10" i="14668"/>
  <c r="G10" i="14668"/>
  <c r="L8" i="14668"/>
  <c r="M8" i="14668"/>
  <c r="J9" i="14668"/>
  <c r="B9" i="14668"/>
  <c r="K7" i="14668"/>
  <c r="B6" i="14668"/>
  <c r="L7" i="14668"/>
  <c r="M10" i="14668"/>
  <c r="I7" i="14668"/>
  <c r="J12" i="14668"/>
  <c r="B12" i="14668"/>
  <c r="I6" i="14668"/>
  <c r="I12" i="14668"/>
  <c r="J7" i="14668"/>
  <c r="D7" i="14668"/>
  <c r="I11" i="14668"/>
  <c r="I10" i="14668"/>
  <c r="D10" i="14668"/>
  <c r="G5" i="14668"/>
  <c r="E11" i="14668"/>
  <c r="E8" i="14668"/>
  <c r="E10" i="14668"/>
  <c r="K9" i="14668"/>
  <c r="F8" i="14668"/>
  <c r="H11" i="14668"/>
  <c r="M6" i="14668"/>
  <c r="H8" i="14668"/>
  <c r="J8" i="14668"/>
  <c r="H12" i="14668"/>
  <c r="D12" i="14668"/>
  <c r="L5" i="14668"/>
  <c r="E12" i="14668"/>
  <c r="L10" i="14668"/>
  <c r="D9" i="14668"/>
  <c r="M11" i="14668"/>
  <c r="K10" i="14668"/>
  <c r="H10" i="14668"/>
  <c r="E7" i="14668"/>
  <c r="F7" i="14668"/>
  <c r="E5" i="14668"/>
  <c r="E6" i="14668"/>
  <c r="H5" i="14668"/>
  <c r="G8" i="14668"/>
  <c r="J5" i="14668"/>
  <c r="L9" i="14668"/>
  <c r="J11" i="14668"/>
  <c r="M9" i="14668"/>
  <c r="K8" i="14668"/>
  <c r="D11" i="14668"/>
  <c r="F12" i="14668"/>
  <c r="F5" i="14668"/>
  <c r="F6" i="14668"/>
  <c r="G9" i="14668"/>
  <c r="H9" i="14668"/>
  <c r="C10" i="14668"/>
  <c r="I9" i="14668"/>
  <c r="J6" i="14668"/>
  <c r="C6" i="14668"/>
  <c r="G12" i="14668"/>
  <c r="K5" i="14668"/>
  <c r="D5" i="14668"/>
  <c r="L11" i="14668"/>
  <c r="K11" i="14668"/>
  <c r="M7" i="14668"/>
  <c r="C12" i="14668"/>
  <c r="K12" i="14668"/>
  <c r="E9" i="14668"/>
  <c r="F11" i="14668"/>
  <c r="C9" i="14668"/>
  <c r="B7" i="14668"/>
  <c r="N53" i="14653"/>
  <c r="H78" i="14653"/>
  <c r="H79" i="14653" s="1"/>
  <c r="H66" i="14653"/>
  <c r="F78" i="14653"/>
  <c r="F79" i="14653" s="1"/>
  <c r="F66" i="14653"/>
  <c r="E78" i="14653"/>
  <c r="E79" i="14653" s="1"/>
  <c r="E66" i="14653"/>
  <c r="D10" i="14682"/>
  <c r="D9" i="14682"/>
  <c r="D8" i="14682"/>
  <c r="D5" i="14682"/>
  <c r="D7" i="14682"/>
  <c r="D11" i="14682"/>
  <c r="D12" i="14682"/>
  <c r="D6" i="14682"/>
  <c r="O97" i="14687"/>
  <c r="K78" i="14653"/>
  <c r="K79" i="14653" s="1"/>
  <c r="K66" i="14653"/>
  <c r="N6" i="14637"/>
  <c r="N8" i="14637"/>
  <c r="N10" i="14637"/>
  <c r="N9" i="14637"/>
  <c r="E5" i="14682" a="1"/>
  <c r="L12" i="14673"/>
  <c r="I11" i="14673"/>
  <c r="C14" i="14673"/>
  <c r="L13" i="14673"/>
  <c r="J10" i="14673"/>
  <c r="M11" i="14673"/>
  <c r="L8" i="14673"/>
  <c r="L9" i="14673"/>
  <c r="E13" i="14673"/>
  <c r="H7" i="14673"/>
  <c r="J8" i="14673"/>
  <c r="I9" i="14673"/>
  <c r="G12" i="14673"/>
  <c r="C8" i="14673"/>
  <c r="G10" i="14673"/>
  <c r="J14" i="14673"/>
  <c r="L7" i="14673"/>
  <c r="F7" i="14673"/>
  <c r="G8" i="14673"/>
  <c r="G9" i="14673"/>
  <c r="I13" i="14673"/>
  <c r="B7" i="14673"/>
  <c r="E8" i="14673"/>
  <c r="D9" i="14673"/>
  <c r="F11" i="14673"/>
  <c r="M14" i="14673"/>
  <c r="K12" i="14673"/>
  <c r="J9" i="14673"/>
  <c r="E10" i="14673"/>
  <c r="C9" i="14673"/>
  <c r="G11" i="14673"/>
  <c r="E12" i="14673"/>
  <c r="M12" i="14673"/>
  <c r="K9" i="14673"/>
  <c r="M7" i="14673"/>
  <c r="H9" i="14673"/>
  <c r="M10" i="14673"/>
  <c r="D8" i="14673"/>
  <c r="I8" i="14673"/>
  <c r="K8" i="14673"/>
  <c r="B8" i="14673"/>
  <c r="H8" i="14673"/>
  <c r="B11" i="14673"/>
  <c r="D7" i="14673"/>
  <c r="B9" i="14673"/>
  <c r="F13" i="14673"/>
  <c r="E11" i="14673"/>
  <c r="E9" i="14673"/>
  <c r="C12" i="14673"/>
  <c r="K10" i="14673"/>
  <c r="L14" i="14673"/>
  <c r="F8" i="14673"/>
  <c r="D11" i="14673"/>
  <c r="L10" i="14673"/>
  <c r="D14" i="14673"/>
  <c r="J12" i="14673"/>
  <c r="I12" i="14673"/>
  <c r="F9" i="14673"/>
  <c r="D13" i="14673"/>
  <c r="M9" i="14673"/>
  <c r="F12" i="14673"/>
  <c r="H10" i="14673"/>
  <c r="B10" i="14673"/>
  <c r="I14" i="14673"/>
  <c r="C10" i="14673"/>
  <c r="M8" i="14673"/>
  <c r="I7" i="14673"/>
  <c r="D12" i="14673"/>
  <c r="H11" i="14673"/>
  <c r="E7" i="14673"/>
  <c r="J13" i="14673"/>
  <c r="K7" i="14673"/>
  <c r="J11" i="14673"/>
  <c r="K14" i="14673"/>
  <c r="B13" i="14673"/>
  <c r="C11" i="14673"/>
  <c r="H14" i="14673"/>
  <c r="F10" i="14673"/>
  <c r="D10" i="14673"/>
  <c r="B12" i="14673"/>
  <c r="H13" i="14673"/>
  <c r="L11" i="14673"/>
  <c r="H12" i="14673"/>
  <c r="K11" i="14673"/>
  <c r="K13" i="14673"/>
  <c r="C7" i="14673"/>
  <c r="I10" i="14673"/>
  <c r="J7" i="14673"/>
  <c r="E14" i="14673"/>
  <c r="F14" i="14673"/>
  <c r="C13" i="14673"/>
  <c r="G13" i="14673"/>
  <c r="B14" i="14673"/>
  <c r="M13" i="14673"/>
  <c r="G14" i="14673"/>
  <c r="G7" i="14673"/>
  <c r="B23" i="14673" a="1"/>
  <c r="O96" i="14687"/>
  <c r="M78" i="14653"/>
  <c r="M79" i="14653" s="1"/>
  <c r="M66" i="14653"/>
  <c r="D78" i="14653"/>
  <c r="D79" i="14653" s="1"/>
  <c r="D66" i="14653"/>
  <c r="N65" i="14653"/>
  <c r="B66" i="14653"/>
  <c r="B78" i="14653"/>
  <c r="B5" i="14669" a="1"/>
  <c r="O80" i="14687"/>
  <c r="N19" i="14657" s="1"/>
  <c r="I78" i="14653"/>
  <c r="I79" i="14653" s="1"/>
  <c r="I66" i="14653"/>
  <c r="N11" i="14637"/>
  <c r="N12" i="14637"/>
  <c r="N5" i="14637"/>
  <c r="B8" i="14700" a="1"/>
  <c r="C78" i="14653"/>
  <c r="C79" i="14653" s="1"/>
  <c r="C66" i="14653"/>
  <c r="D6" i="14690"/>
  <c r="H21" i="14706"/>
  <c r="J21" i="14706" s="1"/>
  <c r="L21" i="14706" s="1"/>
  <c r="N21" i="14706" s="1"/>
  <c r="N19" i="14672"/>
  <c r="B25" i="14672"/>
  <c r="N25" i="14636"/>
  <c r="I40" i="7"/>
  <c r="L40" i="7"/>
  <c r="D40" i="7"/>
  <c r="K40" i="7"/>
  <c r="G40" i="7"/>
  <c r="J40" i="7"/>
  <c r="C40" i="7"/>
  <c r="B40" i="7"/>
  <c r="F40" i="7"/>
  <c r="M40" i="7"/>
  <c r="E40" i="7"/>
  <c r="B40" i="14630" a="1"/>
  <c r="M40" i="14630" s="1"/>
  <c r="D9" i="14657"/>
  <c r="C11" i="14657"/>
  <c r="B23" i="14682"/>
  <c r="K5" i="14631"/>
  <c r="D5" i="14631"/>
  <c r="K38" i="14630"/>
  <c r="B5" i="14631"/>
  <c r="L19" i="14634" a="1"/>
  <c r="L19" i="14634" s="1"/>
  <c r="F35" i="14630"/>
  <c r="F32" i="14630"/>
  <c r="D32" i="14630"/>
  <c r="E33" i="14630"/>
  <c r="C57" i="14643"/>
  <c r="F37" i="14630"/>
  <c r="I38" i="14630"/>
  <c r="D33" i="14630"/>
  <c r="M38" i="14630"/>
  <c r="C24" i="14683"/>
  <c r="F119" i="14698" a="1"/>
  <c r="L119" i="14698" s="1"/>
  <c r="L25" i="14632" a="1"/>
  <c r="L25" i="14632" s="1"/>
  <c r="L32" i="14630"/>
  <c r="E32" i="14630"/>
  <c r="D34" i="14630"/>
  <c r="K34" i="14630"/>
  <c r="B38" i="14630"/>
  <c r="H32" i="14630"/>
  <c r="E37" i="14630"/>
  <c r="E34" i="14630"/>
  <c r="B35" i="14630"/>
  <c r="M39" i="14630"/>
  <c r="D37" i="14630"/>
  <c r="C35" i="14630"/>
  <c r="D38" i="14630"/>
  <c r="C33" i="14630"/>
  <c r="B36" i="14630"/>
  <c r="M37" i="14630"/>
  <c r="I34" i="14630"/>
  <c r="C36" i="14630"/>
  <c r="I33" i="14630"/>
  <c r="C39" i="14630"/>
  <c r="D36" i="14630"/>
  <c r="E35" i="14630"/>
  <c r="E38" i="14630"/>
  <c r="H38" i="14630"/>
  <c r="J32" i="14630"/>
  <c r="C38" i="14630"/>
  <c r="L37" i="14630"/>
  <c r="C55" i="14643"/>
  <c r="H33" i="14630"/>
  <c r="C32" i="14630"/>
  <c r="G35" i="14630"/>
  <c r="H39" i="14630"/>
  <c r="O38" i="14634"/>
  <c r="J39" i="14634"/>
  <c r="Q26" i="14632" a="1"/>
  <c r="Q26" i="14632" s="1"/>
  <c r="R76" i="14698" a="1"/>
  <c r="R76" i="14698" s="1"/>
  <c r="E39" i="14634"/>
  <c r="E21" i="14632" a="1"/>
  <c r="E21" i="14632" s="1"/>
  <c r="C60" i="14643"/>
  <c r="J82" i="14698" a="1"/>
  <c r="J82" i="14698" s="1"/>
  <c r="C31" i="14707"/>
  <c r="G38" i="14630"/>
  <c r="G32" i="14630"/>
  <c r="J35" i="14630"/>
  <c r="M36" i="14630"/>
  <c r="K35" i="14630"/>
  <c r="M33" i="14630"/>
  <c r="P26" i="14632" a="1"/>
  <c r="P26" i="14632" s="1"/>
  <c r="N25" i="14632" a="1"/>
  <c r="N25" i="14632" s="1"/>
  <c r="N10" i="14632"/>
  <c r="D39" i="14630"/>
  <c r="F36" i="14630"/>
  <c r="E39" i="14630"/>
  <c r="F33" i="14630"/>
  <c r="D35" i="14630"/>
  <c r="F38" i="14630"/>
  <c r="H34" i="14630"/>
  <c r="G36" i="14630"/>
  <c r="E36" i="14630"/>
  <c r="J39" i="14630"/>
  <c r="B34" i="14630"/>
  <c r="H35" i="14630"/>
  <c r="M34" i="14630"/>
  <c r="J38" i="14630"/>
  <c r="B39" i="14630"/>
  <c r="L36" i="14630"/>
  <c r="C34" i="14630"/>
  <c r="I37" i="14630"/>
  <c r="K37" i="14630"/>
  <c r="M32" i="14630"/>
  <c r="B33" i="14630"/>
  <c r="C37" i="14630"/>
  <c r="I32" i="14630"/>
  <c r="L35" i="14630"/>
  <c r="L33" i="14630"/>
  <c r="L34" i="14630"/>
  <c r="K36" i="14630"/>
  <c r="L39" i="14630"/>
  <c r="M35" i="14630"/>
  <c r="I35" i="14630"/>
  <c r="J33" i="14630"/>
  <c r="J37" i="14630"/>
  <c r="J34" i="14630"/>
  <c r="L38" i="14630"/>
  <c r="B37" i="14630"/>
  <c r="K33" i="14630"/>
  <c r="G79" i="14698" a="1"/>
  <c r="G79" i="14698" s="1"/>
  <c r="G33" i="14630"/>
  <c r="J36" i="14630"/>
  <c r="H36" i="14630"/>
  <c r="K32" i="14630"/>
  <c r="G37" i="14630"/>
  <c r="O22" i="14632" a="1"/>
  <c r="O22" i="14632" s="1"/>
  <c r="L15" i="14632"/>
  <c r="C19" i="14634" a="1"/>
  <c r="C19" i="14634" s="1"/>
  <c r="N19" i="14634" a="1"/>
  <c r="N19" i="14634" s="1"/>
  <c r="B32" i="14630"/>
  <c r="G34" i="14630"/>
  <c r="F39" i="14630"/>
  <c r="C28" i="14707"/>
  <c r="I36" i="14630"/>
  <c r="D19" i="14634" a="1"/>
  <c r="D19" i="14634" s="1"/>
  <c r="S75" i="14698" a="1"/>
  <c r="S75" i="14698" s="1"/>
  <c r="F23" i="14632" a="1"/>
  <c r="F23" i="14632" s="1"/>
  <c r="D22" i="14632" a="1"/>
  <c r="D22" i="14632" s="1"/>
  <c r="L21" i="14632" a="1"/>
  <c r="L21" i="14632" s="1"/>
  <c r="H23" i="14632" a="1"/>
  <c r="H23" i="14632" s="1"/>
  <c r="L39" i="14634"/>
  <c r="M23" i="14632" a="1"/>
  <c r="M23" i="14632" s="1"/>
  <c r="C5" i="14631"/>
  <c r="J5" i="14631"/>
  <c r="C39" i="14634"/>
  <c r="D39" i="14634"/>
  <c r="N76" i="14698" a="1"/>
  <c r="N76" i="14698" s="1"/>
  <c r="W72" i="14698" a="1"/>
  <c r="W72" i="14698" s="1"/>
  <c r="N25" i="14698"/>
  <c r="F81" i="14698" a="1"/>
  <c r="F81" i="14698" s="1"/>
  <c r="L79" i="14698" a="1"/>
  <c r="L79" i="14698" s="1"/>
  <c r="C59" i="14643"/>
  <c r="C54" i="14643"/>
  <c r="C24" i="14707"/>
  <c r="C56" i="14643"/>
  <c r="C53" i="14643"/>
  <c r="H5" i="14631"/>
  <c r="L5" i="14631"/>
  <c r="F21" i="14632" a="1"/>
  <c r="F21" i="14632" s="1"/>
  <c r="E5" i="14631"/>
  <c r="I5" i="14631"/>
  <c r="F5" i="14631"/>
  <c r="G5" i="14631"/>
  <c r="I28" i="14698"/>
  <c r="C29" i="14707"/>
  <c r="C26" i="14707"/>
  <c r="N24" i="14698"/>
  <c r="K132" i="14698" a="1"/>
  <c r="V132" i="14698" s="1"/>
  <c r="Q78" i="14698" a="1"/>
  <c r="Q78" i="14698" s="1"/>
  <c r="F155" i="14698" a="1"/>
  <c r="J155" i="14698" s="1"/>
  <c r="F28" i="14698"/>
  <c r="E210" i="14698" a="1"/>
  <c r="N210" i="14698" s="1"/>
  <c r="Q74" i="14698" a="1"/>
  <c r="Q74" i="14698" s="1"/>
  <c r="K83" i="14698" a="1"/>
  <c r="K83" i="14698" s="1"/>
  <c r="K22" i="14632" a="1"/>
  <c r="K22" i="14632" s="1"/>
  <c r="N39" i="14634"/>
  <c r="F19" i="14634" a="1"/>
  <c r="F19" i="14634" s="1"/>
  <c r="O34" i="14634"/>
  <c r="N8" i="14632"/>
  <c r="C27" i="14707"/>
  <c r="C30" i="14707"/>
  <c r="O32" i="14634"/>
  <c r="E20" i="14632" a="1"/>
  <c r="E20" i="14632" s="1"/>
  <c r="G15" i="14632"/>
  <c r="I25" i="14632" a="1"/>
  <c r="I25" i="14632" s="1"/>
  <c r="M15" i="14632"/>
  <c r="I23" i="14632" a="1"/>
  <c r="I23" i="14632" s="1"/>
  <c r="O23" i="14632" a="1"/>
  <c r="O23" i="14632" s="1"/>
  <c r="K20" i="14632" a="1"/>
  <c r="K20" i="14632" s="1"/>
  <c r="O35" i="14634"/>
  <c r="K19" i="14634" a="1"/>
  <c r="K19" i="14634" s="1"/>
  <c r="N9" i="14632"/>
  <c r="I39" i="14630"/>
  <c r="K39" i="14630"/>
  <c r="H37" i="14630"/>
  <c r="G39" i="14630"/>
  <c r="G20" i="14632" a="1"/>
  <c r="G20" i="14632" s="1"/>
  <c r="D21" i="14632" a="1"/>
  <c r="D21" i="14632" s="1"/>
  <c r="B20" i="14632" a="1"/>
  <c r="B20" i="14632" s="1"/>
  <c r="R25" i="14632" a="1"/>
  <c r="R25" i="14632" s="1"/>
  <c r="I24" i="14632" a="1"/>
  <c r="I24" i="14632" s="1"/>
  <c r="K76" i="14698" a="1"/>
  <c r="K76" i="14698" s="1"/>
  <c r="J28" i="14698"/>
  <c r="P78" i="14698" a="1"/>
  <c r="P78" i="14698" s="1"/>
  <c r="C212" i="14698" a="1"/>
  <c r="C212" i="14698" s="1"/>
  <c r="F173" i="14698" a="1"/>
  <c r="L173" i="14698" s="1"/>
  <c r="H153" i="14698" a="1"/>
  <c r="L153" i="14698" s="1"/>
  <c r="N14" i="14632"/>
  <c r="H19" i="14634" a="1"/>
  <c r="H19" i="14634" s="1"/>
  <c r="N11" i="14632"/>
  <c r="J21" i="14632" a="1"/>
  <c r="J21" i="14632" s="1"/>
  <c r="M39" i="14634"/>
  <c r="J22" i="14632" a="1"/>
  <c r="J22" i="14632" s="1"/>
  <c r="O36" i="14634"/>
  <c r="L239" i="14698" a="1"/>
  <c r="T239" i="14698" s="1"/>
  <c r="S73" i="14698" a="1"/>
  <c r="S73" i="14698" s="1"/>
  <c r="P73" i="14698" a="1"/>
  <c r="P73" i="14698" s="1"/>
  <c r="M25" i="14632" a="1"/>
  <c r="M25" i="14632" s="1"/>
  <c r="N26" i="14632" a="1"/>
  <c r="N26" i="14632" s="1"/>
  <c r="E19" i="14634" a="1"/>
  <c r="E19" i="14634" s="1"/>
  <c r="H26" i="14632" a="1"/>
  <c r="H26" i="14632" s="1"/>
  <c r="F24" i="14632" a="1"/>
  <c r="F24" i="14632" s="1"/>
  <c r="E23" i="14632" a="1"/>
  <c r="E23" i="14632" s="1"/>
  <c r="G25" i="14632" a="1"/>
  <c r="G25" i="14632" s="1"/>
  <c r="C23" i="14683"/>
  <c r="C19" i="14683"/>
  <c r="C21" i="14683"/>
  <c r="C25" i="14683"/>
  <c r="O31" i="14634"/>
  <c r="G19" i="14634" a="1"/>
  <c r="G19" i="14634" s="1"/>
  <c r="I19" i="14634" a="1"/>
  <c r="I19" i="14634" s="1"/>
  <c r="I39" i="14634"/>
  <c r="I22" i="14632" a="1"/>
  <c r="I22" i="14632" s="1"/>
  <c r="J23" i="14632" a="1"/>
  <c r="J23" i="14632" s="1"/>
  <c r="H21" i="14632" a="1"/>
  <c r="H21" i="14632" s="1"/>
  <c r="K24" i="14632" a="1"/>
  <c r="K24" i="14632" s="1"/>
  <c r="C20" i="14632" a="1"/>
  <c r="C20" i="14632" s="1"/>
  <c r="F22" i="14632" a="1"/>
  <c r="F22" i="14632" s="1"/>
  <c r="J26" i="14632" a="1"/>
  <c r="J26" i="14632" s="1"/>
  <c r="D20" i="14632" a="1"/>
  <c r="D20" i="14632" s="1"/>
  <c r="N13" i="14632"/>
  <c r="S26" i="14632" a="1"/>
  <c r="S26" i="14632" s="1"/>
  <c r="Q24" i="14632" a="1"/>
  <c r="Q24" i="14632" s="1"/>
  <c r="J15" i="14632"/>
  <c r="K21" i="14632" a="1"/>
  <c r="K21" i="14632" s="1"/>
  <c r="L22" i="14632" a="1"/>
  <c r="L22" i="14632" s="1"/>
  <c r="J20" i="14632" a="1"/>
  <c r="J20" i="14632" s="1"/>
  <c r="F20" i="14632" a="1"/>
  <c r="F20" i="14632" s="1"/>
  <c r="G21" i="14632" a="1"/>
  <c r="G21" i="14632" s="1"/>
  <c r="J24" i="14632" a="1"/>
  <c r="J24" i="14632" s="1"/>
  <c r="F15" i="14632"/>
  <c r="L26" i="14632" a="1"/>
  <c r="L26" i="14632" s="1"/>
  <c r="R26" i="14632" a="1"/>
  <c r="R26" i="14632" s="1"/>
  <c r="M21" i="14632" a="1"/>
  <c r="M21" i="14632" s="1"/>
  <c r="K39" i="14634"/>
  <c r="P25" i="14632" a="1"/>
  <c r="P25" i="14632" s="1"/>
  <c r="O24" i="14632" a="1"/>
  <c r="O24" i="14632" s="1"/>
  <c r="P24" i="14632" a="1"/>
  <c r="P24" i="14632" s="1"/>
  <c r="G22" i="14632" a="1"/>
  <c r="G22" i="14632" s="1"/>
  <c r="E15" i="14632"/>
  <c r="M26" i="14632" a="1"/>
  <c r="M26" i="14632" s="1"/>
  <c r="H15" i="14632"/>
  <c r="L24" i="14632" a="1"/>
  <c r="L24" i="14632" s="1"/>
  <c r="H25" i="14632" a="1"/>
  <c r="H25" i="14632" s="1"/>
  <c r="G24" i="14632" a="1"/>
  <c r="G24" i="14632" s="1"/>
  <c r="B15" i="14632"/>
  <c r="M20" i="14632" a="1"/>
  <c r="M20" i="14632" s="1"/>
  <c r="M22" i="14632" a="1"/>
  <c r="M22" i="14632" s="1"/>
  <c r="N23" i="14632" a="1"/>
  <c r="N23" i="14632" s="1"/>
  <c r="H24" i="14632" a="1"/>
  <c r="H24" i="14632" s="1"/>
  <c r="C22" i="14683"/>
  <c r="C20" i="14683"/>
  <c r="N24" i="14632" a="1"/>
  <c r="N24" i="14632" s="1"/>
  <c r="K25" i="14632" a="1"/>
  <c r="K25" i="14632" s="1"/>
  <c r="O26" i="14632" a="1"/>
  <c r="O26" i="14632" s="1"/>
  <c r="L20" i="14632" a="1"/>
  <c r="L20" i="14632" s="1"/>
  <c r="N7" i="14632"/>
  <c r="C84" i="14698" a="1"/>
  <c r="C84" i="14698" s="1"/>
  <c r="J115" i="14698" a="1"/>
  <c r="C140" i="14698" a="1"/>
  <c r="M140" i="14698" s="1"/>
  <c r="F39" i="14634"/>
  <c r="D15" i="14632"/>
  <c r="N21" i="14632" a="1"/>
  <c r="N21" i="14632" s="1"/>
  <c r="O25" i="14632" a="1"/>
  <c r="O25" i="14632" s="1"/>
  <c r="K26" i="14632" a="1"/>
  <c r="K26" i="14632" s="1"/>
  <c r="H22" i="14632" a="1"/>
  <c r="H22" i="14632" s="1"/>
  <c r="Q25" i="14632" a="1"/>
  <c r="Q25" i="14632" s="1"/>
  <c r="K15" i="14632"/>
  <c r="C21" i="14632" a="1"/>
  <c r="C21" i="14632" s="1"/>
  <c r="C15" i="14632"/>
  <c r="E22" i="14632" a="1"/>
  <c r="E22" i="14632" s="1"/>
  <c r="O33" i="14634"/>
  <c r="N12" i="14632"/>
  <c r="K84" i="14698" a="1"/>
  <c r="K84" i="14698" s="1"/>
  <c r="T75" i="14698" a="1"/>
  <c r="T75" i="14698" s="1"/>
  <c r="U74" i="14698" a="1"/>
  <c r="U74" i="14698" s="1"/>
  <c r="M202" i="14698" a="1"/>
  <c r="N202" i="14698" s="1"/>
  <c r="D211" i="14698" a="1"/>
  <c r="O211" i="14698" s="1"/>
  <c r="B213" i="14698" a="1"/>
  <c r="C213" i="14698" s="1"/>
  <c r="L74" i="14698" a="1"/>
  <c r="L74" i="14698" s="1"/>
  <c r="C83" i="14698" a="1"/>
  <c r="C83" i="14698" s="1"/>
  <c r="L113" i="14698" a="1"/>
  <c r="R113" i="14698" s="1"/>
  <c r="G80" i="14698" a="1"/>
  <c r="G80" i="14698" s="1"/>
  <c r="E82" i="14698" a="1"/>
  <c r="E82" i="14698" s="1"/>
  <c r="L75" i="14698" a="1"/>
  <c r="L75" i="14698" s="1"/>
  <c r="X72" i="14698" a="1"/>
  <c r="X72" i="14698" s="1"/>
  <c r="S72" i="14698" a="1"/>
  <c r="S72" i="14698" s="1"/>
  <c r="M76" i="14698" a="1"/>
  <c r="M76" i="14698" s="1"/>
  <c r="I80" i="14698" a="1"/>
  <c r="I80" i="14698" s="1"/>
  <c r="E28" i="14698"/>
  <c r="O74" i="14698" a="1"/>
  <c r="O74" i="14698" s="1"/>
  <c r="L80" i="14698" a="1"/>
  <c r="L80" i="14698" s="1"/>
  <c r="M79" i="14698" a="1"/>
  <c r="M79" i="14698" s="1"/>
  <c r="P76" i="14698" a="1"/>
  <c r="P76" i="14698" s="1"/>
  <c r="J25" i="14632" a="1"/>
  <c r="J25" i="14632" s="1"/>
  <c r="T74" i="14698" a="1"/>
  <c r="T74" i="14698" s="1"/>
  <c r="L82" i="14698" a="1"/>
  <c r="L82" i="14698" s="1"/>
  <c r="O79" i="14698" a="1"/>
  <c r="O79" i="14698" s="1"/>
  <c r="M81" i="14698" a="1"/>
  <c r="M81" i="14698" s="1"/>
  <c r="J84" i="14698" a="1"/>
  <c r="J84" i="14698" s="1"/>
  <c r="V72" i="14698" a="1"/>
  <c r="V72" i="14698" s="1"/>
  <c r="X73" i="14698" a="1"/>
  <c r="X73" i="14698" s="1"/>
  <c r="M24" i="14632" a="1"/>
  <c r="M24" i="14632" s="1"/>
  <c r="I20" i="14632" a="1"/>
  <c r="I20" i="14632" s="1"/>
  <c r="L23" i="14632" a="1"/>
  <c r="L23" i="14632" s="1"/>
  <c r="L84" i="14698" a="1"/>
  <c r="L84" i="14698" s="1"/>
  <c r="C230" i="14698" a="1"/>
  <c r="I230" i="14698" s="1"/>
  <c r="Y72" i="14698" a="1"/>
  <c r="Y72" i="14698" s="1"/>
  <c r="G81" i="14698" a="1"/>
  <c r="G81" i="14698" s="1"/>
  <c r="H20" i="14632" a="1"/>
  <c r="H20" i="14632" s="1"/>
  <c r="P23" i="14632" a="1"/>
  <c r="P23" i="14632" s="1"/>
  <c r="N22" i="14632" a="1"/>
  <c r="N22" i="14632" s="1"/>
  <c r="G23" i="14632" a="1"/>
  <c r="G23" i="14632" s="1"/>
  <c r="M19" i="14634" a="1"/>
  <c r="M19" i="14634" s="1"/>
  <c r="G226" i="14698" a="1"/>
  <c r="K226" i="14698" s="1"/>
  <c r="Q79" i="14698" a="1"/>
  <c r="Q79" i="14698" s="1"/>
  <c r="G172" i="14698" a="1"/>
  <c r="M172" i="14698" s="1"/>
  <c r="O82" i="14698" a="1"/>
  <c r="O82" i="14698" s="1"/>
  <c r="J19" i="14634" a="1"/>
  <c r="J19" i="14634" s="1"/>
  <c r="I21" i="14632" a="1"/>
  <c r="I21" i="14632" s="1"/>
  <c r="Q75" i="14698" a="1"/>
  <c r="Q75" i="14698" s="1"/>
  <c r="Q73" i="14698" a="1"/>
  <c r="Q73" i="14698" s="1"/>
  <c r="H39" i="14634"/>
  <c r="I26" i="14632" a="1"/>
  <c r="I26" i="14632" s="1"/>
  <c r="I15" i="14632"/>
  <c r="G39" i="14634"/>
  <c r="O37" i="14634"/>
  <c r="K80" i="14698" a="1"/>
  <c r="K80" i="14698" s="1"/>
  <c r="D28" i="14698"/>
  <c r="K23" i="14632" a="1"/>
  <c r="K23" i="14632" s="1"/>
  <c r="D10" i="14683"/>
  <c r="D9" i="14683"/>
  <c r="B27" i="14623"/>
  <c r="B10" i="14631" s="1"/>
  <c r="D11" i="14683"/>
  <c r="C248" i="14698" a="1"/>
  <c r="N27" i="14698"/>
  <c r="D247" i="14698" a="1"/>
  <c r="K247" i="14698" s="1"/>
  <c r="N237" i="14698" a="1"/>
  <c r="Y237" i="14698" s="1"/>
  <c r="J241" i="14698" a="1"/>
  <c r="S241" i="14698" s="1"/>
  <c r="R75" i="14698" a="1"/>
  <c r="R75" i="14698" s="1"/>
  <c r="J83" i="14698" a="1"/>
  <c r="J83" i="14698" s="1"/>
  <c r="J79" i="14698" a="1"/>
  <c r="J79" i="14698" s="1"/>
  <c r="Q72" i="14698" a="1"/>
  <c r="Q72" i="14698" s="1"/>
  <c r="G82" i="14698" a="1"/>
  <c r="G82" i="14698" s="1"/>
  <c r="K78" i="14698" a="1"/>
  <c r="K78" i="14698" s="1"/>
  <c r="N75" i="14698" a="1"/>
  <c r="N75" i="14698" s="1"/>
  <c r="M166" i="14698" a="1"/>
  <c r="Q166" i="14698" s="1"/>
  <c r="I170" i="14698" a="1"/>
  <c r="M170" i="14698" s="1"/>
  <c r="H171" i="14698" a="1"/>
  <c r="L171" i="14698" s="1"/>
  <c r="P81" i="14698" a="1"/>
  <c r="P81" i="14698" s="1"/>
  <c r="U76" i="14698" a="1"/>
  <c r="U76" i="14698" s="1"/>
  <c r="R79" i="14698" a="1"/>
  <c r="R79" i="14698" s="1"/>
  <c r="N83" i="14698" a="1"/>
  <c r="N83" i="14698" s="1"/>
  <c r="M84" i="14698" a="1"/>
  <c r="M84" i="14698" s="1"/>
  <c r="W74" i="14698" a="1"/>
  <c r="W74" i="14698" s="1"/>
  <c r="V75" i="14698" a="1"/>
  <c r="V75" i="14698" s="1"/>
  <c r="D83" i="14698" a="1"/>
  <c r="D83" i="14698" s="1"/>
  <c r="C28" i="14698"/>
  <c r="M74" i="14698" a="1"/>
  <c r="M74" i="14698" s="1"/>
  <c r="O72" i="14698" a="1"/>
  <c r="O72" i="14698" s="1"/>
  <c r="J77" i="14698" a="1"/>
  <c r="J77" i="14698" s="1"/>
  <c r="O77" i="14698" a="1"/>
  <c r="O77" i="14698" s="1"/>
  <c r="I83" i="14698" a="1"/>
  <c r="I83" i="14698" s="1"/>
  <c r="H28" i="14698"/>
  <c r="T72" i="14698" a="1"/>
  <c r="T72" i="14698" s="1"/>
  <c r="R74" i="14698" a="1"/>
  <c r="R74" i="14698" s="1"/>
  <c r="J205" i="14698" a="1"/>
  <c r="F209" i="14698" a="1"/>
  <c r="M209" i="14698" s="1"/>
  <c r="N201" i="14698" a="1"/>
  <c r="T201" i="14698" s="1"/>
  <c r="G208" i="14698" a="1"/>
  <c r="N208" i="14698" s="1"/>
  <c r="I206" i="14698" a="1"/>
  <c r="H117" i="14698" a="1"/>
  <c r="B123" i="14698" a="1"/>
  <c r="N111" i="14698" a="1"/>
  <c r="N129" i="14698" a="1"/>
  <c r="E138" i="14698" a="1"/>
  <c r="M130" i="14698" a="1"/>
  <c r="F83" i="14698" a="1"/>
  <c r="F83" i="14698" s="1"/>
  <c r="E84" i="14698" a="1"/>
  <c r="E84" i="14698" s="1"/>
  <c r="H78" i="14698" a="1"/>
  <c r="H78" i="14698" s="1"/>
  <c r="B28" i="14698"/>
  <c r="G28" i="14698"/>
  <c r="L149" i="14698" a="1"/>
  <c r="N77" i="14698" a="1"/>
  <c r="N77" i="14698" s="1"/>
  <c r="I152" i="14698" a="1"/>
  <c r="F245" i="14698" a="1"/>
  <c r="D82" i="14698" a="1"/>
  <c r="D82" i="14698" s="1"/>
  <c r="J78" i="14698" a="1"/>
  <c r="J78" i="14698" s="1"/>
  <c r="D139" i="14698" a="1"/>
  <c r="D139" i="14698" s="1"/>
  <c r="S78" i="14698" a="1"/>
  <c r="S78" i="14698" s="1"/>
  <c r="P77" i="14698" a="1"/>
  <c r="P77" i="14698" s="1"/>
  <c r="C158" i="14698" a="1"/>
  <c r="J158" i="14698" s="1"/>
  <c r="M28" i="14698"/>
  <c r="T77" i="14698" a="1"/>
  <c r="T77" i="14698" s="1"/>
  <c r="J169" i="14698" a="1"/>
  <c r="N169" i="14698" s="1"/>
  <c r="I77" i="14698" a="1"/>
  <c r="I77" i="14698" s="1"/>
  <c r="G244" i="14698" a="1"/>
  <c r="J244" i="14698" s="1"/>
  <c r="U75" i="14698" a="1"/>
  <c r="U75" i="14698" s="1"/>
  <c r="L28" i="14698"/>
  <c r="W73" i="14698" a="1"/>
  <c r="W73" i="14698" s="1"/>
  <c r="H189" i="14698" a="1"/>
  <c r="F191" i="14698" a="1"/>
  <c r="G191" i="14698" s="1"/>
  <c r="H225" i="14698" a="1"/>
  <c r="I224" i="14698" a="1"/>
  <c r="N224" i="14698" s="1"/>
  <c r="L221" i="14698" a="1"/>
  <c r="S221" i="14698" s="1"/>
  <c r="F137" i="14698" a="1"/>
  <c r="Q137" i="14698" s="1"/>
  <c r="J76" i="14698" a="1"/>
  <c r="J76" i="14698" s="1"/>
  <c r="M73" i="14698" a="1"/>
  <c r="M73" i="14698" s="1"/>
  <c r="N72" i="14698" a="1"/>
  <c r="N72" i="14698" s="1"/>
  <c r="E81" i="14698" a="1"/>
  <c r="E81" i="14698" s="1"/>
  <c r="K75" i="14698" a="1"/>
  <c r="K75" i="14698" s="1"/>
  <c r="B141" i="14698" a="1"/>
  <c r="D141" i="14698" s="1"/>
  <c r="J133" i="14698" a="1"/>
  <c r="G136" i="14698" a="1"/>
  <c r="M136" i="14698" s="1"/>
  <c r="H135" i="14698" a="1"/>
  <c r="L131" i="14698" a="1"/>
  <c r="R131" i="14698" s="1"/>
  <c r="V73" i="14698" a="1"/>
  <c r="V73" i="14698" s="1"/>
  <c r="S76" i="14698" a="1"/>
  <c r="S76" i="14698" s="1"/>
  <c r="M82" i="14698" a="1"/>
  <c r="M82" i="14698" s="1"/>
  <c r="L83" i="14698" a="1"/>
  <c r="L83" i="14698" s="1"/>
  <c r="R77" i="14698" a="1"/>
  <c r="R77" i="14698" s="1"/>
  <c r="N81" i="14698" a="1"/>
  <c r="N81" i="14698" s="1"/>
  <c r="K28" i="14698"/>
  <c r="G154" i="14698" a="1"/>
  <c r="P154" i="14698" s="1"/>
  <c r="N22" i="14698"/>
  <c r="M148" i="14698" a="1"/>
  <c r="O148" i="14698" s="1"/>
  <c r="K150" i="14698" a="1"/>
  <c r="V150" i="14698" s="1"/>
  <c r="E156" i="14698" a="1"/>
  <c r="H156" i="14698" s="1"/>
  <c r="J151" i="14698" a="1"/>
  <c r="U151" i="14698" s="1"/>
  <c r="L78" i="14698" a="1"/>
  <c r="L78" i="14698" s="1"/>
  <c r="K79" i="14698" a="1"/>
  <c r="K79" i="14698" s="1"/>
  <c r="H82" i="14698" a="1"/>
  <c r="H82" i="14698" s="1"/>
  <c r="M112" i="14698" a="1"/>
  <c r="T112" i="14698" s="1"/>
  <c r="H80" i="14698" a="1"/>
  <c r="H80" i="14698" s="1"/>
  <c r="N74" i="14698" a="1"/>
  <c r="N74" i="14698" s="1"/>
  <c r="D121" i="14698" a="1"/>
  <c r="G121" i="14698" s="1"/>
  <c r="B32" i="14698" a="1"/>
  <c r="K35" i="14698" s="1"/>
  <c r="C122" i="14698" a="1"/>
  <c r="J122" i="14698" s="1"/>
  <c r="K114" i="14698" a="1"/>
  <c r="P114" i="14698" s="1"/>
  <c r="G118" i="14698" a="1"/>
  <c r="O118" i="14698" s="1"/>
  <c r="E120" i="14698" a="1"/>
  <c r="E120" i="14698" s="1"/>
  <c r="H207" i="14698" a="1"/>
  <c r="P207" i="14698" s="1"/>
  <c r="R73" i="14698" a="1"/>
  <c r="R73" i="14698" s="1"/>
  <c r="P75" i="14698" a="1"/>
  <c r="P75" i="14698" s="1"/>
  <c r="G84" i="14698" a="1"/>
  <c r="G84" i="14698" s="1"/>
  <c r="H83" i="14698" a="1"/>
  <c r="H83" i="14698" s="1"/>
  <c r="I82" i="14698" a="1"/>
  <c r="I82" i="14698" s="1"/>
  <c r="J81" i="14698" a="1"/>
  <c r="J81" i="14698" s="1"/>
  <c r="Q77" i="14698" a="1"/>
  <c r="Q77" i="14698" s="1"/>
  <c r="N80" i="14698" a="1"/>
  <c r="N80" i="14698" s="1"/>
  <c r="F227" i="14698" a="1"/>
  <c r="O75" i="14698" a="1"/>
  <c r="O75" i="14698" s="1"/>
  <c r="L185" i="14698" a="1"/>
  <c r="B159" i="14698" a="1"/>
  <c r="O80" i="14698" a="1"/>
  <c r="O80" i="14698" s="1"/>
  <c r="N21" i="14698"/>
  <c r="L203" i="14698" a="1"/>
  <c r="L76" i="14698" a="1"/>
  <c r="L76" i="14698" s="1"/>
  <c r="R78" i="14698" a="1"/>
  <c r="R78" i="14698" s="1"/>
  <c r="O76" i="14698" a="1"/>
  <c r="O76" i="14698" s="1"/>
  <c r="M80" i="14698" a="1"/>
  <c r="M80" i="14698" s="1"/>
  <c r="U72" i="14698" a="1"/>
  <c r="U72" i="14698" s="1"/>
  <c r="Q76" i="14698" a="1"/>
  <c r="Q76" i="14698" s="1"/>
  <c r="L81" i="14698" a="1"/>
  <c r="L81" i="14698" s="1"/>
  <c r="I84" i="14698" a="1"/>
  <c r="I84" i="14698" s="1"/>
  <c r="T73" i="14698" a="1"/>
  <c r="T73" i="14698" s="1"/>
  <c r="S74" i="14698" a="1"/>
  <c r="S74" i="14698" s="1"/>
  <c r="F80" i="14698" a="1"/>
  <c r="F80" i="14698" s="1"/>
  <c r="N73" i="14698" a="1"/>
  <c r="N73" i="14698" s="1"/>
  <c r="L77" i="14698" a="1"/>
  <c r="L77" i="14698" s="1"/>
  <c r="L167" i="14698" a="1"/>
  <c r="C176" i="14698" a="1"/>
  <c r="K81" i="14698" a="1"/>
  <c r="K81" i="14698" s="1"/>
  <c r="N78" i="14698" a="1"/>
  <c r="N78" i="14698" s="1"/>
  <c r="H84" i="14698" a="1"/>
  <c r="H84" i="14698" s="1"/>
  <c r="N20" i="14698"/>
  <c r="I78" i="14698" a="1"/>
  <c r="I78" i="14698" s="1"/>
  <c r="M77" i="14698" a="1"/>
  <c r="M77" i="14698" s="1"/>
  <c r="D84" i="14698" a="1"/>
  <c r="D84" i="14698" s="1"/>
  <c r="K77" i="14698" a="1"/>
  <c r="K77" i="14698" s="1"/>
  <c r="D157" i="14698" a="1"/>
  <c r="P80" i="14698" a="1"/>
  <c r="P80" i="14698" s="1"/>
  <c r="V74" i="14698" a="1"/>
  <c r="V74" i="14698" s="1"/>
  <c r="N26" i="14698"/>
  <c r="D229" i="14698" a="1"/>
  <c r="M238" i="14698" a="1"/>
  <c r="H243" i="14698" a="1"/>
  <c r="N165" i="14698" a="1"/>
  <c r="E192" i="14698" a="1"/>
  <c r="D193" i="14698" a="1"/>
  <c r="M184" i="14698" a="1"/>
  <c r="N79" i="14698" a="1"/>
  <c r="N79" i="14698" s="1"/>
  <c r="O78" i="14698" a="1"/>
  <c r="O78" i="14698" s="1"/>
  <c r="K82" i="14698" a="1"/>
  <c r="K82" i="14698" s="1"/>
  <c r="B231" i="14698" a="1"/>
  <c r="K222" i="14698" a="1"/>
  <c r="H79" i="14698" a="1"/>
  <c r="H79" i="14698" s="1"/>
  <c r="N147" i="14698" a="1"/>
  <c r="G190" i="14698" a="1"/>
  <c r="H81" i="14698" a="1"/>
  <c r="H81" i="14698" s="1"/>
  <c r="S77" i="14698" a="1"/>
  <c r="S77" i="14698" s="1"/>
  <c r="M83" i="14698" a="1"/>
  <c r="M83" i="14698" s="1"/>
  <c r="O73" i="14698" a="1"/>
  <c r="O73" i="14698" s="1"/>
  <c r="P72" i="14698" a="1"/>
  <c r="P72" i="14698" s="1"/>
  <c r="E83" i="14698" a="1"/>
  <c r="E83" i="14698" s="1"/>
  <c r="G83" i="14698" a="1"/>
  <c r="G83" i="14698" s="1"/>
  <c r="J80" i="14698" a="1"/>
  <c r="J80" i="14698" s="1"/>
  <c r="I116" i="14698" a="1"/>
  <c r="D175" i="14698" a="1"/>
  <c r="B177" i="14698" a="1"/>
  <c r="K168" i="14698" a="1"/>
  <c r="B84" i="14698" a="1"/>
  <c r="B84" i="14698" s="1"/>
  <c r="I242" i="14698" a="1"/>
  <c r="K240" i="14698" a="1"/>
  <c r="J187" i="14698" a="1"/>
  <c r="I188" i="14698" a="1"/>
  <c r="C194" i="14698" a="1"/>
  <c r="N183" i="14698" a="1"/>
  <c r="B195" i="14698" a="1"/>
  <c r="K186" i="14698" a="1"/>
  <c r="E246" i="14698" a="1"/>
  <c r="B249" i="14698" a="1"/>
  <c r="E174" i="14698" a="1"/>
  <c r="O81" i="14698" a="1"/>
  <c r="O81" i="14698" s="1"/>
  <c r="T76" i="14698" a="1"/>
  <c r="T76" i="14698" s="1"/>
  <c r="N82" i="14698" a="1"/>
  <c r="N82" i="14698" s="1"/>
  <c r="M220" i="14698" a="1"/>
  <c r="N219" i="14698" a="1"/>
  <c r="J223" i="14698" a="1"/>
  <c r="E228" i="14698" a="1"/>
  <c r="I134" i="14698" a="1"/>
  <c r="P79" i="14698" a="1"/>
  <c r="P79" i="14698" s="1"/>
  <c r="Q80" i="14698" a="1"/>
  <c r="Q80" i="14698" s="1"/>
  <c r="R72" i="14698" a="1"/>
  <c r="R72" i="14698" s="1"/>
  <c r="I81" i="14698" a="1"/>
  <c r="I81" i="14698" s="1"/>
  <c r="P74" i="14698" a="1"/>
  <c r="P74" i="14698" s="1"/>
  <c r="F84" i="14698" a="1"/>
  <c r="F84" i="14698" s="1"/>
  <c r="F82" i="14698" a="1"/>
  <c r="F82" i="14698" s="1"/>
  <c r="M75" i="14698" a="1"/>
  <c r="M75" i="14698" s="1"/>
  <c r="I79" i="14698" a="1"/>
  <c r="I79" i="14698" s="1"/>
  <c r="K204" i="14698" a="1"/>
  <c r="M78" i="14698" a="1"/>
  <c r="M78" i="14698" s="1"/>
  <c r="U73" i="14698" a="1"/>
  <c r="U73" i="14698" s="1"/>
  <c r="N23" i="14698"/>
  <c r="C48" i="14643"/>
  <c r="D7" i="14683"/>
  <c r="D6" i="14683"/>
  <c r="D8" i="14683"/>
  <c r="D12" i="14683"/>
  <c r="I27" i="14623"/>
  <c r="I10" i="14631" s="1"/>
  <c r="F27" i="14623"/>
  <c r="C27" i="14623"/>
  <c r="H8" i="14667"/>
  <c r="F41" i="14661"/>
  <c r="B22" i="14640" s="1" a="1"/>
  <c r="H41" i="14661"/>
  <c r="B22" i="14671" s="1" a="1"/>
  <c r="D41" i="14661"/>
  <c r="G41" i="14661"/>
  <c r="B22" i="14670" s="1" a="1"/>
  <c r="E41" i="14661"/>
  <c r="B22" i="14631" s="1" a="1"/>
  <c r="L76" i="14665"/>
  <c r="E60" i="4128"/>
  <c r="N36" i="14695"/>
  <c r="B35" i="14695" a="1"/>
  <c r="B32" i="14707"/>
  <c r="B7" i="8" a="1"/>
  <c r="N5" i="8"/>
  <c r="B5" i="14617" s="1" a="1"/>
  <c r="R28" i="14623"/>
  <c r="F25" i="14632" a="1"/>
  <c r="P28" i="14623"/>
  <c r="D23" i="14632" a="1"/>
  <c r="Q28" i="14623"/>
  <c r="E24" i="14632" a="1"/>
  <c r="N32" i="7"/>
  <c r="N37" i="7"/>
  <c r="K27" i="14623"/>
  <c r="L6" i="14667"/>
  <c r="V72" i="14703" a="1"/>
  <c r="V72" i="14703" s="1"/>
  <c r="L82" i="14703" a="1"/>
  <c r="L82" i="14703" s="1"/>
  <c r="M81" i="14703" a="1"/>
  <c r="M81" i="14703" s="1"/>
  <c r="K83" i="14703" a="1"/>
  <c r="K83" i="14703" s="1"/>
  <c r="N80" i="14703" a="1"/>
  <c r="N80" i="14703" s="1"/>
  <c r="T74" i="14703" a="1"/>
  <c r="T74" i="14703" s="1"/>
  <c r="J28" i="14703"/>
  <c r="Q77" i="14703" a="1"/>
  <c r="Q77" i="14703" s="1"/>
  <c r="U73" i="14703" a="1"/>
  <c r="U73" i="14703" s="1"/>
  <c r="R76" i="14703" a="1"/>
  <c r="R76" i="14703" s="1"/>
  <c r="P78" i="14703" a="1"/>
  <c r="P78" i="14703" s="1"/>
  <c r="J84" i="14703" a="1"/>
  <c r="J84" i="14703" s="1"/>
  <c r="S75" i="14703" a="1"/>
  <c r="S75" i="14703" s="1"/>
  <c r="O79" i="14703" a="1"/>
  <c r="O79" i="14703" s="1"/>
  <c r="P80" i="14703" a="1"/>
  <c r="P80" i="14703" s="1"/>
  <c r="V74" i="14703" a="1"/>
  <c r="V74" i="14703" s="1"/>
  <c r="S77" i="14703" a="1"/>
  <c r="S77" i="14703" s="1"/>
  <c r="W73" i="14703" a="1"/>
  <c r="W73" i="14703" s="1"/>
  <c r="X72" i="14703" a="1"/>
  <c r="X72" i="14703" s="1"/>
  <c r="U75" i="14703" a="1"/>
  <c r="U75" i="14703" s="1"/>
  <c r="L28" i="14703"/>
  <c r="O81" i="14703" a="1"/>
  <c r="O81" i="14703" s="1"/>
  <c r="N82" i="14703" a="1"/>
  <c r="N82" i="14703" s="1"/>
  <c r="R78" i="14703" a="1"/>
  <c r="R78" i="14703" s="1"/>
  <c r="Q79" i="14703" a="1"/>
  <c r="Q79" i="14703" s="1"/>
  <c r="M83" i="14703" a="1"/>
  <c r="M83" i="14703" s="1"/>
  <c r="T76" i="14703" a="1"/>
  <c r="T76" i="14703" s="1"/>
  <c r="L84" i="14703" a="1"/>
  <c r="L84" i="14703" s="1"/>
  <c r="S78" i="14703" a="1"/>
  <c r="S78" i="14703" s="1"/>
  <c r="Y72" i="14703" a="1"/>
  <c r="Y72" i="14703" s="1"/>
  <c r="U76" i="14703" a="1"/>
  <c r="U76" i="14703" s="1"/>
  <c r="W74" i="14703" a="1"/>
  <c r="W74" i="14703" s="1"/>
  <c r="R79" i="14703" a="1"/>
  <c r="R79" i="14703" s="1"/>
  <c r="M28" i="14703"/>
  <c r="V75" i="14703" a="1"/>
  <c r="V75" i="14703" s="1"/>
  <c r="X73" i="14703" a="1"/>
  <c r="X73" i="14703" s="1"/>
  <c r="T77" i="14703" a="1"/>
  <c r="T77" i="14703" s="1"/>
  <c r="N83" i="14703" a="1"/>
  <c r="N83" i="14703" s="1"/>
  <c r="P81" i="14703" a="1"/>
  <c r="P81" i="14703" s="1"/>
  <c r="M84" i="14703" a="1"/>
  <c r="M84" i="14703" s="1"/>
  <c r="O82" i="14703" a="1"/>
  <c r="O82" i="14703" s="1"/>
  <c r="Q80" i="14703" a="1"/>
  <c r="Q80" i="14703" s="1"/>
  <c r="S73" i="14703" a="1"/>
  <c r="S73" i="14703" s="1"/>
  <c r="K81" i="14703" a="1"/>
  <c r="K81" i="14703" s="1"/>
  <c r="R74" i="14703" a="1"/>
  <c r="R74" i="14703" s="1"/>
  <c r="T72" i="14703" a="1"/>
  <c r="T72" i="14703" s="1"/>
  <c r="H28" i="14703"/>
  <c r="O77" i="14703" a="1"/>
  <c r="O77" i="14703" s="1"/>
  <c r="Q75" i="14703" a="1"/>
  <c r="Q75" i="14703" s="1"/>
  <c r="P76" i="14703" a="1"/>
  <c r="P76" i="14703" s="1"/>
  <c r="J82" i="14703" a="1"/>
  <c r="J82" i="14703" s="1"/>
  <c r="L80" i="14703" a="1"/>
  <c r="L80" i="14703" s="1"/>
  <c r="N78" i="14703" a="1"/>
  <c r="N78" i="14703" s="1"/>
  <c r="M79" i="14703" a="1"/>
  <c r="M79" i="14703" s="1"/>
  <c r="I83" i="14703" a="1"/>
  <c r="I83" i="14703" s="1"/>
  <c r="H84" i="14703" a="1"/>
  <c r="H84" i="14703" s="1"/>
  <c r="J80" i="14703" a="1"/>
  <c r="J80" i="14703" s="1"/>
  <c r="L78" i="14703" a="1"/>
  <c r="L78" i="14703" s="1"/>
  <c r="N76" i="14703" a="1"/>
  <c r="N76" i="14703" s="1"/>
  <c r="R72" i="14703" a="1"/>
  <c r="R72" i="14703" s="1"/>
  <c r="Q73" i="14703" a="1"/>
  <c r="Q73" i="14703" s="1"/>
  <c r="P74" i="14703" a="1"/>
  <c r="P74" i="14703" s="1"/>
  <c r="M77" i="14703" a="1"/>
  <c r="M77" i="14703" s="1"/>
  <c r="O75" i="14703" a="1"/>
  <c r="O75" i="14703" s="1"/>
  <c r="F84" i="14703" a="1"/>
  <c r="F84" i="14703" s="1"/>
  <c r="G83" i="14703" a="1"/>
  <c r="G83" i="14703" s="1"/>
  <c r="H82" i="14703" a="1"/>
  <c r="H82" i="14703" s="1"/>
  <c r="I81" i="14703" a="1"/>
  <c r="I81" i="14703" s="1"/>
  <c r="F28" i="14703"/>
  <c r="K79" i="14703" a="1"/>
  <c r="K79" i="14703" s="1"/>
  <c r="E174" i="14703" a="1"/>
  <c r="K168" i="14703" a="1"/>
  <c r="M166" i="14703" a="1"/>
  <c r="N23" i="14703"/>
  <c r="C176" i="14703" a="1"/>
  <c r="I170" i="14703" a="1"/>
  <c r="N165" i="14703" a="1"/>
  <c r="L167" i="14703" a="1"/>
  <c r="H171" i="14703" a="1"/>
  <c r="D175" i="14703" a="1"/>
  <c r="J169" i="14703" a="1"/>
  <c r="F173" i="14703" a="1"/>
  <c r="G172" i="14703" a="1"/>
  <c r="B177" i="14703" a="1"/>
  <c r="P72" i="14703" a="1"/>
  <c r="P72" i="14703" s="1"/>
  <c r="O73" i="14703" a="1"/>
  <c r="O73" i="14703" s="1"/>
  <c r="M75" i="14703" a="1"/>
  <c r="M75" i="14703" s="1"/>
  <c r="K77" i="14703" a="1"/>
  <c r="K77" i="14703" s="1"/>
  <c r="G81" i="14703" a="1"/>
  <c r="G81" i="14703" s="1"/>
  <c r="D28" i="14703"/>
  <c r="N74" i="14703" a="1"/>
  <c r="N74" i="14703" s="1"/>
  <c r="E83" i="14703" a="1"/>
  <c r="E83" i="14703" s="1"/>
  <c r="J78" i="14703" a="1"/>
  <c r="J78" i="14703" s="1"/>
  <c r="F82" i="14703" a="1"/>
  <c r="F82" i="14703" s="1"/>
  <c r="I79" i="14703" a="1"/>
  <c r="I79" i="14703" s="1"/>
  <c r="D84" i="14703" a="1"/>
  <c r="D84" i="14703" s="1"/>
  <c r="H80" i="14703" a="1"/>
  <c r="H80" i="14703" s="1"/>
  <c r="L76" i="14703" a="1"/>
  <c r="L76" i="14703" s="1"/>
  <c r="Q74" i="14703" a="1"/>
  <c r="Q74" i="14703" s="1"/>
  <c r="O76" i="14703" a="1"/>
  <c r="O76" i="14703" s="1"/>
  <c r="G84" i="14703" a="1"/>
  <c r="G84" i="14703" s="1"/>
  <c r="N77" i="14703" a="1"/>
  <c r="N77" i="14703" s="1"/>
  <c r="I82" i="14703" a="1"/>
  <c r="I82" i="14703" s="1"/>
  <c r="S72" i="14703" a="1"/>
  <c r="S72" i="14703" s="1"/>
  <c r="J81" i="14703" a="1"/>
  <c r="J81" i="14703" s="1"/>
  <c r="P75" i="14703" a="1"/>
  <c r="P75" i="14703" s="1"/>
  <c r="M78" i="14703" a="1"/>
  <c r="M78" i="14703" s="1"/>
  <c r="K80" i="14703" a="1"/>
  <c r="K80" i="14703" s="1"/>
  <c r="G28" i="14703"/>
  <c r="H83" i="14703" a="1"/>
  <c r="H83" i="14703" s="1"/>
  <c r="L79" i="14703" a="1"/>
  <c r="L79" i="14703" s="1"/>
  <c r="R73" i="14703" a="1"/>
  <c r="R73" i="14703" s="1"/>
  <c r="W72" i="14703" a="1"/>
  <c r="W72" i="14703" s="1"/>
  <c r="N81" i="14703" a="1"/>
  <c r="N81" i="14703" s="1"/>
  <c r="M82" i="14703" a="1"/>
  <c r="M82" i="14703" s="1"/>
  <c r="T75" i="14703" a="1"/>
  <c r="T75" i="14703" s="1"/>
  <c r="Q78" i="14703" a="1"/>
  <c r="Q78" i="14703" s="1"/>
  <c r="U74" i="14703" a="1"/>
  <c r="U74" i="14703" s="1"/>
  <c r="K28" i="14703"/>
  <c r="O80" i="14703" a="1"/>
  <c r="O80" i="14703" s="1"/>
  <c r="R77" i="14703" a="1"/>
  <c r="R77" i="14703" s="1"/>
  <c r="K84" i="14703" a="1"/>
  <c r="K84" i="14703" s="1"/>
  <c r="P79" i="14703" a="1"/>
  <c r="P79" i="14703" s="1"/>
  <c r="S76" i="14703" a="1"/>
  <c r="S76" i="14703" s="1"/>
  <c r="L83" i="14703" a="1"/>
  <c r="L83" i="14703" s="1"/>
  <c r="V73" i="14703" a="1"/>
  <c r="V73" i="14703" s="1"/>
  <c r="P73" i="14703" a="1"/>
  <c r="P73" i="14703" s="1"/>
  <c r="I80" i="14703" a="1"/>
  <c r="I80" i="14703" s="1"/>
  <c r="J79" i="14703" a="1"/>
  <c r="J79" i="14703" s="1"/>
  <c r="Q72" i="14703" a="1"/>
  <c r="Q72" i="14703" s="1"/>
  <c r="F83" i="14703" a="1"/>
  <c r="F83" i="14703" s="1"/>
  <c r="O74" i="14703" a="1"/>
  <c r="O74" i="14703" s="1"/>
  <c r="L77" i="14703" a="1"/>
  <c r="L77" i="14703" s="1"/>
  <c r="E84" i="14703" a="1"/>
  <c r="E84" i="14703" s="1"/>
  <c r="H81" i="14703" a="1"/>
  <c r="H81" i="14703" s="1"/>
  <c r="N75" i="14703" a="1"/>
  <c r="N75" i="14703" s="1"/>
  <c r="M76" i="14703" a="1"/>
  <c r="M76" i="14703" s="1"/>
  <c r="G82" i="14703" a="1"/>
  <c r="G82" i="14703" s="1"/>
  <c r="E28" i="14703"/>
  <c r="K78" i="14703" a="1"/>
  <c r="K78" i="14703" s="1"/>
  <c r="H207" i="14703" a="1"/>
  <c r="G208" i="14703" a="1"/>
  <c r="N201" i="14703" a="1"/>
  <c r="L203" i="14703" a="1"/>
  <c r="C212" i="14703" a="1"/>
  <c r="I206" i="14703" a="1"/>
  <c r="D211" i="14703" a="1"/>
  <c r="F209" i="14703" a="1"/>
  <c r="K204" i="14703" a="1"/>
  <c r="N25" i="14703"/>
  <c r="B213" i="14703" a="1"/>
  <c r="J205" i="14703" a="1"/>
  <c r="E210" i="14703" a="1"/>
  <c r="M202" i="14703" a="1"/>
  <c r="E21" i="14661" a="1"/>
  <c r="E21" i="14661" s="1"/>
  <c r="D39" i="4128" s="1"/>
  <c r="C20" i="14649" s="1" a="1"/>
  <c r="E6" i="14690" a="1"/>
  <c r="N57" i="14695"/>
  <c r="B56" i="14695" a="1"/>
  <c r="B21" i="14695" a="1"/>
  <c r="N22" i="14695"/>
  <c r="B42" i="14695" a="1"/>
  <c r="N43" i="14695"/>
  <c r="B27" i="14683"/>
  <c r="D11" i="14707"/>
  <c r="D18" i="14707"/>
  <c r="D13" i="14707"/>
  <c r="D14" i="14707"/>
  <c r="D17" i="14707"/>
  <c r="D16" i="14707"/>
  <c r="D15" i="14707"/>
  <c r="D12" i="14707"/>
  <c r="J27" i="14623"/>
  <c r="L27" i="14623"/>
  <c r="B21" i="14632" a="1"/>
  <c r="N28" i="14623"/>
  <c r="G26" i="14632"/>
  <c r="S28" i="14623"/>
  <c r="M27" i="14623"/>
  <c r="O28" i="14623"/>
  <c r="C22" i="14632" a="1"/>
  <c r="N15" i="14623"/>
  <c r="G27" i="14623"/>
  <c r="G14" i="14652"/>
  <c r="F7" i="14652" a="1"/>
  <c r="N29" i="14695"/>
  <c r="B28" i="14695" a="1"/>
  <c r="B49" i="14695" a="1"/>
  <c r="N50" i="14695"/>
  <c r="N34" i="7"/>
  <c r="N33" i="7"/>
  <c r="N35" i="7"/>
  <c r="N39" i="7"/>
  <c r="N36" i="7"/>
  <c r="N38" i="7"/>
  <c r="O39" i="14628"/>
  <c r="C41" i="14628" a="1"/>
  <c r="O19" i="14628"/>
  <c r="E27" i="14623"/>
  <c r="D27" i="14623"/>
  <c r="H27" i="14623"/>
  <c r="G136" i="14703" a="1"/>
  <c r="J133" i="14703" a="1"/>
  <c r="B141" i="14703" a="1"/>
  <c r="I134" i="14703" a="1"/>
  <c r="N21" i="14703"/>
  <c r="F137" i="14703" a="1"/>
  <c r="H135" i="14703" a="1"/>
  <c r="K132" i="14703" a="1"/>
  <c r="L131" i="14703" a="1"/>
  <c r="N129" i="14703" a="1"/>
  <c r="C140" i="14703" a="1"/>
  <c r="M130" i="14703" a="1"/>
  <c r="D139" i="14703" a="1"/>
  <c r="E138" i="14703" a="1"/>
  <c r="N22" i="14703"/>
  <c r="G154" i="14703" a="1"/>
  <c r="E156" i="14703" a="1"/>
  <c r="K150" i="14703" a="1"/>
  <c r="C158" i="14703" a="1"/>
  <c r="H153" i="14703" a="1"/>
  <c r="M148" i="14703" a="1"/>
  <c r="I152" i="14703" a="1"/>
  <c r="L149" i="14703" a="1"/>
  <c r="F155" i="14703" a="1"/>
  <c r="J151" i="14703" a="1"/>
  <c r="N147" i="14703" a="1"/>
  <c r="D157" i="14703" a="1"/>
  <c r="B159" i="14703" a="1"/>
  <c r="D229" i="14703" a="1"/>
  <c r="E228" i="14703" a="1"/>
  <c r="K222" i="14703" a="1"/>
  <c r="I224" i="14703" a="1"/>
  <c r="N26" i="14703"/>
  <c r="B231" i="14703" a="1"/>
  <c r="G226" i="14703" a="1"/>
  <c r="H225" i="14703" a="1"/>
  <c r="J223" i="14703" a="1"/>
  <c r="F227" i="14703" a="1"/>
  <c r="C230" i="14703" a="1"/>
  <c r="N219" i="14703" a="1"/>
  <c r="L221" i="14703" a="1"/>
  <c r="M220" i="14703" a="1"/>
  <c r="J76" i="14703" a="1"/>
  <c r="J76" i="14703" s="1"/>
  <c r="N20" i="14703"/>
  <c r="I116" i="14703" a="1"/>
  <c r="E81" i="14703" a="1"/>
  <c r="E81" i="14703" s="1"/>
  <c r="L74" i="14703" a="1"/>
  <c r="L74" i="14703" s="1"/>
  <c r="E120" i="14703" a="1"/>
  <c r="H117" i="14703" a="1"/>
  <c r="B28" i="14703"/>
  <c r="D121" i="14703" a="1"/>
  <c r="H78" i="14703" a="1"/>
  <c r="H78" i="14703" s="1"/>
  <c r="G118" i="14703" a="1"/>
  <c r="K114" i="14703" a="1"/>
  <c r="F119" i="14703" a="1"/>
  <c r="I77" i="14703" a="1"/>
  <c r="I77" i="14703" s="1"/>
  <c r="K75" i="14703" a="1"/>
  <c r="K75" i="14703" s="1"/>
  <c r="G79" i="14703" a="1"/>
  <c r="G79" i="14703" s="1"/>
  <c r="J115" i="14703" a="1"/>
  <c r="N111" i="14703" a="1"/>
  <c r="C122" i="14703" a="1"/>
  <c r="N72" i="14703" a="1"/>
  <c r="N72" i="14703" s="1"/>
  <c r="B123" i="14703" a="1"/>
  <c r="B32" i="14703" a="1"/>
  <c r="M112" i="14703" a="1"/>
  <c r="L113" i="14703" a="1"/>
  <c r="F80" i="14703" a="1"/>
  <c r="F80" i="14703" s="1"/>
  <c r="M73" i="14703" a="1"/>
  <c r="M73" i="14703" s="1"/>
  <c r="D82" i="14703" a="1"/>
  <c r="D82" i="14703" s="1"/>
  <c r="C83" i="14703" a="1"/>
  <c r="C83" i="14703" s="1"/>
  <c r="B84" i="14703" a="1"/>
  <c r="B84" i="14703" s="1"/>
  <c r="B85" i="14703" s="1"/>
  <c r="U72" i="14703" a="1"/>
  <c r="U72" i="14703" s="1"/>
  <c r="J83" i="14703" a="1"/>
  <c r="J83" i="14703" s="1"/>
  <c r="M80" i="14703" a="1"/>
  <c r="M80" i="14703" s="1"/>
  <c r="R75" i="14703" a="1"/>
  <c r="R75" i="14703" s="1"/>
  <c r="I84" i="14703" a="1"/>
  <c r="I84" i="14703" s="1"/>
  <c r="K82" i="14703" a="1"/>
  <c r="K82" i="14703" s="1"/>
  <c r="O78" i="14703" a="1"/>
  <c r="O78" i="14703" s="1"/>
  <c r="P77" i="14703" a="1"/>
  <c r="P77" i="14703" s="1"/>
  <c r="L81" i="14703" a="1"/>
  <c r="L81" i="14703" s="1"/>
  <c r="Q76" i="14703" a="1"/>
  <c r="Q76" i="14703" s="1"/>
  <c r="I28" i="14703"/>
  <c r="T73" i="14703" a="1"/>
  <c r="T73" i="14703" s="1"/>
  <c r="N79" i="14703" a="1"/>
  <c r="N79" i="14703" s="1"/>
  <c r="S74" i="14703" a="1"/>
  <c r="S74" i="14703" s="1"/>
  <c r="I188" i="14703" a="1"/>
  <c r="B195" i="14703" a="1"/>
  <c r="K186" i="14703" a="1"/>
  <c r="F191" i="14703" a="1"/>
  <c r="E192" i="14703" a="1"/>
  <c r="C194" i="14703" a="1"/>
  <c r="M184" i="14703" a="1"/>
  <c r="J187" i="14703" a="1"/>
  <c r="N24" i="14703"/>
  <c r="N183" i="14703" a="1"/>
  <c r="H189" i="14703" a="1"/>
  <c r="D193" i="14703" a="1"/>
  <c r="L185" i="14703" a="1"/>
  <c r="G190" i="14703" a="1"/>
  <c r="D247" i="14703" a="1"/>
  <c r="N237" i="14703" a="1"/>
  <c r="I242" i="14703" a="1"/>
  <c r="C248" i="14703" a="1"/>
  <c r="H243" i="14703" a="1"/>
  <c r="N27" i="14703"/>
  <c r="F245" i="14703" a="1"/>
  <c r="E246" i="14703" a="1"/>
  <c r="J241" i="14703" a="1"/>
  <c r="K240" i="14703" a="1"/>
  <c r="B249" i="14703" a="1"/>
  <c r="M238" i="14703" a="1"/>
  <c r="L239" i="14703" a="1"/>
  <c r="G244" i="14703" a="1"/>
  <c r="I78" i="14703" a="1"/>
  <c r="I78" i="14703" s="1"/>
  <c r="E82" i="14703" a="1"/>
  <c r="E82" i="14703" s="1"/>
  <c r="J77" i="14703" a="1"/>
  <c r="J77" i="14703" s="1"/>
  <c r="H79" i="14703" a="1"/>
  <c r="H79" i="14703" s="1"/>
  <c r="F81" i="14703" a="1"/>
  <c r="F81" i="14703" s="1"/>
  <c r="O72" i="14703" a="1"/>
  <c r="O72" i="14703" s="1"/>
  <c r="C84" i="14703" a="1"/>
  <c r="C84" i="14703" s="1"/>
  <c r="N73" i="14703" a="1"/>
  <c r="N73" i="14703" s="1"/>
  <c r="M74" i="14703" a="1"/>
  <c r="M74" i="14703" s="1"/>
  <c r="K76" i="14703" a="1"/>
  <c r="K76" i="14703" s="1"/>
  <c r="C28" i="14703"/>
  <c r="G80" i="14703" a="1"/>
  <c r="G80" i="14703" s="1"/>
  <c r="L75" i="14703" a="1"/>
  <c r="L75" i="14703" s="1"/>
  <c r="D83" i="14703" a="1"/>
  <c r="D83" i="14703" s="1"/>
  <c r="F25" i="14672" l="1"/>
  <c r="O171" i="14698"/>
  <c r="E25" i="14672"/>
  <c r="L25" i="14672"/>
  <c r="H25" i="14672"/>
  <c r="M25" i="14672"/>
  <c r="C25" i="14672"/>
  <c r="G25" i="14672"/>
  <c r="I25" i="14672"/>
  <c r="N24" i="14672"/>
  <c r="N23" i="14672"/>
  <c r="E21" i="14682" s="1" a="1"/>
  <c r="D25" i="14672"/>
  <c r="B37" i="14667"/>
  <c r="E19" i="14673" a="1"/>
  <c r="B17" i="11"/>
  <c r="B16" i="11" s="1"/>
  <c r="B33" i="14667"/>
  <c r="B35" i="14706"/>
  <c r="B34" i="14706" s="1"/>
  <c r="B18" i="14692" a="1"/>
  <c r="H18" i="14705"/>
  <c r="H17" i="14705" s="1"/>
  <c r="H24" i="14705"/>
  <c r="G60" i="14694"/>
  <c r="K60" i="14694"/>
  <c r="J60" i="14694"/>
  <c r="F60" i="14694"/>
  <c r="M60" i="14694"/>
  <c r="H60" i="14694"/>
  <c r="I60" i="14694"/>
  <c r="E60" i="14694"/>
  <c r="C60" i="14694"/>
  <c r="D60" i="14694"/>
  <c r="B60" i="14694"/>
  <c r="L60" i="14694"/>
  <c r="J44" i="14694"/>
  <c r="M44" i="14694"/>
  <c r="E44" i="14694"/>
  <c r="I44" i="14694"/>
  <c r="K44" i="14694"/>
  <c r="F44" i="14694"/>
  <c r="B44" i="14694"/>
  <c r="H44" i="14694"/>
  <c r="C44" i="14694"/>
  <c r="G44" i="14694"/>
  <c r="L44" i="14694"/>
  <c r="D44" i="14694"/>
  <c r="E16" i="14648"/>
  <c r="D16" i="14648"/>
  <c r="F16" i="14648"/>
  <c r="N16" i="14648"/>
  <c r="C16" i="14648"/>
  <c r="H16" i="14648"/>
  <c r="K16" i="14648"/>
  <c r="I16" i="14648"/>
  <c r="G16" i="14648"/>
  <c r="J16" i="14648"/>
  <c r="L16" i="14648"/>
  <c r="M16" i="14648"/>
  <c r="D31" i="14648"/>
  <c r="K31" i="14648"/>
  <c r="I31" i="14648"/>
  <c r="G31" i="14648"/>
  <c r="N31" i="14648"/>
  <c r="J31" i="14648"/>
  <c r="M31" i="14648"/>
  <c r="E31" i="14648"/>
  <c r="F31" i="14648"/>
  <c r="C31" i="14648"/>
  <c r="L31" i="14648"/>
  <c r="H31" i="14648"/>
  <c r="L46" i="14648"/>
  <c r="I46" i="14648"/>
  <c r="H46" i="14648"/>
  <c r="N46" i="14648"/>
  <c r="F46" i="14648"/>
  <c r="E46" i="14648"/>
  <c r="J46" i="14648"/>
  <c r="K46" i="14648"/>
  <c r="C46" i="14648"/>
  <c r="M46" i="14648"/>
  <c r="D46" i="14648"/>
  <c r="G46" i="14648"/>
  <c r="C21" i="14682"/>
  <c r="C22" i="14682"/>
  <c r="E36" i="14694"/>
  <c r="M36" i="14694"/>
  <c r="G36" i="14694"/>
  <c r="L36" i="14694"/>
  <c r="I36" i="14694"/>
  <c r="C36" i="14694"/>
  <c r="F36" i="14694"/>
  <c r="J36" i="14694"/>
  <c r="B36" i="14694"/>
  <c r="H36" i="14694"/>
  <c r="D36" i="14694"/>
  <c r="K36" i="14694"/>
  <c r="K76" i="14648"/>
  <c r="C76" i="14648"/>
  <c r="M76" i="14648"/>
  <c r="E76" i="14648"/>
  <c r="L76" i="14648"/>
  <c r="G76" i="14648"/>
  <c r="D76" i="14648"/>
  <c r="I76" i="14648"/>
  <c r="H76" i="14648"/>
  <c r="F76" i="14648"/>
  <c r="N76" i="14648"/>
  <c r="J76" i="14648"/>
  <c r="I21" i="14694"/>
  <c r="M21" i="14694"/>
  <c r="G21" i="14694"/>
  <c r="F21" i="14694"/>
  <c r="C21" i="14694"/>
  <c r="D21" i="14694"/>
  <c r="J21" i="14694"/>
  <c r="K21" i="14694"/>
  <c r="L21" i="14694"/>
  <c r="E21" i="14694"/>
  <c r="B21" i="14694"/>
  <c r="H21" i="14694"/>
  <c r="D15" i="14617"/>
  <c r="F15" i="14617" s="1"/>
  <c r="C13" i="14682"/>
  <c r="G52" i="14694"/>
  <c r="E52" i="14694"/>
  <c r="L52" i="14694"/>
  <c r="M52" i="14694"/>
  <c r="I52" i="14694"/>
  <c r="C52" i="14694"/>
  <c r="K52" i="14694"/>
  <c r="D52" i="14694"/>
  <c r="F52" i="14694"/>
  <c r="J52" i="14694"/>
  <c r="B52" i="14694"/>
  <c r="H52" i="14694"/>
  <c r="G61" i="14648"/>
  <c r="J61" i="14648"/>
  <c r="L61" i="14648"/>
  <c r="E61" i="14648"/>
  <c r="F61" i="14648"/>
  <c r="I61" i="14648"/>
  <c r="D61" i="14648"/>
  <c r="N61" i="14648"/>
  <c r="M61" i="14648"/>
  <c r="C61" i="14648"/>
  <c r="H61" i="14648"/>
  <c r="K61" i="14648"/>
  <c r="E28" i="14694"/>
  <c r="M28" i="14694"/>
  <c r="F28" i="14694"/>
  <c r="G28" i="14694"/>
  <c r="B28" i="14694"/>
  <c r="C28" i="14694"/>
  <c r="K28" i="14694"/>
  <c r="D28" i="14694"/>
  <c r="I28" i="14694"/>
  <c r="L28" i="14694"/>
  <c r="H28" i="14694"/>
  <c r="J28" i="14694"/>
  <c r="N66" i="14653"/>
  <c r="M22" i="14662"/>
  <c r="G15" i="14673"/>
  <c r="J15" i="14673"/>
  <c r="C15" i="14673"/>
  <c r="N12" i="14673"/>
  <c r="E15" i="14673"/>
  <c r="E19" i="14673"/>
  <c r="H11" i="14700"/>
  <c r="K15" i="14700"/>
  <c r="F11" i="14700"/>
  <c r="M15" i="14700"/>
  <c r="C8" i="14700"/>
  <c r="J11" i="14700"/>
  <c r="M11" i="14700"/>
  <c r="D9" i="14700"/>
  <c r="I12" i="14700"/>
  <c r="E13" i="14700"/>
  <c r="I10" i="14700"/>
  <c r="C13" i="14700"/>
  <c r="B13" i="14700"/>
  <c r="D10" i="14700"/>
  <c r="F12" i="14700"/>
  <c r="L10" i="14700"/>
  <c r="C12" i="14700"/>
  <c r="H8" i="14700"/>
  <c r="H14" i="14700"/>
  <c r="D14" i="14700"/>
  <c r="F15" i="14700"/>
  <c r="J12" i="14700"/>
  <c r="J14" i="14700"/>
  <c r="D15" i="14700"/>
  <c r="K8" i="14700"/>
  <c r="C14" i="14700"/>
  <c r="B10" i="14700"/>
  <c r="H10" i="14700"/>
  <c r="L14" i="14700"/>
  <c r="L9" i="14700"/>
  <c r="B15" i="14700"/>
  <c r="C15" i="14700"/>
  <c r="J15" i="14700"/>
  <c r="E12" i="14700"/>
  <c r="M14" i="14700"/>
  <c r="D12" i="14700"/>
  <c r="I9" i="14700"/>
  <c r="B8" i="14700"/>
  <c r="B9" i="14700"/>
  <c r="J10" i="14700"/>
  <c r="M9" i="14700"/>
  <c r="K13" i="14700"/>
  <c r="F13" i="14700"/>
  <c r="D8" i="14700"/>
  <c r="G11" i="14700"/>
  <c r="F14" i="14700"/>
  <c r="G15" i="14700"/>
  <c r="E8" i="14700"/>
  <c r="K12" i="14700"/>
  <c r="C9" i="14700"/>
  <c r="E10" i="14700"/>
  <c r="H12" i="14700"/>
  <c r="M8" i="14700"/>
  <c r="B14" i="14700"/>
  <c r="G8" i="14700"/>
  <c r="I13" i="14700"/>
  <c r="F8" i="14700"/>
  <c r="C11" i="14700"/>
  <c r="L11" i="14700"/>
  <c r="F10" i="14700"/>
  <c r="H9" i="14700"/>
  <c r="G13" i="14700"/>
  <c r="L13" i="14700"/>
  <c r="L8" i="14700"/>
  <c r="L12" i="14700"/>
  <c r="I14" i="14700"/>
  <c r="D13" i="14700"/>
  <c r="J8" i="14700"/>
  <c r="I15" i="14700"/>
  <c r="K11" i="14700"/>
  <c r="H15" i="14700"/>
  <c r="G14" i="14700"/>
  <c r="J13" i="14700"/>
  <c r="H13" i="14700"/>
  <c r="G9" i="14700"/>
  <c r="F9" i="14700"/>
  <c r="G10" i="14700"/>
  <c r="D11" i="14700"/>
  <c r="M10" i="14700"/>
  <c r="E11" i="14700"/>
  <c r="I11" i="14700"/>
  <c r="J9" i="14700"/>
  <c r="L15" i="14700"/>
  <c r="G12" i="14700"/>
  <c r="E9" i="14700"/>
  <c r="M12" i="14700"/>
  <c r="K9" i="14700"/>
  <c r="K14" i="14700"/>
  <c r="E14" i="14700"/>
  <c r="B12" i="14700"/>
  <c r="E15" i="14700"/>
  <c r="M13" i="14700"/>
  <c r="K10" i="14700"/>
  <c r="I8" i="14700"/>
  <c r="B11" i="14700"/>
  <c r="C10" i="14700"/>
  <c r="N78" i="14653"/>
  <c r="B8" i="14704" a="1"/>
  <c r="B79" i="14653"/>
  <c r="N79" i="14653" s="1"/>
  <c r="M24" i="14673"/>
  <c r="C24" i="14673"/>
  <c r="E23" i="14673"/>
  <c r="B24" i="14673"/>
  <c r="H23" i="14673"/>
  <c r="L24" i="14673"/>
  <c r="K23" i="14673"/>
  <c r="G24" i="14673"/>
  <c r="L23" i="14673"/>
  <c r="G23" i="14673"/>
  <c r="E24" i="14673"/>
  <c r="D23" i="14673"/>
  <c r="F23" i="14673"/>
  <c r="I24" i="14673"/>
  <c r="M23" i="14673"/>
  <c r="F24" i="14673"/>
  <c r="D24" i="14673"/>
  <c r="C23" i="14673"/>
  <c r="J23" i="14673"/>
  <c r="J24" i="14673"/>
  <c r="H24" i="14673"/>
  <c r="B23" i="14673"/>
  <c r="I23" i="14673"/>
  <c r="K24" i="14673"/>
  <c r="N14" i="14673"/>
  <c r="N13" i="14673"/>
  <c r="I15" i="14673"/>
  <c r="N10" i="14673"/>
  <c r="N9" i="14673"/>
  <c r="B19" i="14673" a="1"/>
  <c r="B19" i="14673" s="1"/>
  <c r="N11" i="14673"/>
  <c r="N8" i="14673"/>
  <c r="M15" i="14673"/>
  <c r="L15" i="14673"/>
  <c r="N7" i="14668"/>
  <c r="N6" i="14668"/>
  <c r="N9" i="14668"/>
  <c r="N10" i="14668"/>
  <c r="O99" i="14687"/>
  <c r="O19" i="14657" s="1"/>
  <c r="E6" i="14683" a="1"/>
  <c r="E11" i="14707" a="1"/>
  <c r="M10" i="14669"/>
  <c r="K9" i="14669"/>
  <c r="B10" i="14669"/>
  <c r="F9" i="14669"/>
  <c r="D8" i="14669"/>
  <c r="D12" i="14669"/>
  <c r="M9" i="14669"/>
  <c r="J12" i="14669"/>
  <c r="B7" i="14669"/>
  <c r="H6" i="14669"/>
  <c r="H10" i="14669"/>
  <c r="D11" i="14669"/>
  <c r="C11" i="14669"/>
  <c r="K6" i="14669"/>
  <c r="D9" i="14669"/>
  <c r="H8" i="14669"/>
  <c r="F6" i="14669"/>
  <c r="B9" i="14669"/>
  <c r="I9" i="14669"/>
  <c r="L12" i="14669"/>
  <c r="F12" i="14669"/>
  <c r="E11" i="14669"/>
  <c r="E9" i="14669"/>
  <c r="C5" i="14669"/>
  <c r="M5" i="14669"/>
  <c r="G6" i="14669"/>
  <c r="D7" i="14669"/>
  <c r="I6" i="14669"/>
  <c r="H12" i="14669"/>
  <c r="G8" i="14669"/>
  <c r="J10" i="14669"/>
  <c r="F11" i="14669"/>
  <c r="H5" i="14669"/>
  <c r="I12" i="14669"/>
  <c r="I5" i="14669"/>
  <c r="G12" i="14669"/>
  <c r="B8" i="14669"/>
  <c r="L9" i="14669"/>
  <c r="J11" i="14669"/>
  <c r="J8" i="14669"/>
  <c r="H7" i="14669"/>
  <c r="F7" i="14669"/>
  <c r="K12" i="14669"/>
  <c r="E6" i="14669"/>
  <c r="G10" i="14669"/>
  <c r="D10" i="14669"/>
  <c r="F8" i="14669"/>
  <c r="B6" i="14669"/>
  <c r="M11" i="14669"/>
  <c r="M6" i="14669"/>
  <c r="G9" i="14669"/>
  <c r="D5" i="14669"/>
  <c r="I11" i="14669"/>
  <c r="M12" i="14669"/>
  <c r="F10" i="14669"/>
  <c r="L7" i="14669"/>
  <c r="C8" i="14669"/>
  <c r="L6" i="14669"/>
  <c r="C7" i="14669"/>
  <c r="M7" i="14669"/>
  <c r="B12" i="14669"/>
  <c r="H9" i="14669"/>
  <c r="K5" i="14669"/>
  <c r="L10" i="14669"/>
  <c r="I10" i="14669"/>
  <c r="G5" i="14669"/>
  <c r="I7" i="14669"/>
  <c r="E10" i="14669"/>
  <c r="J9" i="14669"/>
  <c r="K8" i="14669"/>
  <c r="I8" i="14669"/>
  <c r="K11" i="14669"/>
  <c r="D6" i="14669"/>
  <c r="J5" i="14669"/>
  <c r="C10" i="14669"/>
  <c r="C9" i="14669"/>
  <c r="J6" i="14669"/>
  <c r="C12" i="14669"/>
  <c r="B11" i="14669"/>
  <c r="G11" i="14669"/>
  <c r="G7" i="14669"/>
  <c r="E12" i="14669"/>
  <c r="M8" i="14669"/>
  <c r="F5" i="14669"/>
  <c r="L8" i="14669"/>
  <c r="K10" i="14669"/>
  <c r="E5" i="14669"/>
  <c r="E8" i="14669"/>
  <c r="B5" i="14669"/>
  <c r="E7" i="14669"/>
  <c r="L11" i="14669"/>
  <c r="C6" i="14669"/>
  <c r="K7" i="14669"/>
  <c r="J7" i="14669"/>
  <c r="H11" i="14669"/>
  <c r="L5" i="14669"/>
  <c r="K15" i="14673"/>
  <c r="M19" i="14673" a="1"/>
  <c r="M19" i="14673" s="1"/>
  <c r="F19" i="14673" a="1"/>
  <c r="F19" i="14673" s="1"/>
  <c r="D15" i="14673"/>
  <c r="H19" i="14673" a="1"/>
  <c r="H19" i="14673" s="1"/>
  <c r="K19" i="14673" a="1"/>
  <c r="K19" i="14673" s="1"/>
  <c r="C19" i="14673" a="1"/>
  <c r="C19" i="14673" s="1"/>
  <c r="J19" i="14673" a="1"/>
  <c r="J19" i="14673" s="1"/>
  <c r="D19" i="14673" a="1"/>
  <c r="D19" i="14673" s="1"/>
  <c r="N7" i="14673"/>
  <c r="B15" i="14673"/>
  <c r="G19" i="14673" a="1"/>
  <c r="G19" i="14673" s="1"/>
  <c r="F15" i="14673"/>
  <c r="I19" i="14673" a="1"/>
  <c r="I19" i="14673" s="1"/>
  <c r="H15" i="14673"/>
  <c r="L19" i="14673" a="1"/>
  <c r="L19" i="14673" s="1"/>
  <c r="E9" i="14682"/>
  <c r="E10" i="14682"/>
  <c r="E12" i="14682"/>
  <c r="E5" i="14682"/>
  <c r="E8" i="14682"/>
  <c r="E11" i="14682"/>
  <c r="E6" i="14682"/>
  <c r="E7" i="14682"/>
  <c r="D13" i="14682"/>
  <c r="N12" i="14668"/>
  <c r="N8" i="14668"/>
  <c r="N11" i="14668"/>
  <c r="N5" i="14668"/>
  <c r="B8" i="14701" a="1"/>
  <c r="B47" i="14649"/>
  <c r="C47" i="14649"/>
  <c r="E47" i="14649"/>
  <c r="F47" i="14649"/>
  <c r="D47" i="14649"/>
  <c r="D22" i="14682"/>
  <c r="D21" i="14682"/>
  <c r="I40" i="14630"/>
  <c r="D40" i="14630"/>
  <c r="C16" i="14657" a="1"/>
  <c r="G15" i="14617"/>
  <c r="L40" i="14630"/>
  <c r="K40" i="14630"/>
  <c r="J40" i="14630"/>
  <c r="E40" i="14630"/>
  <c r="B40" i="14630"/>
  <c r="F40" i="14630"/>
  <c r="H40" i="14630"/>
  <c r="C40" i="14630"/>
  <c r="G40" i="14630"/>
  <c r="N40" i="7"/>
  <c r="D11" i="14657"/>
  <c r="D140" i="14698"/>
  <c r="P139" i="14703" s="1" a="1"/>
  <c r="P140" i="14703" s="1"/>
  <c r="P153" i="14698"/>
  <c r="H212" i="14698"/>
  <c r="X202" i="14698"/>
  <c r="K153" i="14698"/>
  <c r="G244" i="14698"/>
  <c r="P172" i="14698"/>
  <c r="M153" i="14698"/>
  <c r="O153" i="14698"/>
  <c r="K212" i="14698"/>
  <c r="S224" i="14698"/>
  <c r="P118" i="14698"/>
  <c r="N154" i="14698"/>
  <c r="H210" i="14698"/>
  <c r="J154" i="14698"/>
  <c r="D121" i="14698"/>
  <c r="Q173" i="14698"/>
  <c r="D247" i="14698"/>
  <c r="O155" i="14698"/>
  <c r="O119" i="14698"/>
  <c r="K210" i="14698"/>
  <c r="W237" i="14698"/>
  <c r="J209" i="14698"/>
  <c r="P156" i="14698"/>
  <c r="J191" i="14698"/>
  <c r="Q208" i="14698"/>
  <c r="K119" i="14698"/>
  <c r="H153" i="14698"/>
  <c r="Q153" i="14698"/>
  <c r="J153" i="14698"/>
  <c r="N153" i="14698"/>
  <c r="U132" i="14698"/>
  <c r="J212" i="14698"/>
  <c r="J119" i="14698"/>
  <c r="N37" i="14630"/>
  <c r="N38" i="14630"/>
  <c r="H191" i="14698"/>
  <c r="G136" i="14698"/>
  <c r="J207" i="14698"/>
  <c r="M158" i="14698"/>
  <c r="J137" i="14698"/>
  <c r="R148" i="14698"/>
  <c r="S131" i="14698"/>
  <c r="F122" i="14698"/>
  <c r="K140" i="14698"/>
  <c r="N36" i="14630"/>
  <c r="R221" i="14698"/>
  <c r="N244" i="14698"/>
  <c r="G35" i="14698"/>
  <c r="N166" i="14698"/>
  <c r="F230" i="14698"/>
  <c r="W166" i="14698"/>
  <c r="J171" i="14698"/>
  <c r="M173" i="14698"/>
  <c r="N247" i="14698"/>
  <c r="P241" i="14698"/>
  <c r="G119" i="14698"/>
  <c r="R239" i="14698"/>
  <c r="P119" i="14698"/>
  <c r="N119" i="14698"/>
  <c r="P171" i="14698"/>
  <c r="M247" i="14698"/>
  <c r="M32" i="14698"/>
  <c r="R166" i="14698"/>
  <c r="T241" i="14698"/>
  <c r="P226" i="14698"/>
  <c r="G230" i="14698"/>
  <c r="U166" i="14698"/>
  <c r="P166" i="14698"/>
  <c r="Q169" i="14698"/>
  <c r="N171" i="14698"/>
  <c r="K171" i="14698"/>
  <c r="J247" i="14698"/>
  <c r="L247" i="14698"/>
  <c r="K241" i="14698"/>
  <c r="Q241" i="14698"/>
  <c r="C33" i="14698"/>
  <c r="H155" i="14698"/>
  <c r="F119" i="14698"/>
  <c r="I119" i="14698"/>
  <c r="H119" i="14698"/>
  <c r="I210" i="14698"/>
  <c r="U239" i="14698"/>
  <c r="Q119" i="14698"/>
  <c r="V239" i="14698"/>
  <c r="L155" i="14698"/>
  <c r="M119" i="14698"/>
  <c r="K132" i="14698"/>
  <c r="C61" i="14643"/>
  <c r="D56" i="14643" s="1"/>
  <c r="I171" i="14698"/>
  <c r="E247" i="14698"/>
  <c r="F39" i="14698"/>
  <c r="S166" i="14698"/>
  <c r="J241" i="14698"/>
  <c r="N241" i="14698"/>
  <c r="T166" i="14698"/>
  <c r="X166" i="14698"/>
  <c r="R171" i="14698"/>
  <c r="Q171" i="14698"/>
  <c r="S171" i="14698"/>
  <c r="H171" i="14698"/>
  <c r="M171" i="14698"/>
  <c r="H247" i="14698"/>
  <c r="I247" i="14698"/>
  <c r="F247" i="14698"/>
  <c r="G247" i="14698"/>
  <c r="O247" i="14698"/>
  <c r="M241" i="14698"/>
  <c r="O241" i="14698"/>
  <c r="I34" i="14698"/>
  <c r="L239" i="14698"/>
  <c r="S239" i="14698"/>
  <c r="N239" i="14698"/>
  <c r="O239" i="14698"/>
  <c r="E140" i="14698"/>
  <c r="P28" i="14632"/>
  <c r="I212" i="14698"/>
  <c r="O83" i="14703" a="1"/>
  <c r="O84" i="14703" s="1"/>
  <c r="C22" i="14638" a="1"/>
  <c r="C22" i="14638" s="1"/>
  <c r="R132" i="14698"/>
  <c r="H27" i="14632"/>
  <c r="H10" i="14640" s="1"/>
  <c r="N32" i="14630"/>
  <c r="N34" i="14630"/>
  <c r="N35" i="14630"/>
  <c r="N33" i="14630"/>
  <c r="B7" i="14631" a="1"/>
  <c r="J7" i="14631" s="1"/>
  <c r="O212" i="14703" a="1"/>
  <c r="O213" i="14703" s="1"/>
  <c r="C214" i="14698"/>
  <c r="D122" i="14698"/>
  <c r="I121" i="14698"/>
  <c r="L172" i="14698"/>
  <c r="H136" i="14698"/>
  <c r="H141" i="14698"/>
  <c r="Q224" i="14698"/>
  <c r="K207" i="14698"/>
  <c r="Q209" i="14698"/>
  <c r="O156" i="14698"/>
  <c r="I172" i="14698"/>
  <c r="O172" i="14698"/>
  <c r="P137" i="14698"/>
  <c r="M191" i="14698"/>
  <c r="N237" i="14698"/>
  <c r="X148" i="14698"/>
  <c r="P131" i="14698"/>
  <c r="C122" i="14698"/>
  <c r="L208" i="14698"/>
  <c r="M210" i="14698"/>
  <c r="Q132" i="14698"/>
  <c r="L132" i="14698"/>
  <c r="N120" i="14698"/>
  <c r="H120" i="14698"/>
  <c r="O120" i="14698"/>
  <c r="F32" i="14698"/>
  <c r="M36" i="14698"/>
  <c r="H37" i="14698"/>
  <c r="M34" i="14698"/>
  <c r="M37" i="14698"/>
  <c r="G33" i="14698"/>
  <c r="H34" i="14698"/>
  <c r="G32" i="14698"/>
  <c r="E36" i="14698"/>
  <c r="J37" i="14698"/>
  <c r="L33" i="14698"/>
  <c r="D32" i="14698"/>
  <c r="P112" i="14698"/>
  <c r="S112" i="14698"/>
  <c r="U112" i="14698"/>
  <c r="S151" i="14698"/>
  <c r="Q151" i="14698"/>
  <c r="T151" i="14698"/>
  <c r="T150" i="14698"/>
  <c r="L150" i="14698"/>
  <c r="Q135" i="14698"/>
  <c r="S135" i="14698"/>
  <c r="N133" i="14698"/>
  <c r="S133" i="14698"/>
  <c r="R133" i="14698"/>
  <c r="S225" i="14698"/>
  <c r="N225" i="14698"/>
  <c r="P189" i="14698"/>
  <c r="H189" i="14698"/>
  <c r="K139" i="14698"/>
  <c r="L139" i="14698"/>
  <c r="N139" i="14698"/>
  <c r="M206" i="14698"/>
  <c r="T206" i="14698"/>
  <c r="Y201" i="14698"/>
  <c r="Q201" i="14698"/>
  <c r="P205" i="14698"/>
  <c r="R205" i="14698"/>
  <c r="I206" i="14698"/>
  <c r="J38" i="14698"/>
  <c r="D33" i="14698"/>
  <c r="D37" i="14698"/>
  <c r="L189" i="14698"/>
  <c r="M133" i="14698"/>
  <c r="K225" i="14698"/>
  <c r="U205" i="14698"/>
  <c r="J189" i="14698"/>
  <c r="P221" i="14698"/>
  <c r="P150" i="14698"/>
  <c r="R135" i="14698"/>
  <c r="H32" i="14698"/>
  <c r="L39" i="14698"/>
  <c r="G34" i="14698"/>
  <c r="J206" i="14698"/>
  <c r="W201" i="14698"/>
  <c r="D85" i="14698"/>
  <c r="O170" i="14698"/>
  <c r="I170" i="14698"/>
  <c r="J172" i="14698"/>
  <c r="G172" i="14698"/>
  <c r="R172" i="14698"/>
  <c r="Q172" i="14698"/>
  <c r="K172" i="14698"/>
  <c r="H172" i="14698"/>
  <c r="G226" i="14698"/>
  <c r="J226" i="14698"/>
  <c r="H226" i="14698"/>
  <c r="N230" i="14698"/>
  <c r="H230" i="14698"/>
  <c r="J230" i="14698"/>
  <c r="M230" i="14698"/>
  <c r="H213" i="14698"/>
  <c r="M213" i="14698"/>
  <c r="T202" i="14698"/>
  <c r="S202" i="14698"/>
  <c r="M202" i="14698"/>
  <c r="L27" i="14632"/>
  <c r="L10" i="14640" s="1"/>
  <c r="J27" i="14632"/>
  <c r="J10" i="14640" s="1"/>
  <c r="F173" i="14698"/>
  <c r="K173" i="14698"/>
  <c r="N173" i="14698"/>
  <c r="P210" i="14698"/>
  <c r="E210" i="14698"/>
  <c r="L210" i="14698"/>
  <c r="G210" i="14698"/>
  <c r="F210" i="14698"/>
  <c r="O210" i="14698"/>
  <c r="F155" i="14698"/>
  <c r="P155" i="14698"/>
  <c r="M155" i="14698"/>
  <c r="G155" i="14698"/>
  <c r="N155" i="14698"/>
  <c r="K155" i="14698"/>
  <c r="M132" i="14698"/>
  <c r="T132" i="14698"/>
  <c r="N132" i="14698"/>
  <c r="P132" i="14698"/>
  <c r="O132" i="14698"/>
  <c r="S132" i="14698"/>
  <c r="C32" i="14707"/>
  <c r="D24" i="14707" s="1" a="1"/>
  <c r="D31" i="14707" s="1"/>
  <c r="G27" i="14632"/>
  <c r="G10" i="14640" s="1"/>
  <c r="I27" i="14632"/>
  <c r="B21" i="14638" a="1"/>
  <c r="B24" i="14638" s="1"/>
  <c r="N39" i="14630"/>
  <c r="V114" i="14698"/>
  <c r="L114" i="14698"/>
  <c r="I32" i="14698"/>
  <c r="C36" i="14698"/>
  <c r="G38" i="14698"/>
  <c r="F35" i="14698"/>
  <c r="C35" i="14698"/>
  <c r="J39" i="14698"/>
  <c r="K32" i="14698"/>
  <c r="H36" i="14698"/>
  <c r="J34" i="14698"/>
  <c r="L32" i="14698"/>
  <c r="L36" i="14698"/>
  <c r="F38" i="14698"/>
  <c r="C32" i="14698"/>
  <c r="B33" i="14698"/>
  <c r="B36" i="14698"/>
  <c r="C37" i="14698"/>
  <c r="J32" i="14698"/>
  <c r="I39" i="14698"/>
  <c r="H33" i="14698"/>
  <c r="D39" i="14698"/>
  <c r="J35" i="14698"/>
  <c r="K39" i="14698"/>
  <c r="K37" i="14698"/>
  <c r="M38" i="14698"/>
  <c r="K150" i="14698"/>
  <c r="O150" i="14698"/>
  <c r="M150" i="14698"/>
  <c r="Q150" i="14698"/>
  <c r="U150" i="14698"/>
  <c r="I135" i="14698"/>
  <c r="N135" i="14698"/>
  <c r="M135" i="14698"/>
  <c r="L135" i="14698"/>
  <c r="H135" i="14698"/>
  <c r="K135" i="14698"/>
  <c r="L221" i="14698"/>
  <c r="N221" i="14698"/>
  <c r="W221" i="14698"/>
  <c r="T221" i="14698"/>
  <c r="Q221" i="14698"/>
  <c r="Q189" i="14698"/>
  <c r="I189" i="14698"/>
  <c r="N189" i="14698"/>
  <c r="I244" i="14698"/>
  <c r="O244" i="14698"/>
  <c r="H244" i="14698"/>
  <c r="L244" i="14698"/>
  <c r="M244" i="14698"/>
  <c r="M169" i="14698"/>
  <c r="U169" i="14698"/>
  <c r="K169" i="14698"/>
  <c r="G139" i="14698"/>
  <c r="J135" i="14698"/>
  <c r="U201" i="14698"/>
  <c r="S150" i="14698"/>
  <c r="H38" i="14698"/>
  <c r="J36" i="14698"/>
  <c r="F36" i="14698"/>
  <c r="E37" i="14698"/>
  <c r="H39" i="14698"/>
  <c r="C39" i="14698"/>
  <c r="I37" i="14698"/>
  <c r="K34" i="14698"/>
  <c r="M33" i="14698"/>
  <c r="L37" i="14698"/>
  <c r="I33" i="14698"/>
  <c r="B35" i="14698"/>
  <c r="M189" i="14698"/>
  <c r="S169" i="14698"/>
  <c r="J169" i="14698"/>
  <c r="V237" i="14698"/>
  <c r="K133" i="14698"/>
  <c r="R225" i="14698"/>
  <c r="Q225" i="14698"/>
  <c r="J205" i="14698"/>
  <c r="T205" i="14698"/>
  <c r="R151" i="14698"/>
  <c r="M120" i="14698"/>
  <c r="V112" i="14698"/>
  <c r="N114" i="14698"/>
  <c r="K114" i="14698"/>
  <c r="P244" i="14698"/>
  <c r="R244" i="14698"/>
  <c r="L169" i="14698"/>
  <c r="P169" i="14698"/>
  <c r="O189" i="14698"/>
  <c r="H139" i="14698"/>
  <c r="J139" i="14698"/>
  <c r="V221" i="14698"/>
  <c r="O221" i="14698"/>
  <c r="N150" i="14698"/>
  <c r="R150" i="14698"/>
  <c r="O135" i="14698"/>
  <c r="P135" i="14698"/>
  <c r="I35" i="14698"/>
  <c r="B38" i="14698"/>
  <c r="K38" i="14698"/>
  <c r="C38" i="14698"/>
  <c r="D36" i="14698"/>
  <c r="E35" i="14698"/>
  <c r="E34" i="14698"/>
  <c r="D34" i="14698"/>
  <c r="E39" i="14698"/>
  <c r="E38" i="14698"/>
  <c r="E32" i="14698"/>
  <c r="F33" i="14698"/>
  <c r="Q206" i="14698"/>
  <c r="P201" i="14698"/>
  <c r="J211" i="14698"/>
  <c r="O139" i="14698"/>
  <c r="E139" i="14698"/>
  <c r="F139" i="14698"/>
  <c r="M139" i="14698"/>
  <c r="I139" i="14698"/>
  <c r="R206" i="14698"/>
  <c r="L206" i="14698"/>
  <c r="O206" i="14698"/>
  <c r="P206" i="14698"/>
  <c r="K206" i="14698"/>
  <c r="V201" i="14698"/>
  <c r="X201" i="14698"/>
  <c r="S201" i="14698"/>
  <c r="R201" i="14698"/>
  <c r="S79" i="14703" a="1"/>
  <c r="S79" i="14703" s="1"/>
  <c r="G85" i="14698"/>
  <c r="X237" i="14698"/>
  <c r="Q237" i="14698"/>
  <c r="O39" i="14634"/>
  <c r="C41" i="14634" a="1"/>
  <c r="E41" i="14634" s="1"/>
  <c r="U113" i="14698"/>
  <c r="V113" i="14698"/>
  <c r="P113" i="14698"/>
  <c r="M113" i="14698"/>
  <c r="F211" i="14698"/>
  <c r="E211" i="14698"/>
  <c r="D211" i="14698"/>
  <c r="L211" i="14698"/>
  <c r="O28" i="14632"/>
  <c r="N5" i="14631"/>
  <c r="E85" i="14698"/>
  <c r="M27" i="14632"/>
  <c r="C27" i="14683"/>
  <c r="H8" i="14708" s="1"/>
  <c r="U24" i="14655" s="1"/>
  <c r="N15" i="14632"/>
  <c r="J210" i="14698"/>
  <c r="I155" i="14698"/>
  <c r="Q155" i="14698"/>
  <c r="N28" i="14632"/>
  <c r="P208" i="14698"/>
  <c r="Q148" i="14698"/>
  <c r="N170" i="14698"/>
  <c r="O237" i="14698"/>
  <c r="W131" i="14698"/>
  <c r="T170" i="14698"/>
  <c r="G137" i="14698"/>
  <c r="Q191" i="14698"/>
  <c r="F191" i="14698"/>
  <c r="I173" i="14698"/>
  <c r="O173" i="14698"/>
  <c r="P173" i="14698"/>
  <c r="G173" i="14698"/>
  <c r="J173" i="14698"/>
  <c r="P237" i="14698"/>
  <c r="R237" i="14698"/>
  <c r="I154" i="14698"/>
  <c r="T148" i="14698"/>
  <c r="O121" i="14698"/>
  <c r="H208" i="14698"/>
  <c r="I208" i="14698"/>
  <c r="H140" i="14698"/>
  <c r="L140" i="14698"/>
  <c r="N211" i="14698"/>
  <c r="L113" i="14698"/>
  <c r="Q113" i="14698"/>
  <c r="T113" i="14698"/>
  <c r="O113" i="14698"/>
  <c r="I211" i="14698"/>
  <c r="M211" i="14698"/>
  <c r="O19" i="14634"/>
  <c r="D23" i="14638" a="1"/>
  <c r="D24" i="14638" s="1"/>
  <c r="C85" i="14698"/>
  <c r="H173" i="14698"/>
  <c r="R28" i="14632"/>
  <c r="E212" i="14698"/>
  <c r="G212" i="14698"/>
  <c r="M212" i="14698"/>
  <c r="F212" i="14698"/>
  <c r="D212" i="14698"/>
  <c r="N212" i="14698"/>
  <c r="L212" i="14698"/>
  <c r="L85" i="14698"/>
  <c r="N172" i="14698"/>
  <c r="C230" i="14698"/>
  <c r="D230" i="14698"/>
  <c r="Q239" i="14698"/>
  <c r="M239" i="14698"/>
  <c r="P239" i="14698"/>
  <c r="W239" i="14698"/>
  <c r="I153" i="14698"/>
  <c r="R153" i="14698"/>
  <c r="S153" i="14698"/>
  <c r="X74" i="14703" a="1"/>
  <c r="X79" i="14703" s="1"/>
  <c r="U202" i="14698"/>
  <c r="V202" i="14698"/>
  <c r="L213" i="14698"/>
  <c r="I213" i="14698"/>
  <c r="R202" i="14698"/>
  <c r="O202" i="14698"/>
  <c r="K27" i="14632"/>
  <c r="K28" i="14632" s="1"/>
  <c r="E230" i="14698"/>
  <c r="K230" i="14698"/>
  <c r="L230" i="14698"/>
  <c r="N113" i="14698"/>
  <c r="W113" i="14698"/>
  <c r="S113" i="14698"/>
  <c r="G211" i="14698"/>
  <c r="H211" i="14698"/>
  <c r="K211" i="14698"/>
  <c r="I140" i="14698"/>
  <c r="N140" i="14698"/>
  <c r="G140" i="14698"/>
  <c r="C140" i="14698"/>
  <c r="J140" i="14698"/>
  <c r="F140" i="14698"/>
  <c r="S28" i="14632"/>
  <c r="G26" i="14638"/>
  <c r="F25" i="14638" a="1"/>
  <c r="F213" i="14698"/>
  <c r="B213" i="14698"/>
  <c r="J213" i="14698"/>
  <c r="K213" i="14698"/>
  <c r="G213" i="14698"/>
  <c r="E213" i="14698"/>
  <c r="D213" i="14698"/>
  <c r="Q202" i="14698"/>
  <c r="W202" i="14698"/>
  <c r="P202" i="14698"/>
  <c r="U115" i="14698"/>
  <c r="J115" i="14698"/>
  <c r="L115" i="14698"/>
  <c r="K115" i="14698"/>
  <c r="R115" i="14698"/>
  <c r="S115" i="14698"/>
  <c r="M115" i="14698"/>
  <c r="O115" i="14698"/>
  <c r="Q115" i="14698"/>
  <c r="N115" i="14698"/>
  <c r="P115" i="14698"/>
  <c r="T115" i="14698"/>
  <c r="E24" i="14638" a="1"/>
  <c r="Q28" i="14632"/>
  <c r="I226" i="14698"/>
  <c r="M226" i="14698"/>
  <c r="R226" i="14698"/>
  <c r="L226" i="14698"/>
  <c r="Q226" i="14698"/>
  <c r="N226" i="14698"/>
  <c r="O226" i="14698"/>
  <c r="P138" i="14698"/>
  <c r="F138" i="14698"/>
  <c r="G138" i="14698"/>
  <c r="I138" i="14698"/>
  <c r="E138" i="14698"/>
  <c r="M138" i="14698"/>
  <c r="O138" i="14698"/>
  <c r="L138" i="14698"/>
  <c r="K138" i="14698"/>
  <c r="J138" i="14698"/>
  <c r="N138" i="14698"/>
  <c r="H138" i="14698"/>
  <c r="Y111" i="14698"/>
  <c r="P111" i="14698"/>
  <c r="R111" i="14698"/>
  <c r="X111" i="14698"/>
  <c r="W111" i="14698"/>
  <c r="Q111" i="14698"/>
  <c r="O111" i="14698"/>
  <c r="U111" i="14698"/>
  <c r="V111" i="14698"/>
  <c r="N111" i="14698"/>
  <c r="S111" i="14698"/>
  <c r="T111" i="14698"/>
  <c r="N117" i="14698"/>
  <c r="O117" i="14698"/>
  <c r="J117" i="14698"/>
  <c r="M117" i="14698"/>
  <c r="L117" i="14698"/>
  <c r="I117" i="14698"/>
  <c r="P117" i="14698"/>
  <c r="H117" i="14698"/>
  <c r="R117" i="14698"/>
  <c r="S117" i="14698"/>
  <c r="K117" i="14698"/>
  <c r="Q117" i="14698"/>
  <c r="H209" i="14698"/>
  <c r="G209" i="14698"/>
  <c r="P209" i="14698"/>
  <c r="O209" i="14698"/>
  <c r="K209" i="14698"/>
  <c r="I209" i="14698"/>
  <c r="N209" i="14698"/>
  <c r="N28" i="14698"/>
  <c r="D13" i="14657" s="1"/>
  <c r="J170" i="14698"/>
  <c r="R170" i="14698"/>
  <c r="P170" i="14698"/>
  <c r="S237" i="14698"/>
  <c r="T237" i="14698"/>
  <c r="U237" i="14698"/>
  <c r="U203" i="14698"/>
  <c r="M203" i="14698"/>
  <c r="W203" i="14698"/>
  <c r="L203" i="14698"/>
  <c r="V203" i="14698"/>
  <c r="S203" i="14698"/>
  <c r="O203" i="14698"/>
  <c r="T203" i="14698"/>
  <c r="R203" i="14698"/>
  <c r="Q203" i="14698"/>
  <c r="N203" i="14698"/>
  <c r="P203" i="14698"/>
  <c r="U185" i="14698"/>
  <c r="Q185" i="14698"/>
  <c r="O185" i="14698"/>
  <c r="N185" i="14698"/>
  <c r="R185" i="14698"/>
  <c r="V185" i="14698"/>
  <c r="W185" i="14698"/>
  <c r="T185" i="14698"/>
  <c r="S185" i="14698"/>
  <c r="P185" i="14698"/>
  <c r="M185" i="14698"/>
  <c r="L185" i="14698"/>
  <c r="G227" i="14698"/>
  <c r="L227" i="14698"/>
  <c r="H227" i="14698"/>
  <c r="P227" i="14698"/>
  <c r="O227" i="14698"/>
  <c r="M227" i="14698"/>
  <c r="I227" i="14698"/>
  <c r="F227" i="14698"/>
  <c r="N227" i="14698"/>
  <c r="J227" i="14698"/>
  <c r="Q227" i="14698"/>
  <c r="K227" i="14698"/>
  <c r="H207" i="14698"/>
  <c r="N207" i="14698"/>
  <c r="I207" i="14698"/>
  <c r="S207" i="14698"/>
  <c r="R207" i="14698"/>
  <c r="L207" i="14698"/>
  <c r="O207" i="14698"/>
  <c r="M118" i="14698"/>
  <c r="R118" i="14698"/>
  <c r="L118" i="14698"/>
  <c r="G118" i="14698"/>
  <c r="H118" i="14698"/>
  <c r="J118" i="14698"/>
  <c r="K118" i="14698"/>
  <c r="H122" i="14698"/>
  <c r="N122" i="14698"/>
  <c r="M122" i="14698"/>
  <c r="J121" i="14698"/>
  <c r="M121" i="14698"/>
  <c r="K121" i="14698"/>
  <c r="K156" i="14698"/>
  <c r="N156" i="14698"/>
  <c r="M156" i="14698"/>
  <c r="F156" i="14698"/>
  <c r="I156" i="14698"/>
  <c r="L156" i="14698"/>
  <c r="G156" i="14698"/>
  <c r="U148" i="14698"/>
  <c r="P148" i="14698"/>
  <c r="R154" i="14698"/>
  <c r="O154" i="14698"/>
  <c r="M154" i="14698"/>
  <c r="Q131" i="14698"/>
  <c r="O131" i="14698"/>
  <c r="T131" i="14698"/>
  <c r="O136" i="14698"/>
  <c r="I136" i="14698"/>
  <c r="Q136" i="14698"/>
  <c r="L136" i="14698"/>
  <c r="J136" i="14698"/>
  <c r="P136" i="14698"/>
  <c r="I141" i="14698"/>
  <c r="J141" i="14698"/>
  <c r="G141" i="14698"/>
  <c r="E141" i="14698"/>
  <c r="B141" i="14698"/>
  <c r="F141" i="14698"/>
  <c r="K141" i="14698"/>
  <c r="H137" i="14698"/>
  <c r="M137" i="14698"/>
  <c r="P224" i="14698"/>
  <c r="J224" i="14698"/>
  <c r="R224" i="14698"/>
  <c r="M224" i="14698"/>
  <c r="I224" i="14698"/>
  <c r="L224" i="14698"/>
  <c r="K224" i="14698"/>
  <c r="H158" i="14698"/>
  <c r="G158" i="14698"/>
  <c r="I158" i="14698"/>
  <c r="D158" i="14698"/>
  <c r="N158" i="14698"/>
  <c r="F158" i="14698"/>
  <c r="K158" i="14698"/>
  <c r="M245" i="14698"/>
  <c r="P245" i="14698"/>
  <c r="K245" i="14698"/>
  <c r="G245" i="14698"/>
  <c r="H245" i="14698"/>
  <c r="L245" i="14698"/>
  <c r="F245" i="14698"/>
  <c r="O245" i="14698"/>
  <c r="J245" i="14698"/>
  <c r="I245" i="14698"/>
  <c r="Q245" i="14698"/>
  <c r="N245" i="14698"/>
  <c r="L137" i="14698"/>
  <c r="P191" i="14698"/>
  <c r="R208" i="14698"/>
  <c r="L154" i="14698"/>
  <c r="G154" i="14698"/>
  <c r="G122" i="14698"/>
  <c r="I122" i="14698"/>
  <c r="B9" i="14631" a="1"/>
  <c r="E121" i="14698"/>
  <c r="H121" i="14698"/>
  <c r="L170" i="14698"/>
  <c r="L131" i="14698"/>
  <c r="M131" i="14698"/>
  <c r="K136" i="14698"/>
  <c r="R136" i="14698"/>
  <c r="N136" i="14698"/>
  <c r="C141" i="14698"/>
  <c r="M141" i="14698"/>
  <c r="L141" i="14698"/>
  <c r="O224" i="14698"/>
  <c r="T224" i="14698"/>
  <c r="Q207" i="14698"/>
  <c r="M207" i="14698"/>
  <c r="F209" i="14698"/>
  <c r="L209" i="14698"/>
  <c r="E156" i="14698"/>
  <c r="J156" i="14698"/>
  <c r="E158" i="14698"/>
  <c r="L158" i="14698"/>
  <c r="C158" i="14698"/>
  <c r="N118" i="14698"/>
  <c r="I118" i="14698"/>
  <c r="Q118" i="14698"/>
  <c r="Q170" i="14698"/>
  <c r="S170" i="14698"/>
  <c r="K170" i="14698"/>
  <c r="K137" i="14698"/>
  <c r="N137" i="14698"/>
  <c r="O137" i="14698"/>
  <c r="F137" i="14698"/>
  <c r="I137" i="14698"/>
  <c r="I191" i="14698"/>
  <c r="N191" i="14698"/>
  <c r="O191" i="14698"/>
  <c r="K191" i="14698"/>
  <c r="L191" i="14698"/>
  <c r="H154" i="14698"/>
  <c r="K154" i="14698"/>
  <c r="Q154" i="14698"/>
  <c r="S148" i="14698"/>
  <c r="M148" i="14698"/>
  <c r="N148" i="14698"/>
  <c r="V148" i="14698"/>
  <c r="W148" i="14698"/>
  <c r="V131" i="14698"/>
  <c r="N131" i="14698"/>
  <c r="U131" i="14698"/>
  <c r="L121" i="14698"/>
  <c r="F121" i="14698"/>
  <c r="N121" i="14698"/>
  <c r="L122" i="14698"/>
  <c r="K122" i="14698"/>
  <c r="E122" i="14698"/>
  <c r="O208" i="14698"/>
  <c r="K208" i="14698"/>
  <c r="J208" i="14698"/>
  <c r="G208" i="14698"/>
  <c r="M208" i="14698"/>
  <c r="J85" i="14698"/>
  <c r="Q81" i="14703" a="1"/>
  <c r="Q83" i="14703" s="1"/>
  <c r="J159" i="14698"/>
  <c r="M159" i="14698"/>
  <c r="C159" i="14698"/>
  <c r="F159" i="14698"/>
  <c r="L159" i="14698"/>
  <c r="K159" i="14698"/>
  <c r="E159" i="14698"/>
  <c r="G159" i="14698"/>
  <c r="B159" i="14698"/>
  <c r="I159" i="14698"/>
  <c r="H159" i="14698"/>
  <c r="D159" i="14698"/>
  <c r="F120" i="14698"/>
  <c r="J120" i="14698"/>
  <c r="K120" i="14698"/>
  <c r="P120" i="14698"/>
  <c r="L120" i="14698"/>
  <c r="I120" i="14698"/>
  <c r="G120" i="14698"/>
  <c r="Q114" i="14698"/>
  <c r="M114" i="14698"/>
  <c r="O114" i="14698"/>
  <c r="R114" i="14698"/>
  <c r="S114" i="14698"/>
  <c r="T114" i="14698"/>
  <c r="U114" i="14698"/>
  <c r="K36" i="14698"/>
  <c r="G39" i="14698"/>
  <c r="E33" i="14698"/>
  <c r="F34" i="14698"/>
  <c r="H35" i="14698"/>
  <c r="B32" i="14698"/>
  <c r="D35" i="14698"/>
  <c r="L34" i="14698"/>
  <c r="I38" i="14698"/>
  <c r="D38" i="14698"/>
  <c r="C34" i="14698"/>
  <c r="I36" i="14698"/>
  <c r="G36" i="14698"/>
  <c r="B39" i="14698"/>
  <c r="B37" i="14698"/>
  <c r="F37" i="14698"/>
  <c r="M39" i="14698"/>
  <c r="L35" i="14698"/>
  <c r="L38" i="14698"/>
  <c r="B34" i="14698"/>
  <c r="G37" i="14698"/>
  <c r="K33" i="14698"/>
  <c r="M35" i="14698"/>
  <c r="J33" i="14698"/>
  <c r="X112" i="14698"/>
  <c r="W112" i="14698"/>
  <c r="N112" i="14698"/>
  <c r="R112" i="14698"/>
  <c r="Q112" i="14698"/>
  <c r="O112" i="14698"/>
  <c r="M112" i="14698"/>
  <c r="N151" i="14698"/>
  <c r="K151" i="14698"/>
  <c r="L151" i="14698"/>
  <c r="P151" i="14698"/>
  <c r="J151" i="14698"/>
  <c r="O151" i="14698"/>
  <c r="M151" i="14698"/>
  <c r="U133" i="14698"/>
  <c r="Q133" i="14698"/>
  <c r="L133" i="14698"/>
  <c r="O133" i="14698"/>
  <c r="J133" i="14698"/>
  <c r="P133" i="14698"/>
  <c r="T133" i="14698"/>
  <c r="M221" i="14698"/>
  <c r="U221" i="14698"/>
  <c r="M225" i="14698"/>
  <c r="L225" i="14698"/>
  <c r="H225" i="14698"/>
  <c r="J225" i="14698"/>
  <c r="O225" i="14698"/>
  <c r="I225" i="14698"/>
  <c r="P225" i="14698"/>
  <c r="R189" i="14698"/>
  <c r="S189" i="14698"/>
  <c r="K189" i="14698"/>
  <c r="K244" i="14698"/>
  <c r="Q244" i="14698"/>
  <c r="O169" i="14698"/>
  <c r="T169" i="14698"/>
  <c r="R169" i="14698"/>
  <c r="N152" i="14698"/>
  <c r="P152" i="14698"/>
  <c r="J152" i="14698"/>
  <c r="O152" i="14698"/>
  <c r="S152" i="14698"/>
  <c r="T152" i="14698"/>
  <c r="M152" i="14698"/>
  <c r="L152" i="14698"/>
  <c r="K152" i="14698"/>
  <c r="R152" i="14698"/>
  <c r="I152" i="14698"/>
  <c r="Q152" i="14698"/>
  <c r="V149" i="14698"/>
  <c r="Q149" i="14698"/>
  <c r="N149" i="14698"/>
  <c r="R149" i="14698"/>
  <c r="O149" i="14698"/>
  <c r="P149" i="14698"/>
  <c r="L149" i="14698"/>
  <c r="U149" i="14698"/>
  <c r="T149" i="14698"/>
  <c r="S149" i="14698"/>
  <c r="W149" i="14698"/>
  <c r="M149" i="14698"/>
  <c r="S130" i="14698"/>
  <c r="R130" i="14698"/>
  <c r="Q130" i="14698"/>
  <c r="N130" i="14698"/>
  <c r="V130" i="14698"/>
  <c r="O130" i="14698"/>
  <c r="M130" i="14698"/>
  <c r="T130" i="14698"/>
  <c r="X130" i="14698"/>
  <c r="P130" i="14698"/>
  <c r="W130" i="14698"/>
  <c r="U130" i="14698"/>
  <c r="Y129" i="14698"/>
  <c r="X129" i="14698"/>
  <c r="V129" i="14698"/>
  <c r="T129" i="14698"/>
  <c r="Q129" i="14698"/>
  <c r="R129" i="14698"/>
  <c r="U129" i="14698"/>
  <c r="O129" i="14698"/>
  <c r="P129" i="14698"/>
  <c r="W129" i="14698"/>
  <c r="N129" i="14698"/>
  <c r="S129" i="14698"/>
  <c r="B123" i="14698"/>
  <c r="K123" i="14698"/>
  <c r="D123" i="14698"/>
  <c r="H123" i="14698"/>
  <c r="F123" i="14698"/>
  <c r="G123" i="14698"/>
  <c r="J123" i="14698"/>
  <c r="M123" i="14698"/>
  <c r="I123" i="14698"/>
  <c r="L123" i="14698"/>
  <c r="E123" i="14698"/>
  <c r="C123" i="14698"/>
  <c r="S206" i="14698"/>
  <c r="N206" i="14698"/>
  <c r="O201" i="14698"/>
  <c r="N201" i="14698"/>
  <c r="Q205" i="14698"/>
  <c r="M205" i="14698"/>
  <c r="S205" i="14698"/>
  <c r="N205" i="14698"/>
  <c r="O205" i="14698"/>
  <c r="L205" i="14698"/>
  <c r="K205" i="14698"/>
  <c r="M166" i="14698"/>
  <c r="O166" i="14698"/>
  <c r="V166" i="14698"/>
  <c r="L241" i="14698"/>
  <c r="U241" i="14698"/>
  <c r="R241" i="14698"/>
  <c r="J248" i="14698"/>
  <c r="G248" i="14698"/>
  <c r="N248" i="14698"/>
  <c r="E248" i="14698"/>
  <c r="L248" i="14698"/>
  <c r="D248" i="14698"/>
  <c r="F248" i="14698"/>
  <c r="I248" i="14698"/>
  <c r="C248" i="14698"/>
  <c r="K248" i="14698"/>
  <c r="H248" i="14698"/>
  <c r="M248" i="14698"/>
  <c r="B28" i="14623"/>
  <c r="U204" i="14698"/>
  <c r="O204" i="14698"/>
  <c r="R204" i="14698"/>
  <c r="V204" i="14698"/>
  <c r="P204" i="14698"/>
  <c r="K204" i="14698"/>
  <c r="Q204" i="14698"/>
  <c r="S204" i="14698"/>
  <c r="M204" i="14698"/>
  <c r="L204" i="14698"/>
  <c r="T204" i="14698"/>
  <c r="N204" i="14698"/>
  <c r="Y73" i="14703" a="1"/>
  <c r="M85" i="14698"/>
  <c r="T134" i="14698"/>
  <c r="J134" i="14698"/>
  <c r="N134" i="14698"/>
  <c r="O134" i="14698"/>
  <c r="I134" i="14698"/>
  <c r="M134" i="14698"/>
  <c r="P134" i="14698"/>
  <c r="L134" i="14698"/>
  <c r="Q134" i="14698"/>
  <c r="R134" i="14698"/>
  <c r="S134" i="14698"/>
  <c r="K134" i="14698"/>
  <c r="O223" i="14698"/>
  <c r="K223" i="14698"/>
  <c r="Q223" i="14698"/>
  <c r="S223" i="14698"/>
  <c r="J223" i="14698"/>
  <c r="N223" i="14698"/>
  <c r="T223" i="14698"/>
  <c r="L223" i="14698"/>
  <c r="P223" i="14698"/>
  <c r="R223" i="14698"/>
  <c r="U223" i="14698"/>
  <c r="M223" i="14698"/>
  <c r="N220" i="14698"/>
  <c r="R220" i="14698"/>
  <c r="Q220" i="14698"/>
  <c r="M220" i="14698"/>
  <c r="W220" i="14698"/>
  <c r="O220" i="14698"/>
  <c r="P220" i="14698"/>
  <c r="T220" i="14698"/>
  <c r="U220" i="14698"/>
  <c r="X220" i="14698"/>
  <c r="V220" i="14698"/>
  <c r="S220" i="14698"/>
  <c r="N174" i="14698"/>
  <c r="L174" i="14698"/>
  <c r="P174" i="14698"/>
  <c r="F174" i="14698"/>
  <c r="H174" i="14698"/>
  <c r="M174" i="14698"/>
  <c r="K174" i="14698"/>
  <c r="E174" i="14698"/>
  <c r="O174" i="14698"/>
  <c r="J174" i="14698"/>
  <c r="I174" i="14698"/>
  <c r="G174" i="14698"/>
  <c r="H246" i="14698"/>
  <c r="F246" i="14698"/>
  <c r="E246" i="14698"/>
  <c r="N246" i="14698"/>
  <c r="M246" i="14698"/>
  <c r="L246" i="14698"/>
  <c r="I246" i="14698"/>
  <c r="P246" i="14698"/>
  <c r="G246" i="14698"/>
  <c r="O246" i="14698"/>
  <c r="J246" i="14698"/>
  <c r="K246" i="14698"/>
  <c r="H195" i="14698"/>
  <c r="B195" i="14698"/>
  <c r="L195" i="14698"/>
  <c r="I195" i="14698"/>
  <c r="M195" i="14698"/>
  <c r="E195" i="14698"/>
  <c r="K195" i="14698"/>
  <c r="J195" i="14698"/>
  <c r="D195" i="14698"/>
  <c r="C195" i="14698"/>
  <c r="F195" i="14698"/>
  <c r="G195" i="14698"/>
  <c r="M194" i="14698"/>
  <c r="K194" i="14698"/>
  <c r="N194" i="14698"/>
  <c r="H194" i="14698"/>
  <c r="J194" i="14698"/>
  <c r="C194" i="14698"/>
  <c r="E194" i="14698"/>
  <c r="L194" i="14698"/>
  <c r="D194" i="14698"/>
  <c r="F194" i="14698"/>
  <c r="I194" i="14698"/>
  <c r="G194" i="14698"/>
  <c r="T187" i="14698"/>
  <c r="L187" i="14698"/>
  <c r="S187" i="14698"/>
  <c r="R187" i="14698"/>
  <c r="J187" i="14698"/>
  <c r="N187" i="14698"/>
  <c r="P187" i="14698"/>
  <c r="U187" i="14698"/>
  <c r="O187" i="14698"/>
  <c r="Q187" i="14698"/>
  <c r="M187" i="14698"/>
  <c r="K187" i="14698"/>
  <c r="L242" i="14698"/>
  <c r="R242" i="14698"/>
  <c r="I242" i="14698"/>
  <c r="O242" i="14698"/>
  <c r="M242" i="14698"/>
  <c r="Q242" i="14698"/>
  <c r="K242" i="14698"/>
  <c r="P242" i="14698"/>
  <c r="T242" i="14698"/>
  <c r="J242" i="14698"/>
  <c r="N242" i="14698"/>
  <c r="S242" i="14698"/>
  <c r="T168" i="14698"/>
  <c r="K168" i="14698"/>
  <c r="R168" i="14698"/>
  <c r="S168" i="14698"/>
  <c r="M168" i="14698"/>
  <c r="P168" i="14698"/>
  <c r="U168" i="14698"/>
  <c r="L168" i="14698"/>
  <c r="O168" i="14698"/>
  <c r="Q168" i="14698"/>
  <c r="V168" i="14698"/>
  <c r="N168" i="14698"/>
  <c r="O175" i="14698"/>
  <c r="E175" i="14698"/>
  <c r="F175" i="14698"/>
  <c r="J175" i="14698"/>
  <c r="D175" i="14698"/>
  <c r="I175" i="14698"/>
  <c r="G175" i="14698"/>
  <c r="L175" i="14698"/>
  <c r="N175" i="14698"/>
  <c r="H175" i="14698"/>
  <c r="K175" i="14698"/>
  <c r="M175" i="14698"/>
  <c r="G190" i="14698"/>
  <c r="R190" i="14698"/>
  <c r="K190" i="14698"/>
  <c r="H190" i="14698"/>
  <c r="O190" i="14698"/>
  <c r="J190" i="14698"/>
  <c r="M190" i="14698"/>
  <c r="P190" i="14698"/>
  <c r="L190" i="14698"/>
  <c r="Q190" i="14698"/>
  <c r="N190" i="14698"/>
  <c r="I190" i="14698"/>
  <c r="T78" i="14703" a="1"/>
  <c r="H85" i="14698"/>
  <c r="L231" i="14698"/>
  <c r="M231" i="14698"/>
  <c r="J231" i="14698"/>
  <c r="H231" i="14698"/>
  <c r="B231" i="14698"/>
  <c r="K231" i="14698"/>
  <c r="I231" i="14698"/>
  <c r="F231" i="14698"/>
  <c r="E231" i="14698"/>
  <c r="G231" i="14698"/>
  <c r="C231" i="14698"/>
  <c r="D231" i="14698"/>
  <c r="Q184" i="14698"/>
  <c r="W184" i="14698"/>
  <c r="M184" i="14698"/>
  <c r="U184" i="14698"/>
  <c r="S184" i="14698"/>
  <c r="V184" i="14698"/>
  <c r="P184" i="14698"/>
  <c r="R184" i="14698"/>
  <c r="N184" i="14698"/>
  <c r="T184" i="14698"/>
  <c r="X184" i="14698"/>
  <c r="O184" i="14698"/>
  <c r="P192" i="14698"/>
  <c r="M192" i="14698"/>
  <c r="E192" i="14698"/>
  <c r="K192" i="14698"/>
  <c r="I192" i="14698"/>
  <c r="H192" i="14698"/>
  <c r="F192" i="14698"/>
  <c r="N192" i="14698"/>
  <c r="O192" i="14698"/>
  <c r="G192" i="14698"/>
  <c r="L192" i="14698"/>
  <c r="J192" i="14698"/>
  <c r="P243" i="14698"/>
  <c r="N243" i="14698"/>
  <c r="K243" i="14698"/>
  <c r="M243" i="14698"/>
  <c r="Q243" i="14698"/>
  <c r="L243" i="14698"/>
  <c r="S243" i="14698"/>
  <c r="O243" i="14698"/>
  <c r="J243" i="14698"/>
  <c r="I243" i="14698"/>
  <c r="H243" i="14698"/>
  <c r="R243" i="14698"/>
  <c r="I229" i="14698"/>
  <c r="N229" i="14698"/>
  <c r="K229" i="14698"/>
  <c r="H229" i="14698"/>
  <c r="E229" i="14698"/>
  <c r="J229" i="14698"/>
  <c r="G229" i="14698"/>
  <c r="L229" i="14698"/>
  <c r="O229" i="14698"/>
  <c r="D229" i="14698"/>
  <c r="M229" i="14698"/>
  <c r="F229" i="14698"/>
  <c r="E157" i="14698"/>
  <c r="N157" i="14698"/>
  <c r="H157" i="14698"/>
  <c r="L157" i="14698"/>
  <c r="O157" i="14698"/>
  <c r="I157" i="14698"/>
  <c r="D157" i="14698"/>
  <c r="J157" i="14698"/>
  <c r="F157" i="14698"/>
  <c r="K157" i="14698"/>
  <c r="G157" i="14698"/>
  <c r="M157" i="14698"/>
  <c r="U77" i="14703" a="1"/>
  <c r="I85" i="14698"/>
  <c r="S167" i="14698"/>
  <c r="R167" i="14698"/>
  <c r="W167" i="14698"/>
  <c r="Q167" i="14698"/>
  <c r="N167" i="14698"/>
  <c r="P167" i="14698"/>
  <c r="T167" i="14698"/>
  <c r="V167" i="14698"/>
  <c r="O167" i="14698"/>
  <c r="U167" i="14698"/>
  <c r="M167" i="14698"/>
  <c r="L167" i="14698"/>
  <c r="V76" i="14703" a="1"/>
  <c r="P82" i="14703" a="1"/>
  <c r="G228" i="14698"/>
  <c r="P228" i="14698"/>
  <c r="K228" i="14698"/>
  <c r="L228" i="14698"/>
  <c r="O228" i="14698"/>
  <c r="M228" i="14698"/>
  <c r="N228" i="14698"/>
  <c r="F228" i="14698"/>
  <c r="E228" i="14698"/>
  <c r="I228" i="14698"/>
  <c r="H228" i="14698"/>
  <c r="J228" i="14698"/>
  <c r="R219" i="14698"/>
  <c r="U219" i="14698"/>
  <c r="X219" i="14698"/>
  <c r="O219" i="14698"/>
  <c r="P219" i="14698"/>
  <c r="N219" i="14698"/>
  <c r="W219" i="14698"/>
  <c r="S219" i="14698"/>
  <c r="Y219" i="14698"/>
  <c r="V219" i="14698"/>
  <c r="T219" i="14698"/>
  <c r="Q219" i="14698"/>
  <c r="G249" i="14698"/>
  <c r="B249" i="14698"/>
  <c r="D249" i="14698"/>
  <c r="E249" i="14698"/>
  <c r="J249" i="14698"/>
  <c r="C249" i="14698"/>
  <c r="M249" i="14698"/>
  <c r="K249" i="14698"/>
  <c r="L249" i="14698"/>
  <c r="H249" i="14698"/>
  <c r="F249" i="14698"/>
  <c r="I249" i="14698"/>
  <c r="V186" i="14698"/>
  <c r="O186" i="14698"/>
  <c r="Q186" i="14698"/>
  <c r="M186" i="14698"/>
  <c r="U186" i="14698"/>
  <c r="T186" i="14698"/>
  <c r="R186" i="14698"/>
  <c r="S186" i="14698"/>
  <c r="L186" i="14698"/>
  <c r="K186" i="14698"/>
  <c r="N186" i="14698"/>
  <c r="P186" i="14698"/>
  <c r="T183" i="14698"/>
  <c r="X183" i="14698"/>
  <c r="S183" i="14698"/>
  <c r="P183" i="14698"/>
  <c r="W183" i="14698"/>
  <c r="V183" i="14698"/>
  <c r="O183" i="14698"/>
  <c r="Q183" i="14698"/>
  <c r="R183" i="14698"/>
  <c r="Y183" i="14698"/>
  <c r="N183" i="14698"/>
  <c r="U183" i="14698"/>
  <c r="K188" i="14698"/>
  <c r="J188" i="14698"/>
  <c r="N188" i="14698"/>
  <c r="M188" i="14698"/>
  <c r="S188" i="14698"/>
  <c r="L188" i="14698"/>
  <c r="O188" i="14698"/>
  <c r="P188" i="14698"/>
  <c r="R188" i="14698"/>
  <c r="Q188" i="14698"/>
  <c r="T188" i="14698"/>
  <c r="I188" i="14698"/>
  <c r="U240" i="14698"/>
  <c r="M240" i="14698"/>
  <c r="L240" i="14698"/>
  <c r="K240" i="14698"/>
  <c r="P240" i="14698"/>
  <c r="R240" i="14698"/>
  <c r="O240" i="14698"/>
  <c r="Q240" i="14698"/>
  <c r="N240" i="14698"/>
  <c r="V240" i="14698"/>
  <c r="S240" i="14698"/>
  <c r="T240" i="14698"/>
  <c r="B85" i="14698"/>
  <c r="N84" i="14703"/>
  <c r="N85" i="14703" s="1"/>
  <c r="M177" i="14698"/>
  <c r="E177" i="14698"/>
  <c r="G177" i="14698"/>
  <c r="K177" i="14698"/>
  <c r="I177" i="14698"/>
  <c r="C177" i="14698"/>
  <c r="D177" i="14698"/>
  <c r="L177" i="14698"/>
  <c r="F177" i="14698"/>
  <c r="H177" i="14698"/>
  <c r="J177" i="14698"/>
  <c r="B177" i="14698"/>
  <c r="I116" i="14698"/>
  <c r="S116" i="14698"/>
  <c r="K116" i="14698"/>
  <c r="L116" i="14698"/>
  <c r="N116" i="14698"/>
  <c r="T116" i="14698"/>
  <c r="M116" i="14698"/>
  <c r="J116" i="14698"/>
  <c r="P116" i="14698"/>
  <c r="O116" i="14698"/>
  <c r="Q116" i="14698"/>
  <c r="R116" i="14698"/>
  <c r="V147" i="14698"/>
  <c r="O147" i="14698"/>
  <c r="S147" i="14698"/>
  <c r="T147" i="14698"/>
  <c r="Y147" i="14698"/>
  <c r="X147" i="14698"/>
  <c r="Q147" i="14698"/>
  <c r="N147" i="14698"/>
  <c r="R147" i="14698"/>
  <c r="U147" i="14698"/>
  <c r="W147" i="14698"/>
  <c r="P147" i="14698"/>
  <c r="U222" i="14698"/>
  <c r="M222" i="14698"/>
  <c r="T222" i="14698"/>
  <c r="P222" i="14698"/>
  <c r="R222" i="14698"/>
  <c r="N222" i="14698"/>
  <c r="L222" i="14698"/>
  <c r="K222" i="14698"/>
  <c r="O222" i="14698"/>
  <c r="Q222" i="14698"/>
  <c r="S222" i="14698"/>
  <c r="V222" i="14698"/>
  <c r="G193" i="14698"/>
  <c r="J193" i="14698"/>
  <c r="L193" i="14698"/>
  <c r="M193" i="14698"/>
  <c r="F193" i="14698"/>
  <c r="K193" i="14698"/>
  <c r="O193" i="14698"/>
  <c r="H193" i="14698"/>
  <c r="I193" i="14698"/>
  <c r="N193" i="14698"/>
  <c r="E193" i="14698"/>
  <c r="D193" i="14698"/>
  <c r="V165" i="14698"/>
  <c r="S165" i="14698"/>
  <c r="W165" i="14698"/>
  <c r="Y165" i="14698"/>
  <c r="Q165" i="14698"/>
  <c r="X165" i="14698"/>
  <c r="T165" i="14698"/>
  <c r="U165" i="14698"/>
  <c r="N165" i="14698"/>
  <c r="R165" i="14698"/>
  <c r="O165" i="14698"/>
  <c r="P165" i="14698"/>
  <c r="V238" i="14698"/>
  <c r="P238" i="14698"/>
  <c r="S238" i="14698"/>
  <c r="T238" i="14698"/>
  <c r="W238" i="14698"/>
  <c r="X238" i="14698"/>
  <c r="R238" i="14698"/>
  <c r="Q238" i="14698"/>
  <c r="N238" i="14698"/>
  <c r="U238" i="14698"/>
  <c r="O238" i="14698"/>
  <c r="M238" i="14698"/>
  <c r="W75" i="14703" a="1"/>
  <c r="E53" i="14643" a="1"/>
  <c r="M176" i="14698"/>
  <c r="H176" i="14698"/>
  <c r="G176" i="14698"/>
  <c r="D176" i="14698"/>
  <c r="I176" i="14698"/>
  <c r="J176" i="14698"/>
  <c r="E176" i="14698"/>
  <c r="K176" i="14698"/>
  <c r="L176" i="14698"/>
  <c r="C176" i="14698"/>
  <c r="N176" i="14698"/>
  <c r="F176" i="14698"/>
  <c r="F85" i="14698"/>
  <c r="R80" i="14703" a="1"/>
  <c r="C34" i="14683" a="1"/>
  <c r="K85" i="14698"/>
  <c r="I28" i="14623"/>
  <c r="D40" i="14643" a="1"/>
  <c r="D14" i="14643"/>
  <c r="D15" i="14643" s="1"/>
  <c r="C10" i="14631"/>
  <c r="C28" i="14623"/>
  <c r="F10" i="14631"/>
  <c r="F28" i="14623"/>
  <c r="G20" i="14649"/>
  <c r="E20" i="14649"/>
  <c r="C20" i="14649"/>
  <c r="F20" i="14649"/>
  <c r="D20" i="14649"/>
  <c r="H244" i="14703"/>
  <c r="M244" i="14703"/>
  <c r="N244" i="14703"/>
  <c r="K244" i="14703"/>
  <c r="L244" i="14703"/>
  <c r="O244" i="14703"/>
  <c r="R244" i="14703"/>
  <c r="I244" i="14703"/>
  <c r="Q244" i="14703"/>
  <c r="G244" i="14703"/>
  <c r="J244" i="14703"/>
  <c r="P244" i="14703"/>
  <c r="U238" i="14703"/>
  <c r="T238" i="14703"/>
  <c r="N238" i="14703"/>
  <c r="S238" i="14703"/>
  <c r="M238" i="14703"/>
  <c r="O238" i="14703"/>
  <c r="V238" i="14703"/>
  <c r="R238" i="14703"/>
  <c r="X238" i="14703"/>
  <c r="Q238" i="14703"/>
  <c r="W238" i="14703"/>
  <c r="P238" i="14703"/>
  <c r="Q240" i="14703"/>
  <c r="T240" i="14703"/>
  <c r="V240" i="14703"/>
  <c r="O240" i="14703"/>
  <c r="N240" i="14703"/>
  <c r="R240" i="14703"/>
  <c r="U240" i="14703"/>
  <c r="K240" i="14703"/>
  <c r="L240" i="14703"/>
  <c r="S240" i="14703"/>
  <c r="P240" i="14703"/>
  <c r="M240" i="14703"/>
  <c r="H246" i="14703"/>
  <c r="I246" i="14703"/>
  <c r="F246" i="14703"/>
  <c r="K246" i="14703"/>
  <c r="E246" i="14703"/>
  <c r="O246" i="14703"/>
  <c r="G246" i="14703"/>
  <c r="J246" i="14703"/>
  <c r="N246" i="14703"/>
  <c r="L246" i="14703"/>
  <c r="P246" i="14703"/>
  <c r="M246" i="14703"/>
  <c r="M248" i="14703"/>
  <c r="K248" i="14703"/>
  <c r="C248" i="14703"/>
  <c r="J248" i="14703"/>
  <c r="E248" i="14703"/>
  <c r="I248" i="14703"/>
  <c r="N248" i="14703"/>
  <c r="L248" i="14703"/>
  <c r="H248" i="14703"/>
  <c r="G248" i="14703"/>
  <c r="F248" i="14703"/>
  <c r="D248" i="14703"/>
  <c r="S237" i="14703"/>
  <c r="Y237" i="14703"/>
  <c r="N237" i="14703"/>
  <c r="U237" i="14703"/>
  <c r="O237" i="14703"/>
  <c r="R237" i="14703"/>
  <c r="P237" i="14703"/>
  <c r="T237" i="14703"/>
  <c r="X237" i="14703"/>
  <c r="Q237" i="14703"/>
  <c r="W237" i="14703"/>
  <c r="V237" i="14703"/>
  <c r="P190" i="14703"/>
  <c r="L190" i="14703"/>
  <c r="R190" i="14703"/>
  <c r="Q190" i="14703"/>
  <c r="O190" i="14703"/>
  <c r="G190" i="14703"/>
  <c r="M190" i="14703"/>
  <c r="H190" i="14703"/>
  <c r="K190" i="14703"/>
  <c r="N190" i="14703"/>
  <c r="J190" i="14703"/>
  <c r="I190" i="14703"/>
  <c r="E193" i="14703"/>
  <c r="M193" i="14703"/>
  <c r="D193" i="14703"/>
  <c r="J193" i="14703"/>
  <c r="O193" i="14703"/>
  <c r="I193" i="14703"/>
  <c r="H193" i="14703"/>
  <c r="K193" i="14703"/>
  <c r="F193" i="14703"/>
  <c r="N193" i="14703"/>
  <c r="G193" i="14703"/>
  <c r="L193" i="14703"/>
  <c r="N183" i="14703"/>
  <c r="T183" i="14703"/>
  <c r="O183" i="14703"/>
  <c r="W183" i="14703"/>
  <c r="X183" i="14703"/>
  <c r="U183" i="14703"/>
  <c r="S183" i="14703"/>
  <c r="R183" i="14703"/>
  <c r="Q183" i="14703"/>
  <c r="V183" i="14703"/>
  <c r="Y183" i="14703"/>
  <c r="P183" i="14703"/>
  <c r="O187" i="14703"/>
  <c r="Q187" i="14703"/>
  <c r="M187" i="14703"/>
  <c r="T187" i="14703"/>
  <c r="S187" i="14703"/>
  <c r="J187" i="14703"/>
  <c r="U187" i="14703"/>
  <c r="N187" i="14703"/>
  <c r="P187" i="14703"/>
  <c r="L187" i="14703"/>
  <c r="R187" i="14703"/>
  <c r="K187" i="14703"/>
  <c r="J194" i="14703"/>
  <c r="N194" i="14703"/>
  <c r="G194" i="14703"/>
  <c r="H194" i="14703"/>
  <c r="M194" i="14703"/>
  <c r="L194" i="14703"/>
  <c r="I194" i="14703"/>
  <c r="E194" i="14703"/>
  <c r="F194" i="14703"/>
  <c r="K194" i="14703"/>
  <c r="D194" i="14703"/>
  <c r="C194" i="14703"/>
  <c r="Q191" i="14703"/>
  <c r="P191" i="14703"/>
  <c r="H191" i="14703"/>
  <c r="J191" i="14703"/>
  <c r="L191" i="14703"/>
  <c r="G191" i="14703"/>
  <c r="N191" i="14703"/>
  <c r="I191" i="14703"/>
  <c r="M191" i="14703"/>
  <c r="F191" i="14703"/>
  <c r="K191" i="14703"/>
  <c r="O191" i="14703"/>
  <c r="K195" i="14703"/>
  <c r="B195" i="14703"/>
  <c r="B196" i="14703" s="1"/>
  <c r="D195" i="14703"/>
  <c r="H195" i="14703"/>
  <c r="M195" i="14703"/>
  <c r="C195" i="14703"/>
  <c r="L195" i="14703"/>
  <c r="I195" i="14703"/>
  <c r="J195" i="14703"/>
  <c r="E195" i="14703"/>
  <c r="G195" i="14703"/>
  <c r="F195" i="14703"/>
  <c r="D85" i="14703"/>
  <c r="F85" i="14703"/>
  <c r="U112" i="14703"/>
  <c r="V112" i="14703"/>
  <c r="X112" i="14703"/>
  <c r="N112" i="14703"/>
  <c r="P112" i="14703"/>
  <c r="T112" i="14703"/>
  <c r="S112" i="14703"/>
  <c r="O112" i="14703"/>
  <c r="Q112" i="14703"/>
  <c r="W112" i="14703"/>
  <c r="R112" i="14703"/>
  <c r="M112" i="14703"/>
  <c r="L123" i="14703"/>
  <c r="G123" i="14703"/>
  <c r="H123" i="14703"/>
  <c r="K123" i="14703"/>
  <c r="J123" i="14703"/>
  <c r="C123" i="14703"/>
  <c r="I123" i="14703"/>
  <c r="E123" i="14703"/>
  <c r="D123" i="14703"/>
  <c r="M123" i="14703"/>
  <c r="F123" i="14703"/>
  <c r="B123" i="14703"/>
  <c r="B124" i="14703" s="1"/>
  <c r="N122" i="14703"/>
  <c r="M122" i="14703"/>
  <c r="L122" i="14703"/>
  <c r="E122" i="14703"/>
  <c r="J122" i="14703"/>
  <c r="C122" i="14703"/>
  <c r="H122" i="14703"/>
  <c r="K122" i="14703"/>
  <c r="G122" i="14703"/>
  <c r="D122" i="14703"/>
  <c r="I122" i="14703"/>
  <c r="F122" i="14703"/>
  <c r="S115" i="14703"/>
  <c r="J115" i="14703"/>
  <c r="T115" i="14703"/>
  <c r="N115" i="14703"/>
  <c r="M115" i="14703"/>
  <c r="L115" i="14703"/>
  <c r="R115" i="14703"/>
  <c r="O115" i="14703"/>
  <c r="U115" i="14703"/>
  <c r="P115" i="14703"/>
  <c r="K115" i="14703"/>
  <c r="Q115" i="14703"/>
  <c r="K85" i="14703"/>
  <c r="P119" i="14703"/>
  <c r="I119" i="14703"/>
  <c r="J119" i="14703"/>
  <c r="O119" i="14703"/>
  <c r="M119" i="14703"/>
  <c r="F119" i="14703"/>
  <c r="K119" i="14703"/>
  <c r="Q119" i="14703"/>
  <c r="H119" i="14703"/>
  <c r="L119" i="14703"/>
  <c r="N119" i="14703"/>
  <c r="G119" i="14703"/>
  <c r="R118" i="14703"/>
  <c r="G118" i="14703"/>
  <c r="Q118" i="14703"/>
  <c r="L118" i="14703"/>
  <c r="I118" i="14703"/>
  <c r="J118" i="14703"/>
  <c r="O118" i="14703"/>
  <c r="H118" i="14703"/>
  <c r="M118" i="14703"/>
  <c r="P118" i="14703"/>
  <c r="K118" i="14703"/>
  <c r="N118" i="14703"/>
  <c r="N121" i="14703"/>
  <c r="I121" i="14703"/>
  <c r="M121" i="14703"/>
  <c r="D121" i="14703"/>
  <c r="F121" i="14703"/>
  <c r="H121" i="14703"/>
  <c r="J121" i="14703"/>
  <c r="L121" i="14703"/>
  <c r="E121" i="14703"/>
  <c r="K121" i="14703"/>
  <c r="G121" i="14703"/>
  <c r="O121" i="14703"/>
  <c r="H117" i="14703"/>
  <c r="K117" i="14703"/>
  <c r="O117" i="14703"/>
  <c r="P117" i="14703"/>
  <c r="N117" i="14703"/>
  <c r="I117" i="14703"/>
  <c r="J117" i="14703"/>
  <c r="L117" i="14703"/>
  <c r="M117" i="14703"/>
  <c r="S117" i="14703"/>
  <c r="Q117" i="14703"/>
  <c r="R117" i="14703"/>
  <c r="L85" i="14703"/>
  <c r="O116" i="14703"/>
  <c r="K116" i="14703"/>
  <c r="T116" i="14703"/>
  <c r="J116" i="14703"/>
  <c r="S116" i="14703"/>
  <c r="I116" i="14703"/>
  <c r="N116" i="14703"/>
  <c r="L116" i="14703"/>
  <c r="Q116" i="14703"/>
  <c r="M116" i="14703"/>
  <c r="P116" i="14703"/>
  <c r="R116" i="14703"/>
  <c r="J85" i="14703"/>
  <c r="M221" i="14703"/>
  <c r="O221" i="14703"/>
  <c r="W221" i="14703"/>
  <c r="P221" i="14703"/>
  <c r="U221" i="14703"/>
  <c r="T221" i="14703"/>
  <c r="R221" i="14703"/>
  <c r="N221" i="14703"/>
  <c r="L221" i="14703"/>
  <c r="V221" i="14703"/>
  <c r="Q221" i="14703"/>
  <c r="S221" i="14703"/>
  <c r="F230" i="14703"/>
  <c r="H230" i="14703"/>
  <c r="M230" i="14703"/>
  <c r="J230" i="14703"/>
  <c r="I230" i="14703"/>
  <c r="N230" i="14703"/>
  <c r="E230" i="14703"/>
  <c r="K230" i="14703"/>
  <c r="C230" i="14703"/>
  <c r="D230" i="14703"/>
  <c r="G230" i="14703"/>
  <c r="L230" i="14703"/>
  <c r="J223" i="14703"/>
  <c r="P223" i="14703"/>
  <c r="O223" i="14703"/>
  <c r="L223" i="14703"/>
  <c r="T223" i="14703"/>
  <c r="Q223" i="14703"/>
  <c r="K223" i="14703"/>
  <c r="U223" i="14703"/>
  <c r="S223" i="14703"/>
  <c r="R223" i="14703"/>
  <c r="M223" i="14703"/>
  <c r="N223" i="14703"/>
  <c r="J226" i="14703"/>
  <c r="L226" i="14703"/>
  <c r="K226" i="14703"/>
  <c r="H226" i="14703"/>
  <c r="R226" i="14703"/>
  <c r="M226" i="14703"/>
  <c r="Q226" i="14703"/>
  <c r="G226" i="14703"/>
  <c r="N226" i="14703"/>
  <c r="I226" i="14703"/>
  <c r="P226" i="14703"/>
  <c r="O226" i="14703"/>
  <c r="Q222" i="14703"/>
  <c r="M222" i="14703"/>
  <c r="L222" i="14703"/>
  <c r="P222" i="14703"/>
  <c r="N222" i="14703"/>
  <c r="K222" i="14703"/>
  <c r="U222" i="14703"/>
  <c r="S222" i="14703"/>
  <c r="V222" i="14703"/>
  <c r="O222" i="14703"/>
  <c r="T222" i="14703"/>
  <c r="R222" i="14703"/>
  <c r="F229" i="14703"/>
  <c r="M229" i="14703"/>
  <c r="I229" i="14703"/>
  <c r="H229" i="14703"/>
  <c r="D229" i="14703"/>
  <c r="N229" i="14703"/>
  <c r="J229" i="14703"/>
  <c r="G229" i="14703"/>
  <c r="K229" i="14703"/>
  <c r="L229" i="14703"/>
  <c r="E229" i="14703"/>
  <c r="O229" i="14703"/>
  <c r="G157" i="14703"/>
  <c r="H157" i="14703"/>
  <c r="L157" i="14703"/>
  <c r="E157" i="14703"/>
  <c r="D157" i="14703"/>
  <c r="J157" i="14703"/>
  <c r="M157" i="14703"/>
  <c r="I157" i="14703"/>
  <c r="O157" i="14703"/>
  <c r="K157" i="14703"/>
  <c r="N157" i="14703"/>
  <c r="F157" i="14703"/>
  <c r="N151" i="14703"/>
  <c r="K151" i="14703"/>
  <c r="R151" i="14703"/>
  <c r="J151" i="14703"/>
  <c r="P151" i="14703"/>
  <c r="U151" i="14703"/>
  <c r="T151" i="14703"/>
  <c r="S151" i="14703"/>
  <c r="Q151" i="14703"/>
  <c r="O151" i="14703"/>
  <c r="M151" i="14703"/>
  <c r="L151" i="14703"/>
  <c r="V149" i="14703"/>
  <c r="P149" i="14703"/>
  <c r="O149" i="14703"/>
  <c r="Q149" i="14703"/>
  <c r="W149" i="14703"/>
  <c r="S149" i="14703"/>
  <c r="U149" i="14703"/>
  <c r="L149" i="14703"/>
  <c r="N149" i="14703"/>
  <c r="T149" i="14703"/>
  <c r="R149" i="14703"/>
  <c r="M149" i="14703"/>
  <c r="R148" i="14703"/>
  <c r="S148" i="14703"/>
  <c r="N148" i="14703"/>
  <c r="V148" i="14703"/>
  <c r="M148" i="14703"/>
  <c r="P148" i="14703"/>
  <c r="O148" i="14703"/>
  <c r="Q148" i="14703"/>
  <c r="U148" i="14703"/>
  <c r="W148" i="14703"/>
  <c r="T148" i="14703"/>
  <c r="X148" i="14703"/>
  <c r="F158" i="14703"/>
  <c r="D158" i="14703"/>
  <c r="C158" i="14703"/>
  <c r="N158" i="14703"/>
  <c r="J158" i="14703"/>
  <c r="E158" i="14703"/>
  <c r="H158" i="14703"/>
  <c r="K158" i="14703"/>
  <c r="G158" i="14703"/>
  <c r="M158" i="14703"/>
  <c r="L158" i="14703"/>
  <c r="I158" i="14703"/>
  <c r="J156" i="14703"/>
  <c r="M156" i="14703"/>
  <c r="K156" i="14703"/>
  <c r="L156" i="14703"/>
  <c r="E156" i="14703"/>
  <c r="O156" i="14703"/>
  <c r="P156" i="14703"/>
  <c r="G156" i="14703"/>
  <c r="F156" i="14703"/>
  <c r="I156" i="14703"/>
  <c r="H156" i="14703"/>
  <c r="N156" i="14703"/>
  <c r="G139" i="14703"/>
  <c r="M139" i="14703"/>
  <c r="D139" i="14703"/>
  <c r="I139" i="14703"/>
  <c r="E139" i="14703"/>
  <c r="J139" i="14703"/>
  <c r="O139" i="14703"/>
  <c r="H139" i="14703"/>
  <c r="N139" i="14703"/>
  <c r="K139" i="14703"/>
  <c r="F139" i="14703"/>
  <c r="L139" i="14703"/>
  <c r="D140" i="14703"/>
  <c r="E140" i="14703"/>
  <c r="F140" i="14703"/>
  <c r="L140" i="14703"/>
  <c r="H140" i="14703"/>
  <c r="J140" i="14703"/>
  <c r="I140" i="14703"/>
  <c r="N140" i="14703"/>
  <c r="C140" i="14703"/>
  <c r="K140" i="14703"/>
  <c r="G140" i="14703"/>
  <c r="M140" i="14703"/>
  <c r="U131" i="14703"/>
  <c r="W131" i="14703"/>
  <c r="S131" i="14703"/>
  <c r="Q131" i="14703"/>
  <c r="N131" i="14703"/>
  <c r="R131" i="14703"/>
  <c r="T131" i="14703"/>
  <c r="L131" i="14703"/>
  <c r="P131" i="14703"/>
  <c r="V131" i="14703"/>
  <c r="O131" i="14703"/>
  <c r="M131" i="14703"/>
  <c r="L135" i="14703"/>
  <c r="O135" i="14703"/>
  <c r="P135" i="14703"/>
  <c r="S135" i="14703"/>
  <c r="J135" i="14703"/>
  <c r="H135" i="14703"/>
  <c r="K135" i="14703"/>
  <c r="R135" i="14703"/>
  <c r="I135" i="14703"/>
  <c r="Q135" i="14703"/>
  <c r="M135" i="14703"/>
  <c r="N135" i="14703"/>
  <c r="F141" i="14703"/>
  <c r="I141" i="14703"/>
  <c r="K141" i="14703"/>
  <c r="C141" i="14703"/>
  <c r="H141" i="14703"/>
  <c r="M141" i="14703"/>
  <c r="D141" i="14703"/>
  <c r="J141" i="14703"/>
  <c r="B141" i="14703"/>
  <c r="B142" i="14703" s="1"/>
  <c r="L141" i="14703"/>
  <c r="G141" i="14703"/>
  <c r="E141" i="14703"/>
  <c r="G136" i="14703"/>
  <c r="P136" i="14703"/>
  <c r="L136" i="14703"/>
  <c r="R136" i="14703"/>
  <c r="N136" i="14703"/>
  <c r="O136" i="14703"/>
  <c r="K136" i="14703"/>
  <c r="H136" i="14703"/>
  <c r="Q136" i="14703"/>
  <c r="M136" i="14703"/>
  <c r="J136" i="14703"/>
  <c r="I136" i="14703"/>
  <c r="D10" i="14631"/>
  <c r="S31" i="14623"/>
  <c r="D28" i="14623"/>
  <c r="I49" i="14695"/>
  <c r="D49" i="14695"/>
  <c r="B49" i="14695"/>
  <c r="C49" i="14695"/>
  <c r="L49" i="14695"/>
  <c r="J49" i="14695"/>
  <c r="M49" i="14695"/>
  <c r="K49" i="14695"/>
  <c r="E49" i="14695"/>
  <c r="G49" i="14695"/>
  <c r="F49" i="14695"/>
  <c r="H49" i="14695"/>
  <c r="G10" i="14631"/>
  <c r="G28" i="14623"/>
  <c r="C23" i="14632"/>
  <c r="C24" i="14632"/>
  <c r="C22" i="14632"/>
  <c r="C25" i="14632"/>
  <c r="C26" i="14632"/>
  <c r="M28" i="14623"/>
  <c r="B22" i="14632"/>
  <c r="B26" i="14632"/>
  <c r="B25" i="14632"/>
  <c r="B21" i="14632"/>
  <c r="B23" i="14632"/>
  <c r="B24" i="14632"/>
  <c r="J10" i="14631"/>
  <c r="J28" i="14623"/>
  <c r="F22" i="14708"/>
  <c r="F7" i="14708"/>
  <c r="B22" i="14655" s="1"/>
  <c r="F8" i="14708"/>
  <c r="B24" i="14655" s="1"/>
  <c r="L42" i="14695"/>
  <c r="K42" i="14695"/>
  <c r="H42" i="14695"/>
  <c r="G42" i="14695"/>
  <c r="M42" i="14695"/>
  <c r="I42" i="14695"/>
  <c r="D42" i="14695"/>
  <c r="E42" i="14695"/>
  <c r="B42" i="14695"/>
  <c r="C42" i="14695"/>
  <c r="J42" i="14695"/>
  <c r="F42" i="14695"/>
  <c r="F21" i="14695"/>
  <c r="J21" i="14695"/>
  <c r="L21" i="14695"/>
  <c r="D21" i="14695"/>
  <c r="G21" i="14695"/>
  <c r="H21" i="14695"/>
  <c r="E21" i="14695"/>
  <c r="K21" i="14695"/>
  <c r="M21" i="14695"/>
  <c r="C21" i="14695"/>
  <c r="I21" i="14695"/>
  <c r="B21" i="14695"/>
  <c r="K210" i="14703"/>
  <c r="O210" i="14703"/>
  <c r="M210" i="14703"/>
  <c r="H210" i="14703"/>
  <c r="L210" i="14703"/>
  <c r="N210" i="14703"/>
  <c r="J210" i="14703"/>
  <c r="G210" i="14703"/>
  <c r="E210" i="14703"/>
  <c r="P210" i="14703"/>
  <c r="F210" i="14703"/>
  <c r="I210" i="14703"/>
  <c r="B213" i="14703"/>
  <c r="B214" i="14703" s="1"/>
  <c r="C213" i="14703"/>
  <c r="K213" i="14703"/>
  <c r="D213" i="14703"/>
  <c r="F213" i="14703"/>
  <c r="L213" i="14703"/>
  <c r="M213" i="14703"/>
  <c r="E213" i="14703"/>
  <c r="I213" i="14703"/>
  <c r="H213" i="14703"/>
  <c r="G213" i="14703"/>
  <c r="J213" i="14703"/>
  <c r="V204" i="14703"/>
  <c r="L204" i="14703"/>
  <c r="R204" i="14703"/>
  <c r="P204" i="14703"/>
  <c r="Q204" i="14703"/>
  <c r="M204" i="14703"/>
  <c r="O204" i="14703"/>
  <c r="N204" i="14703"/>
  <c r="U204" i="14703"/>
  <c r="K204" i="14703"/>
  <c r="T204" i="14703"/>
  <c r="S204" i="14703"/>
  <c r="H211" i="14703"/>
  <c r="D211" i="14703"/>
  <c r="K211" i="14703"/>
  <c r="G211" i="14703"/>
  <c r="J211" i="14703"/>
  <c r="O211" i="14703"/>
  <c r="I211" i="14703"/>
  <c r="F211" i="14703"/>
  <c r="N211" i="14703"/>
  <c r="L211" i="14703"/>
  <c r="E211" i="14703"/>
  <c r="M211" i="14703"/>
  <c r="C212" i="14703"/>
  <c r="H212" i="14703"/>
  <c r="I212" i="14703"/>
  <c r="E212" i="14703"/>
  <c r="L212" i="14703"/>
  <c r="K212" i="14703"/>
  <c r="D212" i="14703"/>
  <c r="G212" i="14703"/>
  <c r="F212" i="14703"/>
  <c r="M212" i="14703"/>
  <c r="J212" i="14703"/>
  <c r="N212" i="14703"/>
  <c r="T201" i="14703"/>
  <c r="O201" i="14703"/>
  <c r="U201" i="14703"/>
  <c r="P201" i="14703"/>
  <c r="S201" i="14703"/>
  <c r="W201" i="14703"/>
  <c r="R201" i="14703"/>
  <c r="N201" i="14703"/>
  <c r="Y201" i="14703"/>
  <c r="Q201" i="14703"/>
  <c r="X201" i="14703"/>
  <c r="V201" i="14703"/>
  <c r="S207" i="14703"/>
  <c r="M207" i="14703"/>
  <c r="J207" i="14703"/>
  <c r="N207" i="14703"/>
  <c r="Q207" i="14703"/>
  <c r="K207" i="14703"/>
  <c r="H207" i="14703"/>
  <c r="P207" i="14703"/>
  <c r="R207" i="14703"/>
  <c r="L207" i="14703"/>
  <c r="O207" i="14703"/>
  <c r="I207" i="14703"/>
  <c r="G172" i="14703"/>
  <c r="P172" i="14703"/>
  <c r="R172" i="14703"/>
  <c r="M172" i="14703"/>
  <c r="H172" i="14703"/>
  <c r="N172" i="14703"/>
  <c r="K172" i="14703"/>
  <c r="I172" i="14703"/>
  <c r="O172" i="14703"/>
  <c r="Q172" i="14703"/>
  <c r="L172" i="14703"/>
  <c r="J172" i="14703"/>
  <c r="U169" i="14703"/>
  <c r="Q169" i="14703"/>
  <c r="R169" i="14703"/>
  <c r="S169" i="14703"/>
  <c r="N169" i="14703"/>
  <c r="J169" i="14703"/>
  <c r="M169" i="14703"/>
  <c r="T169" i="14703"/>
  <c r="L169" i="14703"/>
  <c r="O169" i="14703"/>
  <c r="P169" i="14703"/>
  <c r="K169" i="14703"/>
  <c r="R171" i="14703"/>
  <c r="H171" i="14703"/>
  <c r="S171" i="14703"/>
  <c r="I171" i="14703"/>
  <c r="J171" i="14703"/>
  <c r="K171" i="14703"/>
  <c r="M171" i="14703"/>
  <c r="O171" i="14703"/>
  <c r="Q171" i="14703"/>
  <c r="N171" i="14703"/>
  <c r="P171" i="14703"/>
  <c r="L171" i="14703"/>
  <c r="T165" i="14703"/>
  <c r="Y165" i="14703"/>
  <c r="U165" i="14703"/>
  <c r="N165" i="14703"/>
  <c r="W165" i="14703"/>
  <c r="X165" i="14703"/>
  <c r="O165" i="14703"/>
  <c r="R165" i="14703"/>
  <c r="S165" i="14703"/>
  <c r="V165" i="14703"/>
  <c r="Q165" i="14703"/>
  <c r="P165" i="14703"/>
  <c r="E176" i="14703"/>
  <c r="H176" i="14703"/>
  <c r="N176" i="14703"/>
  <c r="F176" i="14703"/>
  <c r="I176" i="14703"/>
  <c r="D176" i="14703"/>
  <c r="L176" i="14703"/>
  <c r="C176" i="14703"/>
  <c r="G176" i="14703"/>
  <c r="K176" i="14703"/>
  <c r="J176" i="14703"/>
  <c r="M176" i="14703"/>
  <c r="T166" i="14703"/>
  <c r="R166" i="14703"/>
  <c r="S166" i="14703"/>
  <c r="W166" i="14703"/>
  <c r="M166" i="14703"/>
  <c r="P166" i="14703"/>
  <c r="X166" i="14703"/>
  <c r="U166" i="14703"/>
  <c r="V166" i="14703"/>
  <c r="Q166" i="14703"/>
  <c r="N166" i="14703"/>
  <c r="O166" i="14703"/>
  <c r="E174" i="14703"/>
  <c r="F174" i="14703"/>
  <c r="O174" i="14703"/>
  <c r="J174" i="14703"/>
  <c r="I174" i="14703"/>
  <c r="M174" i="14703"/>
  <c r="H174" i="14703"/>
  <c r="N174" i="14703"/>
  <c r="L174" i="14703"/>
  <c r="P174" i="14703"/>
  <c r="K174" i="14703"/>
  <c r="G174" i="14703"/>
  <c r="N6" i="14667"/>
  <c r="K10" i="14631"/>
  <c r="K28" i="14623"/>
  <c r="F7" i="8"/>
  <c r="M7" i="8"/>
  <c r="J7" i="8"/>
  <c r="G7" i="8"/>
  <c r="D7" i="8"/>
  <c r="H7" i="8"/>
  <c r="B7" i="8"/>
  <c r="L7" i="8"/>
  <c r="K7" i="8"/>
  <c r="E7" i="8"/>
  <c r="I7" i="8"/>
  <c r="C7" i="8"/>
  <c r="M22" i="14670"/>
  <c r="H22" i="14670"/>
  <c r="J22" i="14670"/>
  <c r="C22" i="14670"/>
  <c r="F22" i="14670"/>
  <c r="L22" i="14670"/>
  <c r="K22" i="14670"/>
  <c r="E22" i="14670"/>
  <c r="B22" i="14670"/>
  <c r="I22" i="14670"/>
  <c r="G22" i="14670"/>
  <c r="D22" i="14670"/>
  <c r="H22" i="14671"/>
  <c r="B22" i="14671"/>
  <c r="L22" i="14671"/>
  <c r="M22" i="14671"/>
  <c r="C22" i="14671"/>
  <c r="G22" i="14671"/>
  <c r="I22" i="14671"/>
  <c r="D22" i="14671"/>
  <c r="F22" i="14671"/>
  <c r="K22" i="14671"/>
  <c r="J22" i="14671"/>
  <c r="E22" i="14671"/>
  <c r="Q239" i="14703"/>
  <c r="S239" i="14703"/>
  <c r="L239" i="14703"/>
  <c r="T239" i="14703"/>
  <c r="V239" i="14703"/>
  <c r="O239" i="14703"/>
  <c r="N239" i="14703"/>
  <c r="M239" i="14703"/>
  <c r="U239" i="14703"/>
  <c r="W239" i="14703"/>
  <c r="R239" i="14703"/>
  <c r="P239" i="14703"/>
  <c r="B249" i="14703"/>
  <c r="B250" i="14703" s="1"/>
  <c r="G249" i="14703"/>
  <c r="E249" i="14703"/>
  <c r="K249" i="14703"/>
  <c r="L249" i="14703"/>
  <c r="C249" i="14703"/>
  <c r="D249" i="14703"/>
  <c r="F249" i="14703"/>
  <c r="I249" i="14703"/>
  <c r="M249" i="14703"/>
  <c r="J249" i="14703"/>
  <c r="H249" i="14703"/>
  <c r="K241" i="14703"/>
  <c r="M241" i="14703"/>
  <c r="Q241" i="14703"/>
  <c r="O241" i="14703"/>
  <c r="J241" i="14703"/>
  <c r="P241" i="14703"/>
  <c r="T241" i="14703"/>
  <c r="U241" i="14703"/>
  <c r="N241" i="14703"/>
  <c r="L241" i="14703"/>
  <c r="S241" i="14703"/>
  <c r="R241" i="14703"/>
  <c r="L245" i="14703"/>
  <c r="N245" i="14703"/>
  <c r="F245" i="14703"/>
  <c r="G245" i="14703"/>
  <c r="K245" i="14703"/>
  <c r="M245" i="14703"/>
  <c r="H245" i="14703"/>
  <c r="I245" i="14703"/>
  <c r="J245" i="14703"/>
  <c r="Q245" i="14703"/>
  <c r="P245" i="14703"/>
  <c r="O245" i="14703"/>
  <c r="J243" i="14703"/>
  <c r="R243" i="14703"/>
  <c r="N243" i="14703"/>
  <c r="O243" i="14703"/>
  <c r="H243" i="14703"/>
  <c r="S243" i="14703"/>
  <c r="I243" i="14703"/>
  <c r="M243" i="14703"/>
  <c r="P243" i="14703"/>
  <c r="Q243" i="14703"/>
  <c r="L243" i="14703"/>
  <c r="K243" i="14703"/>
  <c r="L242" i="14703"/>
  <c r="S242" i="14703"/>
  <c r="Q242" i="14703"/>
  <c r="N242" i="14703"/>
  <c r="M242" i="14703"/>
  <c r="R242" i="14703"/>
  <c r="J242" i="14703"/>
  <c r="K242" i="14703"/>
  <c r="I242" i="14703"/>
  <c r="O242" i="14703"/>
  <c r="P242" i="14703"/>
  <c r="T242" i="14703"/>
  <c r="M247" i="14703"/>
  <c r="G247" i="14703"/>
  <c r="O247" i="14703"/>
  <c r="K247" i="14703"/>
  <c r="D247" i="14703"/>
  <c r="E247" i="14703"/>
  <c r="J247" i="14703"/>
  <c r="H247" i="14703"/>
  <c r="N247" i="14703"/>
  <c r="I247" i="14703"/>
  <c r="F247" i="14703"/>
  <c r="L247" i="14703"/>
  <c r="Q185" i="14703"/>
  <c r="P185" i="14703"/>
  <c r="S185" i="14703"/>
  <c r="R185" i="14703"/>
  <c r="O185" i="14703"/>
  <c r="T185" i="14703"/>
  <c r="M185" i="14703"/>
  <c r="W185" i="14703"/>
  <c r="N185" i="14703"/>
  <c r="V185" i="14703"/>
  <c r="U185" i="14703"/>
  <c r="L185" i="14703"/>
  <c r="I189" i="14703"/>
  <c r="Q189" i="14703"/>
  <c r="J189" i="14703"/>
  <c r="R189" i="14703"/>
  <c r="M189" i="14703"/>
  <c r="S189" i="14703"/>
  <c r="O189" i="14703"/>
  <c r="H189" i="14703"/>
  <c r="P189" i="14703"/>
  <c r="K189" i="14703"/>
  <c r="L189" i="14703"/>
  <c r="N189" i="14703"/>
  <c r="P184" i="14703"/>
  <c r="O184" i="14703"/>
  <c r="X184" i="14703"/>
  <c r="N184" i="14703"/>
  <c r="V184" i="14703"/>
  <c r="M184" i="14703"/>
  <c r="R184" i="14703"/>
  <c r="W184" i="14703"/>
  <c r="T184" i="14703"/>
  <c r="U184" i="14703"/>
  <c r="S184" i="14703"/>
  <c r="Q184" i="14703"/>
  <c r="M192" i="14703"/>
  <c r="N192" i="14703"/>
  <c r="L192" i="14703"/>
  <c r="O192" i="14703"/>
  <c r="H192" i="14703"/>
  <c r="E192" i="14703"/>
  <c r="G192" i="14703"/>
  <c r="J192" i="14703"/>
  <c r="I192" i="14703"/>
  <c r="K192" i="14703"/>
  <c r="P192" i="14703"/>
  <c r="F192" i="14703"/>
  <c r="O186" i="14703"/>
  <c r="U186" i="14703"/>
  <c r="L186" i="14703"/>
  <c r="K186" i="14703"/>
  <c r="T186" i="14703"/>
  <c r="M186" i="14703"/>
  <c r="P186" i="14703"/>
  <c r="R186" i="14703"/>
  <c r="V186" i="14703"/>
  <c r="N186" i="14703"/>
  <c r="S186" i="14703"/>
  <c r="Q186" i="14703"/>
  <c r="N188" i="14703"/>
  <c r="J188" i="14703"/>
  <c r="L188" i="14703"/>
  <c r="K188" i="14703"/>
  <c r="T188" i="14703"/>
  <c r="Q188" i="14703"/>
  <c r="I188" i="14703"/>
  <c r="P188" i="14703"/>
  <c r="M188" i="14703"/>
  <c r="S188" i="14703"/>
  <c r="R188" i="14703"/>
  <c r="O188" i="14703"/>
  <c r="C85" i="14703"/>
  <c r="M85" i="14703"/>
  <c r="O113" i="14703"/>
  <c r="M113" i="14703"/>
  <c r="V113" i="14703"/>
  <c r="U113" i="14703"/>
  <c r="L113" i="14703"/>
  <c r="P113" i="14703"/>
  <c r="W113" i="14703"/>
  <c r="S113" i="14703"/>
  <c r="R113" i="14703"/>
  <c r="Q113" i="14703"/>
  <c r="N113" i="14703"/>
  <c r="T113" i="14703"/>
  <c r="I35" i="14703"/>
  <c r="G35" i="14703"/>
  <c r="K38" i="14703"/>
  <c r="I38" i="14703"/>
  <c r="H34" i="14703"/>
  <c r="F37" i="14703"/>
  <c r="M38" i="14703"/>
  <c r="F33" i="14703"/>
  <c r="C38" i="14703"/>
  <c r="B33" i="14703"/>
  <c r="G37" i="14703"/>
  <c r="I34" i="14703"/>
  <c r="F32" i="14703"/>
  <c r="I39" i="14703"/>
  <c r="C37" i="14703"/>
  <c r="K33" i="14703"/>
  <c r="D39" i="14703"/>
  <c r="B39" i="14703"/>
  <c r="B38" i="14703"/>
  <c r="L32" i="14703"/>
  <c r="I37" i="14703"/>
  <c r="J38" i="14703"/>
  <c r="I36" i="14703"/>
  <c r="I32" i="14703"/>
  <c r="D33" i="14703"/>
  <c r="J39" i="14703"/>
  <c r="D35" i="14703"/>
  <c r="E39" i="14703"/>
  <c r="J32" i="14703"/>
  <c r="B34" i="14703"/>
  <c r="E38" i="14703"/>
  <c r="L36" i="14703"/>
  <c r="J33" i="14703"/>
  <c r="H33" i="14703"/>
  <c r="G32" i="14703"/>
  <c r="I33" i="14703"/>
  <c r="B37" i="14703"/>
  <c r="M33" i="14703"/>
  <c r="B35" i="14703"/>
  <c r="E32" i="14703"/>
  <c r="M36" i="14703"/>
  <c r="J36" i="14703"/>
  <c r="K32" i="14703"/>
  <c r="M32" i="14703"/>
  <c r="E35" i="14703"/>
  <c r="K35" i="14703"/>
  <c r="K37" i="14703"/>
  <c r="L34" i="14703"/>
  <c r="H32" i="14703"/>
  <c r="D34" i="14703"/>
  <c r="C34" i="14703"/>
  <c r="H36" i="14703"/>
  <c r="L37" i="14703"/>
  <c r="M34" i="14703"/>
  <c r="B32" i="14703"/>
  <c r="C33" i="14703"/>
  <c r="F38" i="14703"/>
  <c r="D32" i="14703"/>
  <c r="B36" i="14703"/>
  <c r="L39" i="14703"/>
  <c r="M39" i="14703"/>
  <c r="L35" i="14703"/>
  <c r="K39" i="14703"/>
  <c r="H35" i="14703"/>
  <c r="F34" i="14703"/>
  <c r="E36" i="14703"/>
  <c r="J35" i="14703"/>
  <c r="K36" i="14703"/>
  <c r="M37" i="14703"/>
  <c r="L38" i="14703"/>
  <c r="H38" i="14703"/>
  <c r="J37" i="14703"/>
  <c r="C36" i="14703"/>
  <c r="C35" i="14703"/>
  <c r="G34" i="14703"/>
  <c r="F35" i="14703"/>
  <c r="K34" i="14703"/>
  <c r="H37" i="14703"/>
  <c r="E33" i="14703"/>
  <c r="C39" i="14703"/>
  <c r="D37" i="14703"/>
  <c r="E37" i="14703"/>
  <c r="M35" i="14703"/>
  <c r="L33" i="14703"/>
  <c r="G36" i="14703"/>
  <c r="H39" i="14703"/>
  <c r="G39" i="14703"/>
  <c r="G33" i="14703"/>
  <c r="E34" i="14703"/>
  <c r="F36" i="14703"/>
  <c r="D38" i="14703"/>
  <c r="G38" i="14703"/>
  <c r="F39" i="14703"/>
  <c r="C32" i="14703"/>
  <c r="J34" i="14703"/>
  <c r="D36" i="14703"/>
  <c r="Q111" i="14703"/>
  <c r="R111" i="14703"/>
  <c r="U111" i="14703"/>
  <c r="Y111" i="14703"/>
  <c r="X111" i="14703"/>
  <c r="T111" i="14703"/>
  <c r="S111" i="14703"/>
  <c r="N111" i="14703"/>
  <c r="P111" i="14703"/>
  <c r="V111" i="14703"/>
  <c r="W111" i="14703"/>
  <c r="O111" i="14703"/>
  <c r="G85" i="14703"/>
  <c r="I85" i="14703"/>
  <c r="R114" i="14703"/>
  <c r="M114" i="14703"/>
  <c r="S114" i="14703"/>
  <c r="T114" i="14703"/>
  <c r="K114" i="14703"/>
  <c r="O114" i="14703"/>
  <c r="U114" i="14703"/>
  <c r="P114" i="14703"/>
  <c r="Q114" i="14703"/>
  <c r="V114" i="14703"/>
  <c r="L114" i="14703"/>
  <c r="N114" i="14703"/>
  <c r="H85" i="14703"/>
  <c r="N28" i="14703"/>
  <c r="C13" i="14657" s="1"/>
  <c r="B9" i="8" a="1"/>
  <c r="G120" i="14703"/>
  <c r="L120" i="14703"/>
  <c r="O120" i="14703"/>
  <c r="J120" i="14703"/>
  <c r="H120" i="14703"/>
  <c r="K120" i="14703"/>
  <c r="N120" i="14703"/>
  <c r="P120" i="14703"/>
  <c r="I120" i="14703"/>
  <c r="M120" i="14703"/>
  <c r="F120" i="14703"/>
  <c r="E120" i="14703"/>
  <c r="E85" i="14703"/>
  <c r="E40" i="14643" a="1"/>
  <c r="B34" i="14683" a="1"/>
  <c r="U220" i="14703"/>
  <c r="V220" i="14703"/>
  <c r="M220" i="14703"/>
  <c r="S220" i="14703"/>
  <c r="X220" i="14703"/>
  <c r="P220" i="14703"/>
  <c r="Q220" i="14703"/>
  <c r="R220" i="14703"/>
  <c r="O220" i="14703"/>
  <c r="T220" i="14703"/>
  <c r="W220" i="14703"/>
  <c r="N220" i="14703"/>
  <c r="P219" i="14703"/>
  <c r="Y219" i="14703"/>
  <c r="R219" i="14703"/>
  <c r="W219" i="14703"/>
  <c r="T219" i="14703"/>
  <c r="Q219" i="14703"/>
  <c r="U219" i="14703"/>
  <c r="X219" i="14703"/>
  <c r="V219" i="14703"/>
  <c r="O219" i="14703"/>
  <c r="N219" i="14703"/>
  <c r="S219" i="14703"/>
  <c r="G227" i="14703"/>
  <c r="O227" i="14703"/>
  <c r="F227" i="14703"/>
  <c r="Q227" i="14703"/>
  <c r="L227" i="14703"/>
  <c r="H227" i="14703"/>
  <c r="M227" i="14703"/>
  <c r="K227" i="14703"/>
  <c r="J227" i="14703"/>
  <c r="I227" i="14703"/>
  <c r="P227" i="14703"/>
  <c r="N227" i="14703"/>
  <c r="K225" i="14703"/>
  <c r="N225" i="14703"/>
  <c r="L225" i="14703"/>
  <c r="H225" i="14703"/>
  <c r="P225" i="14703"/>
  <c r="O225" i="14703"/>
  <c r="Q225" i="14703"/>
  <c r="M225" i="14703"/>
  <c r="R225" i="14703"/>
  <c r="S225" i="14703"/>
  <c r="J225" i="14703"/>
  <c r="I225" i="14703"/>
  <c r="M231" i="14703"/>
  <c r="D231" i="14703"/>
  <c r="E231" i="14703"/>
  <c r="G231" i="14703"/>
  <c r="K231" i="14703"/>
  <c r="I231" i="14703"/>
  <c r="H231" i="14703"/>
  <c r="F231" i="14703"/>
  <c r="L231" i="14703"/>
  <c r="B231" i="14703"/>
  <c r="B232" i="14703" s="1"/>
  <c r="J231" i="14703"/>
  <c r="C231" i="14703"/>
  <c r="J224" i="14703"/>
  <c r="L224" i="14703"/>
  <c r="R224" i="14703"/>
  <c r="T224" i="14703"/>
  <c r="O224" i="14703"/>
  <c r="K224" i="14703"/>
  <c r="M224" i="14703"/>
  <c r="P224" i="14703"/>
  <c r="I224" i="14703"/>
  <c r="N224" i="14703"/>
  <c r="S224" i="14703"/>
  <c r="Q224" i="14703"/>
  <c r="I228" i="14703"/>
  <c r="G228" i="14703"/>
  <c r="K228" i="14703"/>
  <c r="H228" i="14703"/>
  <c r="J228" i="14703"/>
  <c r="F228" i="14703"/>
  <c r="O228" i="14703"/>
  <c r="L228" i="14703"/>
  <c r="N228" i="14703"/>
  <c r="M228" i="14703"/>
  <c r="E228" i="14703"/>
  <c r="P228" i="14703"/>
  <c r="C159" i="14703"/>
  <c r="L159" i="14703"/>
  <c r="M159" i="14703"/>
  <c r="I159" i="14703"/>
  <c r="B159" i="14703"/>
  <c r="B160" i="14703" s="1"/>
  <c r="G159" i="14703"/>
  <c r="E159" i="14703"/>
  <c r="J159" i="14703"/>
  <c r="F159" i="14703"/>
  <c r="D159" i="14703"/>
  <c r="H159" i="14703"/>
  <c r="K159" i="14703"/>
  <c r="X147" i="14703"/>
  <c r="V147" i="14703"/>
  <c r="O147" i="14703"/>
  <c r="N147" i="14703"/>
  <c r="R147" i="14703"/>
  <c r="P147" i="14703"/>
  <c r="W147" i="14703"/>
  <c r="S147" i="14703"/>
  <c r="T147" i="14703"/>
  <c r="Q147" i="14703"/>
  <c r="Y147" i="14703"/>
  <c r="U147" i="14703"/>
  <c r="I155" i="14703"/>
  <c r="M155" i="14703"/>
  <c r="K155" i="14703"/>
  <c r="P155" i="14703"/>
  <c r="F155" i="14703"/>
  <c r="H155" i="14703"/>
  <c r="G155" i="14703"/>
  <c r="L155" i="14703"/>
  <c r="Q155" i="14703"/>
  <c r="N155" i="14703"/>
  <c r="J155" i="14703"/>
  <c r="O155" i="14703"/>
  <c r="M152" i="14703"/>
  <c r="L152" i="14703"/>
  <c r="Q152" i="14703"/>
  <c r="P152" i="14703"/>
  <c r="T152" i="14703"/>
  <c r="O152" i="14703"/>
  <c r="S152" i="14703"/>
  <c r="I152" i="14703"/>
  <c r="N152" i="14703"/>
  <c r="R152" i="14703"/>
  <c r="K152" i="14703"/>
  <c r="J152" i="14703"/>
  <c r="Q153" i="14703"/>
  <c r="L153" i="14703"/>
  <c r="S153" i="14703"/>
  <c r="O153" i="14703"/>
  <c r="N153" i="14703"/>
  <c r="M153" i="14703"/>
  <c r="H153" i="14703"/>
  <c r="P153" i="14703"/>
  <c r="I153" i="14703"/>
  <c r="K153" i="14703"/>
  <c r="R153" i="14703"/>
  <c r="J153" i="14703"/>
  <c r="T150" i="14703"/>
  <c r="K150" i="14703"/>
  <c r="O150" i="14703"/>
  <c r="R150" i="14703"/>
  <c r="M150" i="14703"/>
  <c r="V150" i="14703"/>
  <c r="Q150" i="14703"/>
  <c r="U150" i="14703"/>
  <c r="S150" i="14703"/>
  <c r="N150" i="14703"/>
  <c r="P150" i="14703"/>
  <c r="L150" i="14703"/>
  <c r="L154" i="14703"/>
  <c r="I154" i="14703"/>
  <c r="P154" i="14703"/>
  <c r="J154" i="14703"/>
  <c r="Q154" i="14703"/>
  <c r="O154" i="14703"/>
  <c r="G154" i="14703"/>
  <c r="H154" i="14703"/>
  <c r="R154" i="14703"/>
  <c r="K154" i="14703"/>
  <c r="M154" i="14703"/>
  <c r="N154" i="14703"/>
  <c r="P138" i="14703"/>
  <c r="M138" i="14703"/>
  <c r="E138" i="14703"/>
  <c r="L138" i="14703"/>
  <c r="O138" i="14703"/>
  <c r="N138" i="14703"/>
  <c r="K138" i="14703"/>
  <c r="J138" i="14703"/>
  <c r="F138" i="14703"/>
  <c r="I138" i="14703"/>
  <c r="G138" i="14703"/>
  <c r="H138" i="14703"/>
  <c r="R130" i="14703"/>
  <c r="T130" i="14703"/>
  <c r="X130" i="14703"/>
  <c r="W130" i="14703"/>
  <c r="U130" i="14703"/>
  <c r="P130" i="14703"/>
  <c r="O130" i="14703"/>
  <c r="V130" i="14703"/>
  <c r="S130" i="14703"/>
  <c r="M130" i="14703"/>
  <c r="N130" i="14703"/>
  <c r="Q130" i="14703"/>
  <c r="Q129" i="14703"/>
  <c r="N129" i="14703"/>
  <c r="V129" i="14703"/>
  <c r="P129" i="14703"/>
  <c r="R129" i="14703"/>
  <c r="U129" i="14703"/>
  <c r="O129" i="14703"/>
  <c r="S129" i="14703"/>
  <c r="W129" i="14703"/>
  <c r="X129" i="14703"/>
  <c r="Y129" i="14703"/>
  <c r="T129" i="14703"/>
  <c r="Q132" i="14703"/>
  <c r="M132" i="14703"/>
  <c r="R132" i="14703"/>
  <c r="K132" i="14703"/>
  <c r="L132" i="14703"/>
  <c r="T132" i="14703"/>
  <c r="O132" i="14703"/>
  <c r="U132" i="14703"/>
  <c r="V132" i="14703"/>
  <c r="S132" i="14703"/>
  <c r="P132" i="14703"/>
  <c r="N132" i="14703"/>
  <c r="K137" i="14703"/>
  <c r="J137" i="14703"/>
  <c r="O137" i="14703"/>
  <c r="Q137" i="14703"/>
  <c r="L137" i="14703"/>
  <c r="N137" i="14703"/>
  <c r="H137" i="14703"/>
  <c r="F137" i="14703"/>
  <c r="M137" i="14703"/>
  <c r="I137" i="14703"/>
  <c r="G137" i="14703"/>
  <c r="P137" i="14703"/>
  <c r="M134" i="14703"/>
  <c r="K134" i="14703"/>
  <c r="O134" i="14703"/>
  <c r="R134" i="14703"/>
  <c r="P134" i="14703"/>
  <c r="I134" i="14703"/>
  <c r="N134" i="14703"/>
  <c r="S134" i="14703"/>
  <c r="T134" i="14703"/>
  <c r="J134" i="14703"/>
  <c r="Q134" i="14703"/>
  <c r="L134" i="14703"/>
  <c r="Q133" i="14703"/>
  <c r="N133" i="14703"/>
  <c r="J133" i="14703"/>
  <c r="M133" i="14703"/>
  <c r="U133" i="14703"/>
  <c r="S133" i="14703"/>
  <c r="O133" i="14703"/>
  <c r="K133" i="14703"/>
  <c r="P133" i="14703"/>
  <c r="R133" i="14703"/>
  <c r="L133" i="14703"/>
  <c r="T133" i="14703"/>
  <c r="H10" i="14631"/>
  <c r="H28" i="14623"/>
  <c r="E10" i="14631"/>
  <c r="E28" i="14623"/>
  <c r="D41" i="14628"/>
  <c r="M41" i="14628"/>
  <c r="L41" i="14628"/>
  <c r="G41" i="14628"/>
  <c r="H41" i="14628"/>
  <c r="I41" i="14628"/>
  <c r="K41" i="14628"/>
  <c r="E41" i="14628"/>
  <c r="N41" i="14628"/>
  <c r="J41" i="14628"/>
  <c r="C41" i="14628"/>
  <c r="F41" i="14628"/>
  <c r="G28" i="14695"/>
  <c r="E28" i="14695"/>
  <c r="D28" i="14695"/>
  <c r="B28" i="14695"/>
  <c r="K28" i="14695"/>
  <c r="F28" i="14695"/>
  <c r="M28" i="14695"/>
  <c r="L28" i="14695"/>
  <c r="H28" i="14695"/>
  <c r="I28" i="14695"/>
  <c r="J28" i="14695"/>
  <c r="C28" i="14695"/>
  <c r="F8" i="14652"/>
  <c r="F13" i="14652"/>
  <c r="F9" i="14652"/>
  <c r="F12" i="14652"/>
  <c r="F10" i="14652"/>
  <c r="F14" i="14652"/>
  <c r="F11" i="14652"/>
  <c r="F7" i="14652"/>
  <c r="S30" i="14623"/>
  <c r="L10" i="14631"/>
  <c r="L28" i="14623"/>
  <c r="H56" i="14695"/>
  <c r="M56" i="14695"/>
  <c r="C56" i="14695"/>
  <c r="E56" i="14695"/>
  <c r="K56" i="14695"/>
  <c r="J56" i="14695"/>
  <c r="L56" i="14695"/>
  <c r="B56" i="14695"/>
  <c r="G56" i="14695"/>
  <c r="I56" i="14695"/>
  <c r="D56" i="14695"/>
  <c r="F56" i="14695"/>
  <c r="E6" i="14690"/>
  <c r="H6" i="14690"/>
  <c r="G6" i="14690"/>
  <c r="F6" i="14690"/>
  <c r="O202" i="14703"/>
  <c r="V202" i="14703"/>
  <c r="M202" i="14703"/>
  <c r="X202" i="14703"/>
  <c r="Q202" i="14703"/>
  <c r="S202" i="14703"/>
  <c r="W202" i="14703"/>
  <c r="P202" i="14703"/>
  <c r="R202" i="14703"/>
  <c r="N202" i="14703"/>
  <c r="T202" i="14703"/>
  <c r="U202" i="14703"/>
  <c r="U205" i="14703"/>
  <c r="T205" i="14703"/>
  <c r="O205" i="14703"/>
  <c r="M205" i="14703"/>
  <c r="R205" i="14703"/>
  <c r="Q205" i="14703"/>
  <c r="S205" i="14703"/>
  <c r="J205" i="14703"/>
  <c r="L205" i="14703"/>
  <c r="K205" i="14703"/>
  <c r="N205" i="14703"/>
  <c r="P205" i="14703"/>
  <c r="M209" i="14703"/>
  <c r="K209" i="14703"/>
  <c r="G209" i="14703"/>
  <c r="J209" i="14703"/>
  <c r="P209" i="14703"/>
  <c r="L209" i="14703"/>
  <c r="F209" i="14703"/>
  <c r="H209" i="14703"/>
  <c r="N209" i="14703"/>
  <c r="I209" i="14703"/>
  <c r="Q209" i="14703"/>
  <c r="O209" i="14703"/>
  <c r="J206" i="14703"/>
  <c r="P206" i="14703"/>
  <c r="M206" i="14703"/>
  <c r="R206" i="14703"/>
  <c r="O206" i="14703"/>
  <c r="L206" i="14703"/>
  <c r="I206" i="14703"/>
  <c r="K206" i="14703"/>
  <c r="S206" i="14703"/>
  <c r="Q206" i="14703"/>
  <c r="N206" i="14703"/>
  <c r="T206" i="14703"/>
  <c r="T203" i="14703"/>
  <c r="M203" i="14703"/>
  <c r="W203" i="14703"/>
  <c r="L203" i="14703"/>
  <c r="P203" i="14703"/>
  <c r="R203" i="14703"/>
  <c r="U203" i="14703"/>
  <c r="S203" i="14703"/>
  <c r="V203" i="14703"/>
  <c r="Q203" i="14703"/>
  <c r="N203" i="14703"/>
  <c r="O203" i="14703"/>
  <c r="L208" i="14703"/>
  <c r="R208" i="14703"/>
  <c r="Q208" i="14703"/>
  <c r="G208" i="14703"/>
  <c r="M208" i="14703"/>
  <c r="I208" i="14703"/>
  <c r="O208" i="14703"/>
  <c r="J208" i="14703"/>
  <c r="P208" i="14703"/>
  <c r="H208" i="14703"/>
  <c r="K208" i="14703"/>
  <c r="N208" i="14703"/>
  <c r="C177" i="14703"/>
  <c r="M177" i="14703"/>
  <c r="H177" i="14703"/>
  <c r="G177" i="14703"/>
  <c r="K177" i="14703"/>
  <c r="J177" i="14703"/>
  <c r="D177" i="14703"/>
  <c r="I177" i="14703"/>
  <c r="L177" i="14703"/>
  <c r="B177" i="14703"/>
  <c r="B178" i="14703" s="1"/>
  <c r="E177" i="14703"/>
  <c r="F177" i="14703"/>
  <c r="M173" i="14703"/>
  <c r="I173" i="14703"/>
  <c r="Q173" i="14703"/>
  <c r="F173" i="14703"/>
  <c r="J173" i="14703"/>
  <c r="G173" i="14703"/>
  <c r="H173" i="14703"/>
  <c r="O173" i="14703"/>
  <c r="P173" i="14703"/>
  <c r="L173" i="14703"/>
  <c r="N173" i="14703"/>
  <c r="K173" i="14703"/>
  <c r="M175" i="14703"/>
  <c r="I175" i="14703"/>
  <c r="N175" i="14703"/>
  <c r="L175" i="14703"/>
  <c r="O175" i="14703"/>
  <c r="K175" i="14703"/>
  <c r="H175" i="14703"/>
  <c r="F175" i="14703"/>
  <c r="E175" i="14703"/>
  <c r="D175" i="14703"/>
  <c r="G175" i="14703"/>
  <c r="J175" i="14703"/>
  <c r="L167" i="14703"/>
  <c r="Q167" i="14703"/>
  <c r="S167" i="14703"/>
  <c r="T167" i="14703"/>
  <c r="V167" i="14703"/>
  <c r="N167" i="14703"/>
  <c r="O167" i="14703"/>
  <c r="W167" i="14703"/>
  <c r="M167" i="14703"/>
  <c r="P167" i="14703"/>
  <c r="U167" i="14703"/>
  <c r="R167" i="14703"/>
  <c r="M170" i="14703"/>
  <c r="T170" i="14703"/>
  <c r="S170" i="14703"/>
  <c r="J170" i="14703"/>
  <c r="R170" i="14703"/>
  <c r="N170" i="14703"/>
  <c r="Q170" i="14703"/>
  <c r="L170" i="14703"/>
  <c r="I170" i="14703"/>
  <c r="K170" i="14703"/>
  <c r="O170" i="14703"/>
  <c r="P170" i="14703"/>
  <c r="N168" i="14703"/>
  <c r="V168" i="14703"/>
  <c r="K168" i="14703"/>
  <c r="M168" i="14703"/>
  <c r="O168" i="14703"/>
  <c r="T168" i="14703"/>
  <c r="P168" i="14703"/>
  <c r="Q168" i="14703"/>
  <c r="U168" i="14703"/>
  <c r="S168" i="14703"/>
  <c r="R168" i="14703"/>
  <c r="L168" i="14703"/>
  <c r="E24" i="14632"/>
  <c r="E25" i="14632"/>
  <c r="E26" i="14632"/>
  <c r="D23" i="14632"/>
  <c r="D24" i="14632"/>
  <c r="D26" i="14632"/>
  <c r="D25" i="14632"/>
  <c r="F26" i="14632"/>
  <c r="F25" i="14632"/>
  <c r="B6" i="14617"/>
  <c r="B5" i="14617"/>
  <c r="D35" i="14695"/>
  <c r="K35" i="14695"/>
  <c r="M35" i="14695"/>
  <c r="J35" i="14695"/>
  <c r="H35" i="14695"/>
  <c r="G35" i="14695"/>
  <c r="C35" i="14695"/>
  <c r="B35" i="14695"/>
  <c r="E35" i="14695"/>
  <c r="L35" i="14695"/>
  <c r="F35" i="14695"/>
  <c r="I35" i="14695"/>
  <c r="M76" i="14665"/>
  <c r="G22" i="14631"/>
  <c r="E22" i="14631"/>
  <c r="J22" i="14631"/>
  <c r="B22" i="14631"/>
  <c r="F22" i="14631"/>
  <c r="C22" i="14631"/>
  <c r="L22" i="14631"/>
  <c r="I22" i="14631"/>
  <c r="K22" i="14631"/>
  <c r="D22" i="14631"/>
  <c r="M22" i="14631"/>
  <c r="H22" i="14631"/>
  <c r="D9" i="14643" a="1"/>
  <c r="B22" i="8" a="1"/>
  <c r="B22" i="14640"/>
  <c r="G22" i="14640"/>
  <c r="C22" i="14640"/>
  <c r="M22" i="14640"/>
  <c r="L22" i="14640"/>
  <c r="I22" i="14640"/>
  <c r="K22" i="14640"/>
  <c r="F22" i="14640"/>
  <c r="D22" i="14640"/>
  <c r="H22" i="14640"/>
  <c r="J22" i="14640"/>
  <c r="E22" i="14640"/>
  <c r="J8" i="14667"/>
  <c r="N25" i="14672" l="1"/>
  <c r="C25" i="14673"/>
  <c r="C23" i="14682"/>
  <c r="M25" i="14673"/>
  <c r="G25" i="14673"/>
  <c r="O46" i="14648"/>
  <c r="B47" i="14706"/>
  <c r="B46" i="14706"/>
  <c r="B45" i="14706"/>
  <c r="B49" i="14706" s="1"/>
  <c r="F5" i="14682" a="1"/>
  <c r="F10" i="14682" s="1"/>
  <c r="O61" i="14648"/>
  <c r="G18" i="14692"/>
  <c r="C18" i="14692"/>
  <c r="B18" i="14692"/>
  <c r="D18" i="14692"/>
  <c r="E18" i="14692"/>
  <c r="H18" i="14692"/>
  <c r="F18" i="14692"/>
  <c r="B32" i="14667"/>
  <c r="H16" i="14705"/>
  <c r="H33" i="14705" s="1"/>
  <c r="D31" i="14705" s="1"/>
  <c r="B17" i="14649"/>
  <c r="B32" i="11"/>
  <c r="B15" i="14649" s="1"/>
  <c r="N52" i="14694"/>
  <c r="B56" i="14694" a="1"/>
  <c r="O76" i="14648"/>
  <c r="N36" i="14694"/>
  <c r="B40" i="14694" a="1"/>
  <c r="B48" i="14694" a="1"/>
  <c r="N44" i="14694"/>
  <c r="N60" i="14694"/>
  <c r="B63" i="14694" a="1"/>
  <c r="N28" i="14694"/>
  <c r="B32" i="14694" a="1"/>
  <c r="O31" i="14648"/>
  <c r="N21" i="14694"/>
  <c r="B24" i="14694" a="1"/>
  <c r="O16" i="14648"/>
  <c r="E42" i="14628"/>
  <c r="N42" i="14628"/>
  <c r="H42" i="14628"/>
  <c r="K42" i="14628"/>
  <c r="D23" i="14682"/>
  <c r="I25" i="14673"/>
  <c r="J25" i="14673"/>
  <c r="F25" i="14673"/>
  <c r="L25" i="14673"/>
  <c r="K25" i="14673"/>
  <c r="N12" i="14669"/>
  <c r="N12" i="14700"/>
  <c r="M15" i="14701"/>
  <c r="C8" i="14701"/>
  <c r="D12" i="14701"/>
  <c r="B14" i="14701"/>
  <c r="E8" i="14701"/>
  <c r="F10" i="14701"/>
  <c r="K13" i="14701"/>
  <c r="D9" i="14701"/>
  <c r="C10" i="14701"/>
  <c r="M11" i="14701"/>
  <c r="H9" i="14701"/>
  <c r="J14" i="14701"/>
  <c r="I15" i="14701"/>
  <c r="B15" i="14701"/>
  <c r="L8" i="14701"/>
  <c r="J11" i="14701"/>
  <c r="E11" i="14701"/>
  <c r="E9" i="14701"/>
  <c r="I8" i="14701"/>
  <c r="I12" i="14701"/>
  <c r="D14" i="14701"/>
  <c r="E14" i="14701"/>
  <c r="D10" i="14701"/>
  <c r="F14" i="14701"/>
  <c r="H14" i="14701"/>
  <c r="L10" i="14701"/>
  <c r="H12" i="14701"/>
  <c r="C13" i="14701"/>
  <c r="J12" i="14701"/>
  <c r="F12" i="14701"/>
  <c r="E13" i="14701"/>
  <c r="H15" i="14701"/>
  <c r="G14" i="14701"/>
  <c r="G11" i="14701"/>
  <c r="I14" i="14701"/>
  <c r="J13" i="14701"/>
  <c r="C12" i="14701"/>
  <c r="K15" i="14701"/>
  <c r="G15" i="14701"/>
  <c r="B10" i="14701"/>
  <c r="B9" i="14701"/>
  <c r="I13" i="14701"/>
  <c r="I10" i="14701"/>
  <c r="D11" i="14701"/>
  <c r="G12" i="14701"/>
  <c r="L9" i="14701"/>
  <c r="D8" i="14701"/>
  <c r="M8" i="14701"/>
  <c r="J8" i="14701"/>
  <c r="G10" i="14701"/>
  <c r="M9" i="14701"/>
  <c r="J15" i="14701"/>
  <c r="M12" i="14701"/>
  <c r="H8" i="14701"/>
  <c r="F11" i="14701"/>
  <c r="J10" i="14701"/>
  <c r="B8" i="14701"/>
  <c r="E15" i="14701"/>
  <c r="L12" i="14701"/>
  <c r="B12" i="14701"/>
  <c r="C14" i="14701"/>
  <c r="G8" i="14701"/>
  <c r="G9" i="14701"/>
  <c r="H10" i="14701"/>
  <c r="F8" i="14701"/>
  <c r="G13" i="14701"/>
  <c r="J9" i="14701"/>
  <c r="K8" i="14701"/>
  <c r="D15" i="14701"/>
  <c r="K12" i="14701"/>
  <c r="I11" i="14701"/>
  <c r="C11" i="14701"/>
  <c r="F9" i="14701"/>
  <c r="E10" i="14701"/>
  <c r="B11" i="14701"/>
  <c r="M14" i="14701"/>
  <c r="B13" i="14701"/>
  <c r="M10" i="14701"/>
  <c r="L11" i="14701"/>
  <c r="F15" i="14701"/>
  <c r="C9" i="14701"/>
  <c r="L13" i="14701"/>
  <c r="E12" i="14701"/>
  <c r="L14" i="14701"/>
  <c r="C15" i="14701"/>
  <c r="L15" i="14701"/>
  <c r="H11" i="14701"/>
  <c r="H13" i="14701"/>
  <c r="K11" i="14701"/>
  <c r="F13" i="14701"/>
  <c r="K9" i="14701"/>
  <c r="I9" i="14701"/>
  <c r="K14" i="14701"/>
  <c r="D13" i="14701"/>
  <c r="K10" i="14701"/>
  <c r="M13" i="14701"/>
  <c r="E13" i="14682"/>
  <c r="N6" i="14669"/>
  <c r="N9" i="14669"/>
  <c r="E11" i="14707"/>
  <c r="E13" i="14707"/>
  <c r="E14" i="14707"/>
  <c r="E12" i="14707"/>
  <c r="E16" i="14707"/>
  <c r="E15" i="14707"/>
  <c r="E17" i="14707"/>
  <c r="E18" i="14707"/>
  <c r="E22" i="14682"/>
  <c r="E21" i="14682"/>
  <c r="N19" i="14673"/>
  <c r="B25" i="14673"/>
  <c r="N23" i="14673"/>
  <c r="D25" i="14673"/>
  <c r="N24" i="14673"/>
  <c r="N11" i="14700"/>
  <c r="N9" i="14700"/>
  <c r="N15" i="14700"/>
  <c r="N10" i="14700"/>
  <c r="N13" i="14700"/>
  <c r="G11" i="14707" a="1"/>
  <c r="G6" i="14683" a="1"/>
  <c r="N15" i="14673"/>
  <c r="N5" i="14669"/>
  <c r="B8" i="14702" a="1"/>
  <c r="N11" i="14669"/>
  <c r="N8" i="14669"/>
  <c r="N7" i="14669"/>
  <c r="N10" i="14669"/>
  <c r="E12" i="14683"/>
  <c r="E13" i="14683"/>
  <c r="E10" i="14683"/>
  <c r="E6" i="14683"/>
  <c r="E8" i="14683"/>
  <c r="E11" i="14683"/>
  <c r="E9" i="14683"/>
  <c r="E7" i="14683"/>
  <c r="H25" i="14673"/>
  <c r="E25" i="14673"/>
  <c r="E9" i="14704"/>
  <c r="J12" i="14704"/>
  <c r="D15" i="14704"/>
  <c r="B10" i="14704"/>
  <c r="I11" i="14704"/>
  <c r="G10" i="14704"/>
  <c r="K15" i="14704"/>
  <c r="B13" i="14704"/>
  <c r="E10" i="14704"/>
  <c r="C12" i="14704"/>
  <c r="L11" i="14704"/>
  <c r="L15" i="14704"/>
  <c r="D9" i="14704"/>
  <c r="H8" i="14704"/>
  <c r="D14" i="14704"/>
  <c r="G14" i="14704"/>
  <c r="D12" i="14704"/>
  <c r="C15" i="14704"/>
  <c r="M8" i="14704"/>
  <c r="B12" i="14704"/>
  <c r="K9" i="14704"/>
  <c r="K14" i="14704"/>
  <c r="F9" i="14704"/>
  <c r="H9" i="14704"/>
  <c r="F11" i="14704"/>
  <c r="H12" i="14704"/>
  <c r="G9" i="14704"/>
  <c r="B11" i="14704"/>
  <c r="M10" i="14704"/>
  <c r="K12" i="14704"/>
  <c r="F8" i="14704"/>
  <c r="B8" i="14704"/>
  <c r="E14" i="14704"/>
  <c r="L10" i="14704"/>
  <c r="C13" i="14704"/>
  <c r="H15" i="14704"/>
  <c r="K10" i="14704"/>
  <c r="M11" i="14704"/>
  <c r="J9" i="14704"/>
  <c r="B14" i="14704"/>
  <c r="G8" i="14704"/>
  <c r="J15" i="14704"/>
  <c r="M13" i="14704"/>
  <c r="D11" i="14704"/>
  <c r="H14" i="14704"/>
  <c r="K11" i="14704"/>
  <c r="G13" i="14704"/>
  <c r="E11" i="14704"/>
  <c r="J13" i="14704"/>
  <c r="J8" i="14704"/>
  <c r="M9" i="14704"/>
  <c r="L13" i="14704"/>
  <c r="C8" i="14704"/>
  <c r="H11" i="14704"/>
  <c r="L12" i="14704"/>
  <c r="G11" i="14704"/>
  <c r="I14" i="14704"/>
  <c r="K13" i="14704"/>
  <c r="B9" i="14704"/>
  <c r="D13" i="14704"/>
  <c r="I8" i="14704"/>
  <c r="E8" i="14704"/>
  <c r="I12" i="14704"/>
  <c r="H13" i="14704"/>
  <c r="I9" i="14704"/>
  <c r="J10" i="14704"/>
  <c r="M14" i="14704"/>
  <c r="K8" i="14704"/>
  <c r="F14" i="14704"/>
  <c r="G12" i="14704"/>
  <c r="E15" i="14704"/>
  <c r="M15" i="14704"/>
  <c r="J11" i="14704"/>
  <c r="F10" i="14704"/>
  <c r="C10" i="14704"/>
  <c r="B15" i="14704"/>
  <c r="I15" i="14704"/>
  <c r="M12" i="14704"/>
  <c r="L9" i="14704"/>
  <c r="C11" i="14704"/>
  <c r="L8" i="14704"/>
  <c r="G15" i="14704"/>
  <c r="F12" i="14704"/>
  <c r="E13" i="14704"/>
  <c r="I10" i="14704"/>
  <c r="E12" i="14704"/>
  <c r="D10" i="14704"/>
  <c r="I13" i="14704"/>
  <c r="C14" i="14704"/>
  <c r="D8" i="14704"/>
  <c r="F13" i="14704"/>
  <c r="C9" i="14704"/>
  <c r="F15" i="14704"/>
  <c r="H10" i="14704"/>
  <c r="L14" i="14704"/>
  <c r="J14" i="14704"/>
  <c r="N14" i="14700"/>
  <c r="N8" i="14700"/>
  <c r="B20" i="14700" a="1"/>
  <c r="G16" i="14657"/>
  <c r="C16" i="14657"/>
  <c r="E16" i="14657"/>
  <c r="D16" i="14657"/>
  <c r="F16" i="14657"/>
  <c r="I15" i="14617"/>
  <c r="J15" i="14617"/>
  <c r="L15" i="14617" s="1"/>
  <c r="N40" i="14630"/>
  <c r="C124" i="14703"/>
  <c r="D142" i="14698"/>
  <c r="D55" i="14643"/>
  <c r="C24" i="14638"/>
  <c r="C124" i="14698"/>
  <c r="D58" i="14643"/>
  <c r="O212" i="14703"/>
  <c r="O214" i="14703" s="1"/>
  <c r="D28" i="14707"/>
  <c r="X74" i="14703"/>
  <c r="D29" i="14707"/>
  <c r="D26" i="14707"/>
  <c r="L28" i="14632"/>
  <c r="H7" i="14708"/>
  <c r="U22" i="14655" s="1"/>
  <c r="O83" i="14703"/>
  <c r="O85" i="14703" s="1"/>
  <c r="D53" i="14643"/>
  <c r="D60" i="14643"/>
  <c r="M95" i="14698" a="1"/>
  <c r="M95" i="14698" s="1"/>
  <c r="B26" i="14638"/>
  <c r="J28" i="14632"/>
  <c r="D7" i="14631"/>
  <c r="B7" i="14631"/>
  <c r="P139" i="14703"/>
  <c r="G28" i="14632"/>
  <c r="S81" i="14703"/>
  <c r="P97" i="14698" a="1"/>
  <c r="P97" i="14698" s="1"/>
  <c r="I7" i="14631"/>
  <c r="D54" i="14643"/>
  <c r="D57" i="14643"/>
  <c r="E14" i="14643"/>
  <c r="D59" i="14643"/>
  <c r="X84" i="14703"/>
  <c r="X83" i="14703"/>
  <c r="S82" i="14703"/>
  <c r="U95" i="14698" a="1"/>
  <c r="U95" i="14698" s="1"/>
  <c r="B22" i="14638"/>
  <c r="L7" i="14631"/>
  <c r="G7" i="14631"/>
  <c r="X75" i="14703"/>
  <c r="N41" i="14634"/>
  <c r="X81" i="14703"/>
  <c r="X77" i="14703"/>
  <c r="X78" i="14703"/>
  <c r="N92" i="14698" a="1"/>
  <c r="N92" i="14698" s="1"/>
  <c r="E40" i="14698"/>
  <c r="S80" i="14703"/>
  <c r="B23" i="14638"/>
  <c r="X113" i="14703" a="1"/>
  <c r="X115" i="14703" s="1"/>
  <c r="M41" i="14634"/>
  <c r="H41" i="14634"/>
  <c r="Q91" i="14698" a="1"/>
  <c r="Q91" i="14698" s="1"/>
  <c r="E101" i="14698" a="1"/>
  <c r="E101" i="14698" s="1"/>
  <c r="L99" i="14698" a="1"/>
  <c r="L99" i="14698" s="1"/>
  <c r="G100" i="14698" a="1"/>
  <c r="G100" i="14698" s="1"/>
  <c r="D19" i="14683" a="1"/>
  <c r="D22" i="14683" s="1"/>
  <c r="D25" i="14707"/>
  <c r="D27" i="14707"/>
  <c r="C25" i="14638"/>
  <c r="H103" i="14698" a="1"/>
  <c r="H103" i="14698" s="1"/>
  <c r="D124" i="14698"/>
  <c r="J96" i="14698" a="1"/>
  <c r="J96" i="14698" s="1"/>
  <c r="I102" i="14698" a="1"/>
  <c r="I102" i="14698" s="1"/>
  <c r="H28" i="14632"/>
  <c r="K7" i="14631"/>
  <c r="H7" i="14631"/>
  <c r="E7" i="14631"/>
  <c r="C7" i="14631"/>
  <c r="M7" i="14631"/>
  <c r="F7" i="14631"/>
  <c r="O100" i="14698" a="1"/>
  <c r="O100" i="14698" s="1"/>
  <c r="D25" i="14638"/>
  <c r="S30" i="14632"/>
  <c r="H16" i="14667" s="1"/>
  <c r="H142" i="14698"/>
  <c r="K10" i="14640"/>
  <c r="D23" i="14638"/>
  <c r="C26" i="14638"/>
  <c r="C23" i="14638"/>
  <c r="F102" i="14698" a="1"/>
  <c r="F102" i="14698" s="1"/>
  <c r="K98" i="14698" a="1"/>
  <c r="K98" i="14698" s="1"/>
  <c r="Y91" i="14698" a="1"/>
  <c r="Y91" i="14698" s="1"/>
  <c r="P141" i="14703"/>
  <c r="D30" i="14707"/>
  <c r="D32" i="14707"/>
  <c r="D24" i="14707"/>
  <c r="P121" i="14703" a="1"/>
  <c r="P122" i="14703" s="1"/>
  <c r="H40" i="14698"/>
  <c r="O91" i="14698" a="1"/>
  <c r="O91" i="14698" s="1"/>
  <c r="G101" i="14698" a="1"/>
  <c r="G101" i="14698" s="1"/>
  <c r="G102" i="14698" a="1"/>
  <c r="G102" i="14698" s="1"/>
  <c r="N102" i="14698" a="1"/>
  <c r="N102" i="14698" s="1"/>
  <c r="H100" i="14698" a="1"/>
  <c r="H100" i="14698" s="1"/>
  <c r="O99" i="14698" a="1"/>
  <c r="O99" i="14698" s="1"/>
  <c r="L40" i="14698"/>
  <c r="I96" i="14698" a="1"/>
  <c r="I96" i="14698" s="1"/>
  <c r="F40" i="14698"/>
  <c r="J41" i="14634"/>
  <c r="I41" i="14634"/>
  <c r="D26" i="14638"/>
  <c r="P95" i="14698" a="1"/>
  <c r="P95" i="14698" s="1"/>
  <c r="F100" i="14698" a="1"/>
  <c r="F100" i="14698" s="1"/>
  <c r="I40" i="14698"/>
  <c r="S92" i="14698" a="1"/>
  <c r="S92" i="14698" s="1"/>
  <c r="Q82" i="14703"/>
  <c r="M142" i="14698"/>
  <c r="R98" i="14698" a="1"/>
  <c r="R98" i="14698" s="1"/>
  <c r="Q98" i="14698" a="1"/>
  <c r="Q98" i="14698" s="1"/>
  <c r="L93" i="14698" a="1"/>
  <c r="L93" i="14698" s="1"/>
  <c r="R92" i="14698" a="1"/>
  <c r="R92" i="14698" s="1"/>
  <c r="D102" i="14698" a="1"/>
  <c r="D102" i="14698" s="1"/>
  <c r="D40" i="14698"/>
  <c r="J101" i="14698" a="1"/>
  <c r="J101" i="14698" s="1"/>
  <c r="L102" i="14698" a="1"/>
  <c r="L102" i="14698" s="1"/>
  <c r="S84" i="14703"/>
  <c r="S83" i="14703"/>
  <c r="B25" i="14638"/>
  <c r="B21" i="14638"/>
  <c r="P92" i="14698" a="1"/>
  <c r="P92" i="14698" s="1"/>
  <c r="S93" i="14698" a="1"/>
  <c r="S93" i="14698" s="1"/>
  <c r="V93" i="14698" a="1"/>
  <c r="V93" i="14698" s="1"/>
  <c r="M101" i="14698" a="1"/>
  <c r="M101" i="14698" s="1"/>
  <c r="R95" i="14698" a="1"/>
  <c r="R95" i="14698" s="1"/>
  <c r="I10" i="14640"/>
  <c r="I28" i="14632"/>
  <c r="F41" i="14634"/>
  <c r="G41" i="14634"/>
  <c r="P247" i="14703" a="1"/>
  <c r="P249" i="14703" s="1"/>
  <c r="Q94" i="14698" a="1"/>
  <c r="Q94" i="14698" s="1"/>
  <c r="N97" i="14698" a="1"/>
  <c r="N97" i="14698" s="1"/>
  <c r="L94" i="14698" a="1"/>
  <c r="L94" i="14698" s="1"/>
  <c r="I99" i="14698" a="1"/>
  <c r="I99" i="14698" s="1"/>
  <c r="N94" i="14698" a="1"/>
  <c r="N94" i="14698" s="1"/>
  <c r="P96" i="14698" a="1"/>
  <c r="P96" i="14698" s="1"/>
  <c r="T96" i="14698" a="1"/>
  <c r="T96" i="14698" s="1"/>
  <c r="V94" i="14698" a="1"/>
  <c r="V94" i="14698" s="1"/>
  <c r="Q99" i="14698" a="1"/>
  <c r="Q99" i="14698" s="1"/>
  <c r="K97" i="14698" a="1"/>
  <c r="K97" i="14698" s="1"/>
  <c r="O93" i="14698" a="1"/>
  <c r="O93" i="14698" s="1"/>
  <c r="C40" i="14698"/>
  <c r="C103" i="14698" a="1"/>
  <c r="C103" i="14698" s="1"/>
  <c r="I97" i="14698" a="1"/>
  <c r="I97" i="14698" s="1"/>
  <c r="H98" i="14698" a="1"/>
  <c r="H98" i="14698" s="1"/>
  <c r="O96" i="14698" a="1"/>
  <c r="O96" i="14698" s="1"/>
  <c r="K100" i="14698" a="1"/>
  <c r="K100" i="14698" s="1"/>
  <c r="M98" i="14698" a="1"/>
  <c r="M98" i="14698" s="1"/>
  <c r="J103" i="14698" a="1"/>
  <c r="J103" i="14698" s="1"/>
  <c r="T94" i="14698" a="1"/>
  <c r="T94" i="14698" s="1"/>
  <c r="R94" i="14698" a="1"/>
  <c r="R94" i="14698" s="1"/>
  <c r="D103" i="14698" a="1"/>
  <c r="D103" i="14698" s="1"/>
  <c r="R97" i="14698" a="1"/>
  <c r="R97" i="14698" s="1"/>
  <c r="K94" i="14698" a="1"/>
  <c r="K94" i="14698" s="1"/>
  <c r="O94" i="14698" a="1"/>
  <c r="O94" i="14698" s="1"/>
  <c r="N96" i="14698" a="1"/>
  <c r="N96" i="14698" s="1"/>
  <c r="V205" i="14703" a="1"/>
  <c r="D41" i="14634"/>
  <c r="K41" i="14634"/>
  <c r="T135" i="14703" a="1"/>
  <c r="C41" i="14634"/>
  <c r="L41" i="14634"/>
  <c r="M28" i="14632"/>
  <c r="D5" i="14617" a="1"/>
  <c r="D6" i="14617" s="1"/>
  <c r="L101" i="14698" a="1"/>
  <c r="L101" i="14698" s="1"/>
  <c r="M100" i="14698" a="1"/>
  <c r="M100" i="14698" s="1"/>
  <c r="M102" i="14698" a="1"/>
  <c r="M102" i="14698" s="1"/>
  <c r="L103" i="14698" a="1"/>
  <c r="L103" i="14698" s="1"/>
  <c r="U93" i="14698" a="1"/>
  <c r="U93" i="14698" s="1"/>
  <c r="N100" i="14698" a="1"/>
  <c r="N100" i="14698" s="1"/>
  <c r="F103" i="14698" a="1"/>
  <c r="F103" i="14698" s="1"/>
  <c r="N98" i="14698" a="1"/>
  <c r="N98" i="14698" s="1"/>
  <c r="O95" i="14698" a="1"/>
  <c r="O95" i="14698" s="1"/>
  <c r="J95" i="14698" a="1"/>
  <c r="J95" i="14698" s="1"/>
  <c r="V151" i="14703" a="1"/>
  <c r="V159" i="14703" s="1"/>
  <c r="Y130" i="14703" a="1"/>
  <c r="Y132" i="14703" s="1"/>
  <c r="J214" i="14698"/>
  <c r="T92" i="14698" a="1"/>
  <c r="T92" i="14698" s="1"/>
  <c r="T93" i="14698" a="1"/>
  <c r="T93" i="14698" s="1"/>
  <c r="T95" i="14698" a="1"/>
  <c r="T95" i="14698" s="1"/>
  <c r="Q81" i="14703"/>
  <c r="G142" i="14698"/>
  <c r="Q210" i="14703" a="1"/>
  <c r="E214" i="14698"/>
  <c r="B214" i="14698"/>
  <c r="N213" i="14703"/>
  <c r="N214" i="14703" s="1"/>
  <c r="F26" i="14638"/>
  <c r="F25" i="14638"/>
  <c r="E26" i="14638"/>
  <c r="E25" i="14638"/>
  <c r="E24" i="14638"/>
  <c r="P211" i="14703" a="1"/>
  <c r="D214" i="14698"/>
  <c r="X76" i="14703"/>
  <c r="X82" i="14703"/>
  <c r="X80" i="14703"/>
  <c r="V169" i="14703" a="1"/>
  <c r="V171" i="14703" s="1"/>
  <c r="T189" i="14703" a="1"/>
  <c r="T192" i="14703" s="1"/>
  <c r="R93" i="14698" a="1"/>
  <c r="R93" i="14698" s="1"/>
  <c r="M103" i="14698" a="1"/>
  <c r="M103" i="14698" s="1"/>
  <c r="T117" i="14703" a="1"/>
  <c r="T120" i="14703" s="1"/>
  <c r="X92" i="14698" a="1"/>
  <c r="X92" i="14698" s="1"/>
  <c r="N34" i="14698"/>
  <c r="N39" i="14698"/>
  <c r="N38" i="14698"/>
  <c r="H102" i="14698" a="1"/>
  <c r="H102" i="14698" s="1"/>
  <c r="Q120" i="14703" a="1"/>
  <c r="Q120" i="14703" s="1"/>
  <c r="U92" i="14698" a="1"/>
  <c r="U92" i="14698" s="1"/>
  <c r="Q96" i="14698" a="1"/>
  <c r="Q96" i="14698" s="1"/>
  <c r="S95" i="14698" a="1"/>
  <c r="S95" i="14698" s="1"/>
  <c r="V92" i="14698" a="1"/>
  <c r="V92" i="14698" s="1"/>
  <c r="I103" i="14698" a="1"/>
  <c r="I103" i="14698" s="1"/>
  <c r="M99" i="14698" a="1"/>
  <c r="M99" i="14698" s="1"/>
  <c r="N101" i="14698" a="1"/>
  <c r="N101" i="14698" s="1"/>
  <c r="S96" i="14698" a="1"/>
  <c r="S96" i="14698" s="1"/>
  <c r="F99" i="14698" a="1"/>
  <c r="F99" i="14698" s="1"/>
  <c r="B40" i="14698"/>
  <c r="E100" i="14698" a="1"/>
  <c r="E100" i="14698" s="1"/>
  <c r="C102" i="14698" a="1"/>
  <c r="C102" i="14698" s="1"/>
  <c r="G98" i="14698" a="1"/>
  <c r="G98" i="14698" s="1"/>
  <c r="M92" i="14698" a="1"/>
  <c r="M92" i="14698" s="1"/>
  <c r="D101" i="14698" a="1"/>
  <c r="D101" i="14698" s="1"/>
  <c r="M96" i="14698" a="1"/>
  <c r="M96" i="14698" s="1"/>
  <c r="L97" i="14698" a="1"/>
  <c r="L97" i="14698" s="1"/>
  <c r="N95" i="14698" a="1"/>
  <c r="N95" i="14698" s="1"/>
  <c r="H101" i="14698" a="1"/>
  <c r="H101" i="14698" s="1"/>
  <c r="O140" i="14703" a="1"/>
  <c r="C142" i="14698"/>
  <c r="M97" i="14698" a="1"/>
  <c r="M97" i="14698" s="1"/>
  <c r="J100" i="14698" a="1"/>
  <c r="J100" i="14698" s="1"/>
  <c r="M94" i="14698" a="1"/>
  <c r="M94" i="14698" s="1"/>
  <c r="B142" i="14698"/>
  <c r="N141" i="14703"/>
  <c r="N142" i="14703" s="1"/>
  <c r="E142" i="14698"/>
  <c r="Q138" i="14703" a="1"/>
  <c r="S136" i="14703" a="1"/>
  <c r="Q95" i="14698" a="1"/>
  <c r="Q95" i="14698" s="1"/>
  <c r="X91" i="14698" a="1"/>
  <c r="X91" i="14698" s="1"/>
  <c r="V91" i="14698" a="1"/>
  <c r="V91" i="14698" s="1"/>
  <c r="S172" i="14703" a="1"/>
  <c r="S174" i="14703" s="1"/>
  <c r="J160" i="14698"/>
  <c r="J99" i="14698" a="1"/>
  <c r="J99" i="14698" s="1"/>
  <c r="O97" i="14698" a="1"/>
  <c r="O97" i="14698" s="1"/>
  <c r="U91" i="14698" a="1"/>
  <c r="U91" i="14698" s="1"/>
  <c r="S91" i="14698" a="1"/>
  <c r="S91" i="14698" s="1"/>
  <c r="I101" i="14698" a="1"/>
  <c r="I101" i="14698" s="1"/>
  <c r="H97" i="14698" a="1"/>
  <c r="H97" i="14698" s="1"/>
  <c r="N91" i="14698" a="1"/>
  <c r="N91" i="14698" s="1"/>
  <c r="B103" i="14698" a="1"/>
  <c r="B103" i="14698" s="1"/>
  <c r="H99" i="14698" a="1"/>
  <c r="H99" i="14698" s="1"/>
  <c r="K96" i="14698" a="1"/>
  <c r="K96" i="14698" s="1"/>
  <c r="P91" i="14698" a="1"/>
  <c r="P91" i="14698" s="1"/>
  <c r="N93" i="14698" a="1"/>
  <c r="N93" i="14698" s="1"/>
  <c r="H160" i="14698"/>
  <c r="H196" i="14698"/>
  <c r="I100" i="14698" a="1"/>
  <c r="I100" i="14698" s="1"/>
  <c r="R91" i="14698" a="1"/>
  <c r="R91" i="14698" s="1"/>
  <c r="P93" i="14698" a="1"/>
  <c r="P93" i="14698" s="1"/>
  <c r="Q92" i="14698" a="1"/>
  <c r="Q92" i="14698" s="1"/>
  <c r="K40" i="14698"/>
  <c r="W91" i="14698" a="1"/>
  <c r="W91" i="14698" s="1"/>
  <c r="R96" i="14698" a="1"/>
  <c r="R96" i="14698" s="1"/>
  <c r="K103" i="14698" a="1"/>
  <c r="K103" i="14698" s="1"/>
  <c r="N33" i="14698"/>
  <c r="L100" i="14698" a="1"/>
  <c r="L100" i="14698" s="1"/>
  <c r="J102" i="14698" a="1"/>
  <c r="J102" i="14698" s="1"/>
  <c r="K101" i="14698" a="1"/>
  <c r="K101" i="14698" s="1"/>
  <c r="J40" i="14698"/>
  <c r="O98" i="14698" a="1"/>
  <c r="O98" i="14698" s="1"/>
  <c r="K102" i="14698" a="1"/>
  <c r="K102" i="14698" s="1"/>
  <c r="N99" i="14698" a="1"/>
  <c r="N99" i="14698" s="1"/>
  <c r="U94" i="14698" a="1"/>
  <c r="U94" i="14698" s="1"/>
  <c r="P99" i="14698" a="1"/>
  <c r="P99" i="14698" s="1"/>
  <c r="W92" i="14698" a="1"/>
  <c r="W92" i="14698" s="1"/>
  <c r="Q84" i="14703"/>
  <c r="L124" i="14698"/>
  <c r="B124" i="14698"/>
  <c r="N123" i="14703"/>
  <c r="N124" i="14703" s="1"/>
  <c r="S97" i="14698" a="1"/>
  <c r="S97" i="14698" s="1"/>
  <c r="P100" i="14698" a="1"/>
  <c r="P100" i="14698" s="1"/>
  <c r="W93" i="14698" a="1"/>
  <c r="W93" i="14698" s="1"/>
  <c r="M40" i="14698"/>
  <c r="N37" i="14698"/>
  <c r="L98" i="14698" a="1"/>
  <c r="L98" i="14698" s="1"/>
  <c r="Q93" i="14698" a="1"/>
  <c r="Q93" i="14698" s="1"/>
  <c r="P94" i="14698" a="1"/>
  <c r="P94" i="14698" s="1"/>
  <c r="G99" i="14698" a="1"/>
  <c r="G99" i="14698" s="1"/>
  <c r="M93" i="14698" a="1"/>
  <c r="M93" i="14698" s="1"/>
  <c r="N35" i="14698"/>
  <c r="J97" i="14698" a="1"/>
  <c r="J97" i="14698" s="1"/>
  <c r="I98" i="14698" a="1"/>
  <c r="I98" i="14698" s="1"/>
  <c r="F101" i="14698" a="1"/>
  <c r="F101" i="14698" s="1"/>
  <c r="L95" i="14698" a="1"/>
  <c r="L95" i="14698" s="1"/>
  <c r="J98" i="14698" a="1"/>
  <c r="J98" i="14698" s="1"/>
  <c r="E103" i="14698" a="1"/>
  <c r="E103" i="14698" s="1"/>
  <c r="L96" i="14698" a="1"/>
  <c r="L96" i="14698" s="1"/>
  <c r="F124" i="14698"/>
  <c r="B160" i="14698"/>
  <c r="N159" i="14703"/>
  <c r="N160" i="14703" s="1"/>
  <c r="S208" i="14703" a="1"/>
  <c r="G214" i="14698"/>
  <c r="N36" i="14698"/>
  <c r="R119" i="14703" a="1"/>
  <c r="F142" i="14698"/>
  <c r="R137" i="14703" a="1"/>
  <c r="C160" i="14698"/>
  <c r="O158" i="14703" a="1"/>
  <c r="R209" i="14703" a="1"/>
  <c r="F214" i="14698"/>
  <c r="H9" i="14631"/>
  <c r="G9" i="14631"/>
  <c r="F9" i="14631"/>
  <c r="D9" i="14631"/>
  <c r="M9" i="14631"/>
  <c r="E9" i="14631"/>
  <c r="L9" i="14631"/>
  <c r="C9" i="14631"/>
  <c r="I9" i="14631"/>
  <c r="B9" i="14631"/>
  <c r="K9" i="14631"/>
  <c r="J9" i="14631"/>
  <c r="E124" i="14698"/>
  <c r="S94" i="14698" a="1"/>
  <c r="S94" i="14698" s="1"/>
  <c r="Q97" i="14698" a="1"/>
  <c r="Q97" i="14698" s="1"/>
  <c r="K99" i="14698" a="1"/>
  <c r="K99" i="14698" s="1"/>
  <c r="G40" i="14698"/>
  <c r="O101" i="14698" a="1"/>
  <c r="O101" i="14698" s="1"/>
  <c r="O92" i="14698" a="1"/>
  <c r="O92" i="14698" s="1"/>
  <c r="E102" i="14698" a="1"/>
  <c r="E102" i="14698" s="1"/>
  <c r="G124" i="14698"/>
  <c r="S118" i="14703" a="1"/>
  <c r="I214" i="14698"/>
  <c r="U206" i="14703" a="1"/>
  <c r="H214" i="14698"/>
  <c r="T207" i="14703" a="1"/>
  <c r="G103" i="14698" a="1"/>
  <c r="G103" i="14698" s="1"/>
  <c r="N32" i="14698"/>
  <c r="H124" i="14698"/>
  <c r="O122" i="14703" a="1"/>
  <c r="P98" i="14698" a="1"/>
  <c r="P98" i="14698" s="1"/>
  <c r="K95" i="14698" a="1"/>
  <c r="K95" i="14698" s="1"/>
  <c r="T91" i="14698" a="1"/>
  <c r="T91" i="14698" s="1"/>
  <c r="C35" i="14683"/>
  <c r="C34" i="14683"/>
  <c r="C36" i="14683"/>
  <c r="C39" i="14683"/>
  <c r="C40" i="14683"/>
  <c r="C37" i="14683"/>
  <c r="C38" i="14683"/>
  <c r="C41" i="14683"/>
  <c r="W82" i="14703"/>
  <c r="W77" i="14703"/>
  <c r="W79" i="14703"/>
  <c r="W80" i="14703"/>
  <c r="W84" i="14703"/>
  <c r="W83" i="14703"/>
  <c r="W76" i="14703"/>
  <c r="W78" i="14703"/>
  <c r="W75" i="14703"/>
  <c r="W81" i="14703"/>
  <c r="L232" i="14698"/>
  <c r="X221" i="14703" a="1"/>
  <c r="Y112" i="14703" a="1"/>
  <c r="M124" i="14698"/>
  <c r="W114" i="14703" a="1"/>
  <c r="K124" i="14698"/>
  <c r="I124" i="14698"/>
  <c r="U116" i="14703" a="1"/>
  <c r="B87" i="14698"/>
  <c r="L250" i="14698"/>
  <c r="X239" i="14703" a="1"/>
  <c r="X185" i="14703" a="1"/>
  <c r="L196" i="14698"/>
  <c r="T225" i="14703" a="1"/>
  <c r="H232" i="14698"/>
  <c r="Q228" i="14703" a="1"/>
  <c r="E232" i="14698"/>
  <c r="S226" i="14703" a="1"/>
  <c r="G232" i="14698"/>
  <c r="V79" i="14703"/>
  <c r="V81" i="14703"/>
  <c r="V77" i="14703"/>
  <c r="V83" i="14703"/>
  <c r="V76" i="14703"/>
  <c r="V82" i="14703"/>
  <c r="V84" i="14703"/>
  <c r="V78" i="14703"/>
  <c r="V80" i="14703"/>
  <c r="Y166" i="14703" a="1"/>
  <c r="M178" i="14698"/>
  <c r="U84" i="14703"/>
  <c r="U77" i="14703"/>
  <c r="U79" i="14703"/>
  <c r="U80" i="14703"/>
  <c r="U82" i="14703"/>
  <c r="U83" i="14703"/>
  <c r="U81" i="14703"/>
  <c r="U78" i="14703"/>
  <c r="G160" i="14698"/>
  <c r="S154" i="14703" a="1"/>
  <c r="R155" i="14703" a="1"/>
  <c r="F160" i="14698"/>
  <c r="P157" i="14703" a="1"/>
  <c r="D160" i="14698"/>
  <c r="Q156" i="14703" a="1"/>
  <c r="E160" i="14698"/>
  <c r="H250" i="14698"/>
  <c r="T243" i="14703" a="1"/>
  <c r="R191" i="14703" a="1"/>
  <c r="F196" i="14698"/>
  <c r="Q192" i="14703" a="1"/>
  <c r="E196" i="14698"/>
  <c r="Y184" i="14703" a="1"/>
  <c r="M196" i="14698"/>
  <c r="O230" i="14703" a="1"/>
  <c r="C232" i="14698"/>
  <c r="B232" i="14698"/>
  <c r="N231" i="14703"/>
  <c r="N232" i="14703" s="1"/>
  <c r="T83" i="14703"/>
  <c r="T79" i="14703"/>
  <c r="T80" i="14703"/>
  <c r="T82" i="14703"/>
  <c r="T78" i="14703"/>
  <c r="T84" i="14703"/>
  <c r="T81" i="14703"/>
  <c r="S190" i="14703" a="1"/>
  <c r="G196" i="14698"/>
  <c r="D178" i="14698"/>
  <c r="P175" i="14703" a="1"/>
  <c r="I250" i="14698"/>
  <c r="U242" i="14703" a="1"/>
  <c r="J196" i="14698"/>
  <c r="V187" i="14703" a="1"/>
  <c r="G250" i="14698"/>
  <c r="S244" i="14703" a="1"/>
  <c r="Q246" i="14703" a="1"/>
  <c r="E250" i="14698"/>
  <c r="I178" i="14698"/>
  <c r="H178" i="14698"/>
  <c r="T171" i="14703" a="1"/>
  <c r="V223" i="14703" a="1"/>
  <c r="J232" i="14698"/>
  <c r="I142" i="14698"/>
  <c r="U134" i="14703" a="1"/>
  <c r="Y80" i="14703"/>
  <c r="Y79" i="14703"/>
  <c r="Y78" i="14703"/>
  <c r="Y83" i="14703"/>
  <c r="Y84" i="14703"/>
  <c r="Y74" i="14703"/>
  <c r="Y75" i="14703"/>
  <c r="Y77" i="14703"/>
  <c r="Y76" i="14703"/>
  <c r="Y73" i="14703"/>
  <c r="Y81" i="14703"/>
  <c r="Y82" i="14703"/>
  <c r="Y202" i="14703" a="1"/>
  <c r="M214" i="14698"/>
  <c r="U170" i="14703" a="1"/>
  <c r="E142" i="14703"/>
  <c r="F160" i="14703"/>
  <c r="E232" i="14703"/>
  <c r="E124" i="14703"/>
  <c r="I196" i="14703"/>
  <c r="D250" i="14703"/>
  <c r="R83" i="14703"/>
  <c r="R80" i="14703"/>
  <c r="R84" i="14703"/>
  <c r="R82" i="14703"/>
  <c r="R81" i="14703"/>
  <c r="O176" i="14703" a="1"/>
  <c r="C178" i="14698"/>
  <c r="E58" i="14643"/>
  <c r="E57" i="14643"/>
  <c r="E53" i="14643"/>
  <c r="E60" i="14643"/>
  <c r="E55" i="14643"/>
  <c r="E59" i="14643"/>
  <c r="E54" i="14643"/>
  <c r="E56" i="14643"/>
  <c r="Y238" i="14703" a="1"/>
  <c r="M250" i="14698"/>
  <c r="D196" i="14698"/>
  <c r="P193" i="14703" a="1"/>
  <c r="K232" i="14698"/>
  <c r="W222" i="14703" a="1"/>
  <c r="J124" i="14698"/>
  <c r="V115" i="14703" a="1"/>
  <c r="B178" i="14698"/>
  <c r="N177" i="14703"/>
  <c r="N178" i="14703" s="1"/>
  <c r="W240" i="14703" a="1"/>
  <c r="K250" i="14698"/>
  <c r="I196" i="14698"/>
  <c r="U188" i="14703" a="1"/>
  <c r="W186" i="14703" a="1"/>
  <c r="K196" i="14698"/>
  <c r="O248" i="14703" a="1"/>
  <c r="C250" i="14698"/>
  <c r="B250" i="14698"/>
  <c r="N249" i="14703"/>
  <c r="N250" i="14703" s="1"/>
  <c r="U224" i="14703" a="1"/>
  <c r="I232" i="14698"/>
  <c r="R227" i="14703" a="1"/>
  <c r="F232" i="14698"/>
  <c r="P83" i="14703"/>
  <c r="P84" i="14703"/>
  <c r="P82" i="14703"/>
  <c r="T153" i="14703" a="1"/>
  <c r="D250" i="14698"/>
  <c r="X167" i="14703" a="1"/>
  <c r="L178" i="14698"/>
  <c r="M160" i="14698"/>
  <c r="Y148" i="14703" a="1"/>
  <c r="K160" i="14698"/>
  <c r="W150" i="14703" a="1"/>
  <c r="I160" i="14698"/>
  <c r="U152" i="14703" a="1"/>
  <c r="L160" i="14698"/>
  <c r="X149" i="14703" a="1"/>
  <c r="P229" i="14703" a="1"/>
  <c r="D232" i="14698"/>
  <c r="W168" i="14703" a="1"/>
  <c r="K178" i="14698"/>
  <c r="V241" i="14703" a="1"/>
  <c r="J250" i="14698"/>
  <c r="O194" i="14703" a="1"/>
  <c r="C196" i="14698"/>
  <c r="B196" i="14698"/>
  <c r="N195" i="14703"/>
  <c r="N196" i="14703" s="1"/>
  <c r="R245" i="14703" a="1"/>
  <c r="F250" i="14698"/>
  <c r="G178" i="14698"/>
  <c r="J178" i="14698"/>
  <c r="E178" i="14698"/>
  <c r="Q174" i="14703" a="1"/>
  <c r="F178" i="14698"/>
  <c r="R173" i="14703" a="1"/>
  <c r="M232" i="14698"/>
  <c r="Y220" i="14703" a="1"/>
  <c r="K142" i="14698"/>
  <c r="W132" i="14703" a="1"/>
  <c r="L142" i="14698"/>
  <c r="X131" i="14703" a="1"/>
  <c r="V133" i="14703" a="1"/>
  <c r="J142" i="14698"/>
  <c r="L214" i="14698"/>
  <c r="X203" i="14703" a="1"/>
  <c r="W204" i="14703" a="1"/>
  <c r="K214" i="14698"/>
  <c r="D43" i="14643"/>
  <c r="D40" i="14643"/>
  <c r="D41" i="14643"/>
  <c r="D45" i="14643"/>
  <c r="D47" i="14643"/>
  <c r="D42" i="14643"/>
  <c r="D46" i="14643"/>
  <c r="D44" i="14643"/>
  <c r="D178" i="14703"/>
  <c r="G214" i="14703"/>
  <c r="J142" i="14703"/>
  <c r="G160" i="14703"/>
  <c r="H160" i="14703"/>
  <c r="F232" i="14703"/>
  <c r="I250" i="14703"/>
  <c r="H250" i="14703"/>
  <c r="D214" i="14703"/>
  <c r="C142" i="14703"/>
  <c r="F214" i="14703"/>
  <c r="I142" i="14703"/>
  <c r="E196" i="14703"/>
  <c r="L214" i="14703"/>
  <c r="L22" i="8"/>
  <c r="D22" i="8"/>
  <c r="G22" i="8"/>
  <c r="I22" i="8"/>
  <c r="E22" i="8"/>
  <c r="B22" i="8"/>
  <c r="M22" i="8"/>
  <c r="J22" i="8"/>
  <c r="F22" i="8"/>
  <c r="H22" i="8"/>
  <c r="K22" i="8"/>
  <c r="C22" i="8"/>
  <c r="N22" i="14631"/>
  <c r="D22" i="14617" s="1"/>
  <c r="D66" i="14665"/>
  <c r="B61" i="14665" a="1"/>
  <c r="B38" i="14695" a="1"/>
  <c r="C45" i="14648" a="1"/>
  <c r="N35" i="14695"/>
  <c r="C35" i="4128"/>
  <c r="D27" i="14632"/>
  <c r="F178" i="14703"/>
  <c r="J214" i="14703"/>
  <c r="N56" i="14695"/>
  <c r="B59" i="14695" a="1"/>
  <c r="D55" i="14707" a="1"/>
  <c r="F33" i="14652" a="1"/>
  <c r="H7" i="14652" a="1"/>
  <c r="B17" i="14637" a="1"/>
  <c r="C30" i="14648" a="1"/>
  <c r="B31" i="14695" a="1"/>
  <c r="N28" i="14695"/>
  <c r="O41" i="14628"/>
  <c r="O42" i="14628" s="1"/>
  <c r="I232" i="14703"/>
  <c r="M232" i="14703"/>
  <c r="E46" i="14643"/>
  <c r="E44" i="14643"/>
  <c r="E47" i="14643"/>
  <c r="E42" i="14643"/>
  <c r="E45" i="14643"/>
  <c r="E40" i="14643"/>
  <c r="E41" i="14643"/>
  <c r="E43" i="14643"/>
  <c r="C9" i="8"/>
  <c r="J9" i="8"/>
  <c r="B9" i="8"/>
  <c r="K9" i="8"/>
  <c r="D9" i="8"/>
  <c r="I9" i="8"/>
  <c r="E9" i="8"/>
  <c r="M9" i="8"/>
  <c r="F9" i="8"/>
  <c r="G9" i="8"/>
  <c r="L9" i="8"/>
  <c r="H9" i="8"/>
  <c r="K124" i="14703"/>
  <c r="N36" i="14703"/>
  <c r="H97" i="14703" a="1"/>
  <c r="H97" i="14703" s="1"/>
  <c r="M92" i="14703" a="1"/>
  <c r="M92" i="14703" s="1"/>
  <c r="I96" i="14703" a="1"/>
  <c r="I96" i="14703" s="1"/>
  <c r="E100" i="14703" a="1"/>
  <c r="E100" i="14703" s="1"/>
  <c r="C102" i="14703" a="1"/>
  <c r="C102" i="14703" s="1"/>
  <c r="B40" i="14703"/>
  <c r="L93" i="14703" a="1"/>
  <c r="L93" i="14703" s="1"/>
  <c r="N32" i="14703"/>
  <c r="N91" i="14703" a="1"/>
  <c r="N91" i="14703" s="1"/>
  <c r="K94" i="14703" a="1"/>
  <c r="K94" i="14703" s="1"/>
  <c r="D101" i="14703" a="1"/>
  <c r="D101" i="14703" s="1"/>
  <c r="B103" i="14703" a="1"/>
  <c r="B103" i="14703" s="1"/>
  <c r="B104" i="14703" s="1"/>
  <c r="F99" i="14703" a="1"/>
  <c r="F99" i="14703" s="1"/>
  <c r="G98" i="14703" a="1"/>
  <c r="G98" i="14703" s="1"/>
  <c r="J95" i="14703" a="1"/>
  <c r="J95" i="14703" s="1"/>
  <c r="H103" i="14703" a="1"/>
  <c r="H103" i="14703" s="1"/>
  <c r="N97" i="14703" a="1"/>
  <c r="N97" i="14703" s="1"/>
  <c r="J101" i="14703" a="1"/>
  <c r="J101" i="14703" s="1"/>
  <c r="P95" i="14703" a="1"/>
  <c r="P95" i="14703" s="1"/>
  <c r="K100" i="14703" a="1"/>
  <c r="K100" i="14703" s="1"/>
  <c r="O96" i="14703" a="1"/>
  <c r="O96" i="14703" s="1"/>
  <c r="H40" i="14703"/>
  <c r="R93" i="14703" a="1"/>
  <c r="R93" i="14703" s="1"/>
  <c r="I102" i="14703" a="1"/>
  <c r="I102" i="14703" s="1"/>
  <c r="S92" i="14703" a="1"/>
  <c r="S92" i="14703" s="1"/>
  <c r="T91" i="14703" a="1"/>
  <c r="T91" i="14703" s="1"/>
  <c r="Q94" i="14703" a="1"/>
  <c r="Q94" i="14703" s="1"/>
  <c r="L99" i="14703" a="1"/>
  <c r="L99" i="14703" s="1"/>
  <c r="M98" i="14703" a="1"/>
  <c r="M98" i="14703" s="1"/>
  <c r="P98" i="14703" a="1"/>
  <c r="P98" i="14703" s="1"/>
  <c r="W91" i="14703" a="1"/>
  <c r="W91" i="14703" s="1"/>
  <c r="M101" i="14703" a="1"/>
  <c r="M101" i="14703" s="1"/>
  <c r="Q97" i="14703" a="1"/>
  <c r="Q97" i="14703" s="1"/>
  <c r="N100" i="14703" a="1"/>
  <c r="N100" i="14703" s="1"/>
  <c r="V92" i="14703" a="1"/>
  <c r="V92" i="14703" s="1"/>
  <c r="O99" i="14703" a="1"/>
  <c r="O99" i="14703" s="1"/>
  <c r="T94" i="14703" a="1"/>
  <c r="T94" i="14703" s="1"/>
  <c r="K103" i="14703" a="1"/>
  <c r="K103" i="14703" s="1"/>
  <c r="U93" i="14703" a="1"/>
  <c r="U93" i="14703" s="1"/>
  <c r="L102" i="14703" a="1"/>
  <c r="L102" i="14703" s="1"/>
  <c r="S95" i="14703" a="1"/>
  <c r="S95" i="14703" s="1"/>
  <c r="R96" i="14703" a="1"/>
  <c r="R96" i="14703" s="1"/>
  <c r="K40" i="14703"/>
  <c r="N35" i="14703"/>
  <c r="N37" i="14703"/>
  <c r="K99" i="14703" a="1"/>
  <c r="K99" i="14703" s="1"/>
  <c r="S91" i="14703" a="1"/>
  <c r="S91" i="14703" s="1"/>
  <c r="J100" i="14703" a="1"/>
  <c r="J100" i="14703" s="1"/>
  <c r="N96" i="14703" a="1"/>
  <c r="N96" i="14703" s="1"/>
  <c r="P94" i="14703" a="1"/>
  <c r="P94" i="14703" s="1"/>
  <c r="R92" i="14703" a="1"/>
  <c r="R92" i="14703" s="1"/>
  <c r="Q93" i="14703" a="1"/>
  <c r="Q93" i="14703" s="1"/>
  <c r="O95" i="14703" a="1"/>
  <c r="O95" i="14703" s="1"/>
  <c r="M97" i="14703" a="1"/>
  <c r="M97" i="14703" s="1"/>
  <c r="G103" i="14703" a="1"/>
  <c r="G103" i="14703" s="1"/>
  <c r="L98" i="14703" a="1"/>
  <c r="L98" i="14703" s="1"/>
  <c r="H102" i="14703" a="1"/>
  <c r="H102" i="14703" s="1"/>
  <c r="I101" i="14703" a="1"/>
  <c r="I101" i="14703" s="1"/>
  <c r="G40" i="14703"/>
  <c r="V91" i="14703" a="1"/>
  <c r="V91" i="14703" s="1"/>
  <c r="L101" i="14703" a="1"/>
  <c r="L101" i="14703" s="1"/>
  <c r="P97" i="14703" a="1"/>
  <c r="P97" i="14703" s="1"/>
  <c r="R95" i="14703" a="1"/>
  <c r="R95" i="14703" s="1"/>
  <c r="S94" i="14703" a="1"/>
  <c r="S94" i="14703" s="1"/>
  <c r="K102" i="14703" a="1"/>
  <c r="K102" i="14703" s="1"/>
  <c r="J40" i="14703"/>
  <c r="M100" i="14703" a="1"/>
  <c r="M100" i="14703" s="1"/>
  <c r="O98" i="14703" a="1"/>
  <c r="O98" i="14703" s="1"/>
  <c r="U92" i="14703" a="1"/>
  <c r="U92" i="14703" s="1"/>
  <c r="J103" i="14703" a="1"/>
  <c r="J103" i="14703" s="1"/>
  <c r="N99" i="14703" a="1"/>
  <c r="N99" i="14703" s="1"/>
  <c r="T93" i="14703" a="1"/>
  <c r="T93" i="14703" s="1"/>
  <c r="Q96" i="14703" a="1"/>
  <c r="Q96" i="14703" s="1"/>
  <c r="N38" i="14703"/>
  <c r="H101" i="14703" a="1"/>
  <c r="H101" i="14703" s="1"/>
  <c r="I100" i="14703" a="1"/>
  <c r="I100" i="14703" s="1"/>
  <c r="L97" i="14703" a="1"/>
  <c r="L97" i="14703" s="1"/>
  <c r="G102" i="14703" a="1"/>
  <c r="G102" i="14703" s="1"/>
  <c r="K98" i="14703" a="1"/>
  <c r="K98" i="14703" s="1"/>
  <c r="R91" i="14703" a="1"/>
  <c r="R91" i="14703" s="1"/>
  <c r="F40" i="14703"/>
  <c r="J99" i="14703" a="1"/>
  <c r="J99" i="14703" s="1"/>
  <c r="Q92" i="14703" a="1"/>
  <c r="Q92" i="14703" s="1"/>
  <c r="O94" i="14703" a="1"/>
  <c r="O94" i="14703" s="1"/>
  <c r="P93" i="14703" a="1"/>
  <c r="P93" i="14703" s="1"/>
  <c r="N95" i="14703" a="1"/>
  <c r="N95" i="14703" s="1"/>
  <c r="M96" i="14703" a="1"/>
  <c r="M96" i="14703" s="1"/>
  <c r="F103" i="14703" a="1"/>
  <c r="F103" i="14703" s="1"/>
  <c r="L124" i="14703"/>
  <c r="F250" i="14703"/>
  <c r="J250" i="14703"/>
  <c r="L250" i="14703"/>
  <c r="N22" i="14670"/>
  <c r="J22" i="14617" s="1"/>
  <c r="C178" i="14703"/>
  <c r="H178" i="14703"/>
  <c r="J178" i="14703"/>
  <c r="K214" i="14703"/>
  <c r="B45" i="14695" a="1"/>
  <c r="N42" i="14695"/>
  <c r="C60" i="14648" a="1"/>
  <c r="F14" i="14708"/>
  <c r="F20" i="14708" s="1"/>
  <c r="F7" i="14633"/>
  <c r="F17" i="14667"/>
  <c r="F11" i="14706"/>
  <c r="L21" i="14645"/>
  <c r="L22" i="14645" s="1"/>
  <c r="C21" i="14645"/>
  <c r="C22" i="14645" s="1"/>
  <c r="H7" i="14633"/>
  <c r="I7" i="14633"/>
  <c r="K7" i="14633"/>
  <c r="D21" i="14645"/>
  <c r="D22" i="14645" s="1"/>
  <c r="J21" i="14645"/>
  <c r="J22" i="14645" s="1"/>
  <c r="C7" i="14633"/>
  <c r="G21" i="14645"/>
  <c r="G22" i="14645" s="1"/>
  <c r="G7" i="14633"/>
  <c r="D7" i="14633"/>
  <c r="K21" i="14645"/>
  <c r="K22" i="14645" s="1"/>
  <c r="L7" i="14633"/>
  <c r="B21" i="14645"/>
  <c r="I21" i="14645"/>
  <c r="I22" i="14645" s="1"/>
  <c r="H21" i="14645"/>
  <c r="H22" i="14645" s="1"/>
  <c r="E7" i="14633"/>
  <c r="E21" i="14645"/>
  <c r="E22" i="14645" s="1"/>
  <c r="M7" i="14633"/>
  <c r="F21" i="14645"/>
  <c r="F22" i="14645" s="1"/>
  <c r="J7" i="14633"/>
  <c r="M21" i="14645"/>
  <c r="N7" i="14633"/>
  <c r="G142" i="14703"/>
  <c r="D142" i="14703"/>
  <c r="E160" i="14703"/>
  <c r="C160" i="14703"/>
  <c r="M160" i="14703"/>
  <c r="D160" i="14703"/>
  <c r="D232" i="14703"/>
  <c r="J232" i="14703"/>
  <c r="C232" i="14703"/>
  <c r="L232" i="14703"/>
  <c r="I124" i="14703"/>
  <c r="H124" i="14703"/>
  <c r="J124" i="14703"/>
  <c r="M124" i="14703"/>
  <c r="F196" i="14703"/>
  <c r="C196" i="14703"/>
  <c r="J196" i="14703"/>
  <c r="G196" i="14703"/>
  <c r="K250" i="14703"/>
  <c r="G250" i="14703"/>
  <c r="L8" i="14667"/>
  <c r="N22" i="14640"/>
  <c r="G22" i="14617" s="1"/>
  <c r="D9" i="14643"/>
  <c r="F9" i="14643"/>
  <c r="H9" i="14643"/>
  <c r="E9" i="14643"/>
  <c r="G9" i="14643"/>
  <c r="B7" i="14617"/>
  <c r="C5" i="14617" s="1" a="1"/>
  <c r="F27" i="14632"/>
  <c r="E27" i="14632"/>
  <c r="E10" i="14640" s="1"/>
  <c r="K178" i="14703"/>
  <c r="I178" i="14703"/>
  <c r="L178" i="14703"/>
  <c r="I214" i="14703"/>
  <c r="M214" i="14703"/>
  <c r="L12" i="14662"/>
  <c r="F12" i="14706"/>
  <c r="F16" i="14667"/>
  <c r="C23" i="4128" s="1"/>
  <c r="F142" i="14703"/>
  <c r="K142" i="14703"/>
  <c r="M142" i="14703"/>
  <c r="K160" i="14703"/>
  <c r="I160" i="14703"/>
  <c r="H232" i="14703"/>
  <c r="B35" i="14683"/>
  <c r="B41" i="14683"/>
  <c r="B36" i="14683"/>
  <c r="B38" i="14683"/>
  <c r="B40" i="14683"/>
  <c r="B34" i="14683"/>
  <c r="B39" i="14683"/>
  <c r="B37" i="14683"/>
  <c r="G99" i="14703" a="1"/>
  <c r="G99" i="14703" s="1"/>
  <c r="F100" i="14703" a="1"/>
  <c r="F100" i="14703" s="1"/>
  <c r="K95" i="14703" a="1"/>
  <c r="K95" i="14703" s="1"/>
  <c r="E101" i="14703" a="1"/>
  <c r="E101" i="14703" s="1"/>
  <c r="N92" i="14703" a="1"/>
  <c r="N92" i="14703" s="1"/>
  <c r="J96" i="14703" a="1"/>
  <c r="J96" i="14703" s="1"/>
  <c r="C40" i="14703"/>
  <c r="M93" i="14703" a="1"/>
  <c r="M93" i="14703" s="1"/>
  <c r="D102" i="14703" a="1"/>
  <c r="D102" i="14703" s="1"/>
  <c r="I97" i="14703" a="1"/>
  <c r="I97" i="14703" s="1"/>
  <c r="C103" i="14703" a="1"/>
  <c r="C103" i="14703" s="1"/>
  <c r="O91" i="14703" a="1"/>
  <c r="O91" i="14703" s="1"/>
  <c r="H98" i="14703" a="1"/>
  <c r="H98" i="14703" s="1"/>
  <c r="L94" i="14703" a="1"/>
  <c r="L94" i="14703" s="1"/>
  <c r="K96" i="14703" a="1"/>
  <c r="K96" i="14703" s="1"/>
  <c r="N93" i="14703" a="1"/>
  <c r="N93" i="14703" s="1"/>
  <c r="L95" i="14703" a="1"/>
  <c r="L95" i="14703" s="1"/>
  <c r="E102" i="14703" a="1"/>
  <c r="E102" i="14703" s="1"/>
  <c r="J97" i="14703" a="1"/>
  <c r="J97" i="14703" s="1"/>
  <c r="F101" i="14703" a="1"/>
  <c r="F101" i="14703" s="1"/>
  <c r="D103" i="14703" a="1"/>
  <c r="D103" i="14703" s="1"/>
  <c r="G100" i="14703" a="1"/>
  <c r="G100" i="14703" s="1"/>
  <c r="P91" i="14703" a="1"/>
  <c r="P91" i="14703" s="1"/>
  <c r="H99" i="14703" a="1"/>
  <c r="H99" i="14703" s="1"/>
  <c r="I98" i="14703" a="1"/>
  <c r="I98" i="14703" s="1"/>
  <c r="M94" i="14703" a="1"/>
  <c r="M94" i="14703" s="1"/>
  <c r="O92" i="14703" a="1"/>
  <c r="O92" i="14703" s="1"/>
  <c r="D40" i="14703"/>
  <c r="X92" i="14703" a="1"/>
  <c r="X92" i="14703" s="1"/>
  <c r="R98" i="14703" a="1"/>
  <c r="R98" i="14703" s="1"/>
  <c r="U95" i="14703" a="1"/>
  <c r="U95" i="14703" s="1"/>
  <c r="V94" i="14703" a="1"/>
  <c r="V94" i="14703" s="1"/>
  <c r="W93" i="14703" a="1"/>
  <c r="W93" i="14703" s="1"/>
  <c r="S97" i="14703" a="1"/>
  <c r="S97" i="14703" s="1"/>
  <c r="M103" i="14703" a="1"/>
  <c r="M103" i="14703" s="1"/>
  <c r="Q99" i="14703" a="1"/>
  <c r="Q99" i="14703" s="1"/>
  <c r="Y91" i="14703" a="1"/>
  <c r="Y91" i="14703" s="1"/>
  <c r="O101" i="14703" a="1"/>
  <c r="O101" i="14703" s="1"/>
  <c r="T96" i="14703" a="1"/>
  <c r="T96" i="14703" s="1"/>
  <c r="P100" i="14703" a="1"/>
  <c r="P100" i="14703" s="1"/>
  <c r="N102" i="14703" a="1"/>
  <c r="N102" i="14703" s="1"/>
  <c r="M40" i="14703"/>
  <c r="K97" i="14703" a="1"/>
  <c r="K97" i="14703" s="1"/>
  <c r="E103" i="14703" a="1"/>
  <c r="E103" i="14703" s="1"/>
  <c r="O93" i="14703" a="1"/>
  <c r="O93" i="14703" s="1"/>
  <c r="L96" i="14703" a="1"/>
  <c r="L96" i="14703" s="1"/>
  <c r="G101" i="14703" a="1"/>
  <c r="G101" i="14703" s="1"/>
  <c r="E40" i="14703"/>
  <c r="J98" i="14703" a="1"/>
  <c r="J98" i="14703" s="1"/>
  <c r="Q91" i="14703" a="1"/>
  <c r="Q91" i="14703" s="1"/>
  <c r="P92" i="14703" a="1"/>
  <c r="P92" i="14703" s="1"/>
  <c r="N94" i="14703" a="1"/>
  <c r="N94" i="14703" s="1"/>
  <c r="I99" i="14703" a="1"/>
  <c r="I99" i="14703" s="1"/>
  <c r="M95" i="14703" a="1"/>
  <c r="M95" i="14703" s="1"/>
  <c r="H100" i="14703" a="1"/>
  <c r="H100" i="14703" s="1"/>
  <c r="F102" i="14703" a="1"/>
  <c r="F102" i="14703" s="1"/>
  <c r="N34" i="14703"/>
  <c r="I103" i="14703" a="1"/>
  <c r="I103" i="14703" s="1"/>
  <c r="T92" i="14703" a="1"/>
  <c r="T92" i="14703" s="1"/>
  <c r="K101" i="14703" a="1"/>
  <c r="K101" i="14703" s="1"/>
  <c r="R94" i="14703" a="1"/>
  <c r="R94" i="14703" s="1"/>
  <c r="O97" i="14703" a="1"/>
  <c r="O97" i="14703" s="1"/>
  <c r="P96" i="14703" a="1"/>
  <c r="P96" i="14703" s="1"/>
  <c r="I40" i="14703"/>
  <c r="Q95" i="14703" a="1"/>
  <c r="Q95" i="14703" s="1"/>
  <c r="J102" i="14703" a="1"/>
  <c r="J102" i="14703" s="1"/>
  <c r="L100" i="14703" a="1"/>
  <c r="L100" i="14703" s="1"/>
  <c r="N98" i="14703" a="1"/>
  <c r="N98" i="14703" s="1"/>
  <c r="U91" i="14703" a="1"/>
  <c r="U91" i="14703" s="1"/>
  <c r="M99" i="14703" a="1"/>
  <c r="M99" i="14703" s="1"/>
  <c r="S93" i="14703" a="1"/>
  <c r="S93" i="14703" s="1"/>
  <c r="X91" i="14703" a="1"/>
  <c r="X91" i="14703" s="1"/>
  <c r="T95" i="14703" a="1"/>
  <c r="T95" i="14703" s="1"/>
  <c r="V93" i="14703" a="1"/>
  <c r="V93" i="14703" s="1"/>
  <c r="W92" i="14703" a="1"/>
  <c r="W92" i="14703" s="1"/>
  <c r="N101" i="14703" a="1"/>
  <c r="N101" i="14703" s="1"/>
  <c r="U94" i="14703" a="1"/>
  <c r="U94" i="14703" s="1"/>
  <c r="L40" i="14703"/>
  <c r="O100" i="14703" a="1"/>
  <c r="O100" i="14703" s="1"/>
  <c r="L103" i="14703" a="1"/>
  <c r="L103" i="14703" s="1"/>
  <c r="Q98" i="14703" a="1"/>
  <c r="Q98" i="14703" s="1"/>
  <c r="R97" i="14703" a="1"/>
  <c r="R97" i="14703" s="1"/>
  <c r="S96" i="14703" a="1"/>
  <c r="S96" i="14703" s="1"/>
  <c r="P99" i="14703" a="1"/>
  <c r="P99" i="14703" s="1"/>
  <c r="M102" i="14703" a="1"/>
  <c r="M102" i="14703" s="1"/>
  <c r="N39" i="14703"/>
  <c r="N33" i="14703"/>
  <c r="K196" i="14703"/>
  <c r="M196" i="14703"/>
  <c r="H196" i="14703"/>
  <c r="L196" i="14703"/>
  <c r="N22" i="14671"/>
  <c r="M22" i="14617" s="1"/>
  <c r="G9" i="14696" s="1"/>
  <c r="N7" i="8"/>
  <c r="E178" i="14703"/>
  <c r="M178" i="14703"/>
  <c r="G178" i="14703"/>
  <c r="H214" i="14703"/>
  <c r="C214" i="14703"/>
  <c r="E214" i="14703"/>
  <c r="C15" i="14648" a="1"/>
  <c r="B24" i="14695" a="1"/>
  <c r="N21" i="14695"/>
  <c r="M24" i="14655"/>
  <c r="K24" i="14655"/>
  <c r="N24" i="14655"/>
  <c r="J24" i="14655"/>
  <c r="H24" i="14655"/>
  <c r="O24" i="14655"/>
  <c r="L24" i="14655"/>
  <c r="G24" i="14655"/>
  <c r="E24" i="14655"/>
  <c r="I24" i="14655"/>
  <c r="P24" i="14655"/>
  <c r="B27" i="14632"/>
  <c r="C27" i="14632"/>
  <c r="C10" i="14640" s="1"/>
  <c r="B52" i="14695" a="1"/>
  <c r="C75" i="14648" a="1"/>
  <c r="N49" i="14695"/>
  <c r="C6" i="14625" a="1"/>
  <c r="C18" i="14648" a="1"/>
  <c r="H142" i="14703"/>
  <c r="L142" i="14703"/>
  <c r="L160" i="14703"/>
  <c r="J160" i="14703"/>
  <c r="K232" i="14703"/>
  <c r="G232" i="14703"/>
  <c r="D124" i="14703"/>
  <c r="G124" i="14703"/>
  <c r="F124" i="14703"/>
  <c r="D196" i="14703"/>
  <c r="C250" i="14703"/>
  <c r="E250" i="14703"/>
  <c r="M250" i="14703"/>
  <c r="Y134" i="14703" l="1"/>
  <c r="J31" i="14692"/>
  <c r="D31" i="14692"/>
  <c r="M31" i="14692"/>
  <c r="B31" i="14692"/>
  <c r="G31" i="14692"/>
  <c r="L31" i="14692"/>
  <c r="E31" i="14692"/>
  <c r="I31" i="14692"/>
  <c r="F31" i="14692"/>
  <c r="H31" i="14692"/>
  <c r="K31" i="14692"/>
  <c r="C31" i="14692"/>
  <c r="I47" i="14692"/>
  <c r="E47" i="14692"/>
  <c r="F47" i="14692"/>
  <c r="B47" i="14692"/>
  <c r="K47" i="14692"/>
  <c r="J47" i="14692"/>
  <c r="G47" i="14692"/>
  <c r="C47" i="14692"/>
  <c r="L47" i="14692"/>
  <c r="D47" i="14692"/>
  <c r="H47" i="14692"/>
  <c r="M47" i="14692"/>
  <c r="B44" i="14667"/>
  <c r="B45" i="14667"/>
  <c r="B46" i="14667"/>
  <c r="B55" i="14692"/>
  <c r="I55" i="14692"/>
  <c r="J55" i="14692"/>
  <c r="K55" i="14692"/>
  <c r="L55" i="14692"/>
  <c r="F55" i="14692"/>
  <c r="H55" i="14692"/>
  <c r="C55" i="14692"/>
  <c r="D55" i="14692"/>
  <c r="E55" i="14692"/>
  <c r="G55" i="14692"/>
  <c r="M55" i="14692"/>
  <c r="D22" i="14705"/>
  <c r="B84" i="14689"/>
  <c r="C39" i="14692"/>
  <c r="H39" i="14692"/>
  <c r="L39" i="14692"/>
  <c r="G39" i="14692"/>
  <c r="F39" i="14692"/>
  <c r="E39" i="14692"/>
  <c r="M39" i="14692"/>
  <c r="D39" i="14692"/>
  <c r="B39" i="14692"/>
  <c r="K39" i="14692"/>
  <c r="I39" i="14692"/>
  <c r="J39" i="14692"/>
  <c r="B46" i="14692" a="1"/>
  <c r="G32" i="14692"/>
  <c r="B56" i="14692"/>
  <c r="J63" i="14692"/>
  <c r="F24" i="14692"/>
  <c r="G63" i="14692"/>
  <c r="K40" i="14692"/>
  <c r="J40" i="14692"/>
  <c r="D63" i="14692"/>
  <c r="I48" i="14692"/>
  <c r="M24" i="14692"/>
  <c r="C24" i="14692"/>
  <c r="M40" i="14692"/>
  <c r="G56" i="14692"/>
  <c r="C32" i="14692"/>
  <c r="E63" i="14692"/>
  <c r="K63" i="14692"/>
  <c r="F48" i="14692"/>
  <c r="F40" i="14692"/>
  <c r="B30" i="14692" a="1"/>
  <c r="B32" i="14692"/>
  <c r="M56" i="14692"/>
  <c r="E40" i="14692"/>
  <c r="K48" i="14692"/>
  <c r="G40" i="14692"/>
  <c r="I63" i="14692"/>
  <c r="M48" i="14692"/>
  <c r="D40" i="14692"/>
  <c r="H40" i="14692"/>
  <c r="C63" i="14692"/>
  <c r="H63" i="14692"/>
  <c r="J56" i="14692"/>
  <c r="M32" i="14692"/>
  <c r="G48" i="14692"/>
  <c r="M63" i="14692"/>
  <c r="F63" i="14692"/>
  <c r="L63" i="14692"/>
  <c r="I24" i="14692"/>
  <c r="E24" i="14692"/>
  <c r="B23" i="14692" a="1"/>
  <c r="F56" i="14692"/>
  <c r="D32" i="14692"/>
  <c r="B54" i="14692" a="1"/>
  <c r="L56" i="14692"/>
  <c r="L32" i="14692"/>
  <c r="D24" i="14692"/>
  <c r="L24" i="14692"/>
  <c r="D56" i="14692"/>
  <c r="I56" i="14692"/>
  <c r="J48" i="14692"/>
  <c r="I40" i="14692"/>
  <c r="J32" i="14692"/>
  <c r="E56" i="14692"/>
  <c r="F32" i="14692"/>
  <c r="L40" i="14692"/>
  <c r="G24" i="14692"/>
  <c r="H48" i="14692"/>
  <c r="I32" i="14692"/>
  <c r="H32" i="14692"/>
  <c r="B38" i="14692" a="1"/>
  <c r="B48" i="14692"/>
  <c r="H24" i="14692"/>
  <c r="B40" i="14692"/>
  <c r="H56" i="14692"/>
  <c r="B62" i="14692" a="1"/>
  <c r="C48" i="14692"/>
  <c r="J24" i="14692"/>
  <c r="K24" i="14692"/>
  <c r="E32" i="14692"/>
  <c r="C56" i="14692"/>
  <c r="K56" i="14692"/>
  <c r="E48" i="14692"/>
  <c r="B24" i="14692"/>
  <c r="L48" i="14692"/>
  <c r="K32" i="14692"/>
  <c r="B63" i="14692"/>
  <c r="C40" i="14692"/>
  <c r="D48" i="14692"/>
  <c r="F12" i="14682"/>
  <c r="F9" i="14682"/>
  <c r="F8" i="14682"/>
  <c r="F11" i="14682"/>
  <c r="F5" i="14682"/>
  <c r="F6" i="14682"/>
  <c r="F7" i="14682"/>
  <c r="C42" i="14634"/>
  <c r="F40" i="14694"/>
  <c r="E40" i="14694"/>
  <c r="D40" i="14694"/>
  <c r="L40" i="14694"/>
  <c r="G40" i="14694"/>
  <c r="C40" i="14694"/>
  <c r="I40" i="14694"/>
  <c r="J40" i="14694"/>
  <c r="H40" i="14694"/>
  <c r="M40" i="14694"/>
  <c r="B40" i="14694"/>
  <c r="K40" i="14694"/>
  <c r="L32" i="14694"/>
  <c r="F32" i="14694"/>
  <c r="E32" i="14694"/>
  <c r="M32" i="14694"/>
  <c r="G32" i="14694"/>
  <c r="I32" i="14694"/>
  <c r="C32" i="14694"/>
  <c r="B32" i="14694"/>
  <c r="J32" i="14694"/>
  <c r="H32" i="14694"/>
  <c r="K32" i="14694"/>
  <c r="D32" i="14694"/>
  <c r="J24" i="14694"/>
  <c r="I24" i="14694"/>
  <c r="F24" i="14694"/>
  <c r="L24" i="14694"/>
  <c r="K24" i="14694"/>
  <c r="G24" i="14694"/>
  <c r="D24" i="14694"/>
  <c r="C24" i="14694"/>
  <c r="M24" i="14694"/>
  <c r="B24" i="14694"/>
  <c r="E24" i="14694"/>
  <c r="H24" i="14694"/>
  <c r="C48" i="14694"/>
  <c r="E48" i="14694"/>
  <c r="B48" i="14694"/>
  <c r="J48" i="14694"/>
  <c r="M48" i="14694"/>
  <c r="I48" i="14694"/>
  <c r="H48" i="14694"/>
  <c r="K48" i="14694"/>
  <c r="D48" i="14694"/>
  <c r="L48" i="14694"/>
  <c r="F48" i="14694"/>
  <c r="G48" i="14694"/>
  <c r="G56" i="14694"/>
  <c r="H56" i="14694"/>
  <c r="D56" i="14694"/>
  <c r="F56" i="14694"/>
  <c r="E56" i="14694"/>
  <c r="L56" i="14694"/>
  <c r="K56" i="14694"/>
  <c r="C56" i="14694"/>
  <c r="J56" i="14694"/>
  <c r="M56" i="14694"/>
  <c r="I56" i="14694"/>
  <c r="B56" i="14694"/>
  <c r="J63" i="14694"/>
  <c r="M63" i="14694"/>
  <c r="F63" i="14694"/>
  <c r="E63" i="14694"/>
  <c r="G63" i="14694"/>
  <c r="D63" i="14694"/>
  <c r="C63" i="14694"/>
  <c r="I63" i="14694"/>
  <c r="L63" i="14694"/>
  <c r="H63" i="14694"/>
  <c r="K63" i="14694"/>
  <c r="B63" i="14694"/>
  <c r="N42" i="14634"/>
  <c r="E42" i="14634"/>
  <c r="K42" i="14634"/>
  <c r="H42" i="14634"/>
  <c r="C11" i="14628" a="1"/>
  <c r="N13" i="14701"/>
  <c r="D5" i="14617"/>
  <c r="N15" i="14704"/>
  <c r="N14" i="14704"/>
  <c r="N8" i="14704"/>
  <c r="B20" i="14704" a="1"/>
  <c r="N11" i="14704"/>
  <c r="N12" i="14704"/>
  <c r="N13" i="14704"/>
  <c r="N10" i="14704"/>
  <c r="F6" i="14683" a="1"/>
  <c r="C13" i="14702"/>
  <c r="E12" i="14702"/>
  <c r="K11" i="14702"/>
  <c r="C12" i="14702"/>
  <c r="G14" i="14702"/>
  <c r="D12" i="14702"/>
  <c r="D13" i="14702"/>
  <c r="G15" i="14702"/>
  <c r="F8" i="14702"/>
  <c r="G12" i="14702"/>
  <c r="I12" i="14702"/>
  <c r="F10" i="14702"/>
  <c r="K14" i="14702"/>
  <c r="C9" i="14702"/>
  <c r="H11" i="14702"/>
  <c r="B14" i="14702"/>
  <c r="M10" i="14702"/>
  <c r="J10" i="14702"/>
  <c r="E10" i="14702"/>
  <c r="M11" i="14702"/>
  <c r="F11" i="14702"/>
  <c r="I15" i="14702"/>
  <c r="M15" i="14702"/>
  <c r="C15" i="14702"/>
  <c r="J13" i="14702"/>
  <c r="E13" i="14702"/>
  <c r="G8" i="14702"/>
  <c r="I14" i="14702"/>
  <c r="D8" i="14702"/>
  <c r="L10" i="14702"/>
  <c r="B11" i="14702"/>
  <c r="K15" i="14702"/>
  <c r="I11" i="14702"/>
  <c r="L9" i="14702"/>
  <c r="F13" i="14702"/>
  <c r="I13" i="14702"/>
  <c r="H13" i="14702"/>
  <c r="M9" i="14702"/>
  <c r="M8" i="14702"/>
  <c r="M12" i="14702"/>
  <c r="E15" i="14702"/>
  <c r="B12" i="14702"/>
  <c r="H8" i="14702"/>
  <c r="B15" i="14702"/>
  <c r="B8" i="14702"/>
  <c r="J9" i="14702"/>
  <c r="J8" i="14702"/>
  <c r="M14" i="14702"/>
  <c r="M13" i="14702"/>
  <c r="C10" i="14702"/>
  <c r="E8" i="14702"/>
  <c r="D15" i="14702"/>
  <c r="I8" i="14702"/>
  <c r="H15" i="14702"/>
  <c r="E9" i="14702"/>
  <c r="L12" i="14702"/>
  <c r="D11" i="14702"/>
  <c r="L15" i="14702"/>
  <c r="F9" i="14702"/>
  <c r="D10" i="14702"/>
  <c r="D14" i="14702"/>
  <c r="G13" i="14702"/>
  <c r="J14" i="14702"/>
  <c r="B13" i="14702"/>
  <c r="D9" i="14702"/>
  <c r="G10" i="14702"/>
  <c r="L8" i="14702"/>
  <c r="C14" i="14702"/>
  <c r="L14" i="14702"/>
  <c r="K13" i="14702"/>
  <c r="B9" i="14702"/>
  <c r="L13" i="14702"/>
  <c r="H14" i="14702"/>
  <c r="K8" i="14702"/>
  <c r="F14" i="14702"/>
  <c r="C11" i="14702"/>
  <c r="F15" i="14702"/>
  <c r="G9" i="14702"/>
  <c r="C8" i="14702"/>
  <c r="I10" i="14702"/>
  <c r="H10" i="14702"/>
  <c r="H9" i="14702"/>
  <c r="F12" i="14702"/>
  <c r="K9" i="14702"/>
  <c r="J11" i="14702"/>
  <c r="L11" i="14702"/>
  <c r="K12" i="14702"/>
  <c r="J12" i="14702"/>
  <c r="H12" i="14702"/>
  <c r="J15" i="14702"/>
  <c r="G11" i="14702"/>
  <c r="E14" i="14702"/>
  <c r="K10" i="14702"/>
  <c r="I9" i="14702"/>
  <c r="B10" i="14702"/>
  <c r="E11" i="14702"/>
  <c r="G15" i="14707"/>
  <c r="G12" i="14707"/>
  <c r="G11" i="14707"/>
  <c r="G18" i="14707"/>
  <c r="G14" i="14707"/>
  <c r="G16" i="14707"/>
  <c r="G13" i="14707"/>
  <c r="G17" i="14707"/>
  <c r="F21" i="14682" a="1"/>
  <c r="E23" i="14682"/>
  <c r="F11" i="14707" a="1"/>
  <c r="N12" i="14701"/>
  <c r="N10" i="14701"/>
  <c r="N15" i="14701"/>
  <c r="N14" i="14701"/>
  <c r="B25" i="14700"/>
  <c r="F22" i="14700"/>
  <c r="C26" i="14700"/>
  <c r="K26" i="14700"/>
  <c r="F24" i="14700"/>
  <c r="I27" i="14700"/>
  <c r="D22" i="14700"/>
  <c r="B21" i="14700"/>
  <c r="D23" i="14700"/>
  <c r="H24" i="14700"/>
  <c r="B26" i="14700"/>
  <c r="M27" i="14700"/>
  <c r="G22" i="14700"/>
  <c r="G25" i="14700"/>
  <c r="E22" i="14700"/>
  <c r="G24" i="14700"/>
  <c r="M22" i="14700"/>
  <c r="L24" i="14700"/>
  <c r="C27" i="14700"/>
  <c r="D21" i="14700"/>
  <c r="K23" i="14700"/>
  <c r="E25" i="14700"/>
  <c r="G27" i="14700"/>
  <c r="M25" i="14700"/>
  <c r="E20" i="14700"/>
  <c r="I24" i="14700"/>
  <c r="C23" i="14700"/>
  <c r="I23" i="14700"/>
  <c r="J22" i="14700"/>
  <c r="C24" i="14700"/>
  <c r="L25" i="14700"/>
  <c r="H27" i="14700"/>
  <c r="F20" i="14700"/>
  <c r="F23" i="14700"/>
  <c r="M26" i="14700"/>
  <c r="B27" i="14700"/>
  <c r="C20" i="14700"/>
  <c r="G20" i="14700"/>
  <c r="D26" i="14700"/>
  <c r="H21" i="14700"/>
  <c r="I26" i="14700"/>
  <c r="L21" i="14700"/>
  <c r="C25" i="14700"/>
  <c r="D24" i="14700"/>
  <c r="I20" i="14700"/>
  <c r="B24" i="14700"/>
  <c r="H20" i="14700"/>
  <c r="C22" i="14700"/>
  <c r="K22" i="14700"/>
  <c r="L20" i="14700"/>
  <c r="I25" i="14700"/>
  <c r="G23" i="14700"/>
  <c r="K21" i="14700"/>
  <c r="D25" i="14700"/>
  <c r="M21" i="14700"/>
  <c r="E23" i="14700"/>
  <c r="I21" i="14700"/>
  <c r="K25" i="14700"/>
  <c r="L23" i="14700"/>
  <c r="J20" i="14700"/>
  <c r="G21" i="14700"/>
  <c r="J24" i="14700"/>
  <c r="J21" i="14700"/>
  <c r="L22" i="14700"/>
  <c r="H23" i="14700"/>
  <c r="D27" i="14700"/>
  <c r="F27" i="14700"/>
  <c r="B20" i="14700"/>
  <c r="E24" i="14700"/>
  <c r="E26" i="14700"/>
  <c r="H25" i="14700"/>
  <c r="J23" i="14700"/>
  <c r="B23" i="14700"/>
  <c r="F21" i="14700"/>
  <c r="H26" i="14700"/>
  <c r="F25" i="14700"/>
  <c r="M23" i="14700"/>
  <c r="D20" i="14700"/>
  <c r="J27" i="14700"/>
  <c r="I22" i="14700"/>
  <c r="F26" i="14700"/>
  <c r="C21" i="14700"/>
  <c r="J25" i="14700"/>
  <c r="G26" i="14700"/>
  <c r="L26" i="14700"/>
  <c r="B22" i="14700"/>
  <c r="M20" i="14700"/>
  <c r="K27" i="14700"/>
  <c r="E27" i="14700"/>
  <c r="M24" i="14700"/>
  <c r="K24" i="14700"/>
  <c r="J26" i="14700"/>
  <c r="K20" i="14700"/>
  <c r="H22" i="14700"/>
  <c r="L27" i="14700"/>
  <c r="E21" i="14700"/>
  <c r="N9" i="14704"/>
  <c r="I11" i="14707" a="1"/>
  <c r="I6" i="14683" a="1"/>
  <c r="G13" i="14683"/>
  <c r="G11" i="14683"/>
  <c r="G9" i="14683"/>
  <c r="G8" i="14683"/>
  <c r="G7" i="14683"/>
  <c r="G6" i="14683"/>
  <c r="G10" i="14683"/>
  <c r="G12" i="14683"/>
  <c r="N25" i="14673"/>
  <c r="N11" i="14701"/>
  <c r="N8" i="14701"/>
  <c r="B20" i="14701" a="1"/>
  <c r="N9" i="14701"/>
  <c r="D65" i="14665"/>
  <c r="B19" i="4129" s="1"/>
  <c r="T119" i="14703"/>
  <c r="T194" i="14703"/>
  <c r="T191" i="14703"/>
  <c r="Y130" i="14703"/>
  <c r="Y140" i="14703"/>
  <c r="Y138" i="14703"/>
  <c r="X116" i="14703"/>
  <c r="D20" i="14683"/>
  <c r="P142" i="14703"/>
  <c r="X113" i="14703"/>
  <c r="D61" i="14643"/>
  <c r="T193" i="14703"/>
  <c r="Y139" i="14703"/>
  <c r="Y137" i="14703"/>
  <c r="Y141" i="14703"/>
  <c r="X122" i="14703"/>
  <c r="V155" i="14703"/>
  <c r="D23" i="14683"/>
  <c r="H14" i="14708"/>
  <c r="H20" i="14708" s="1"/>
  <c r="S176" i="14703"/>
  <c r="D27" i="14683"/>
  <c r="V173" i="14703"/>
  <c r="X123" i="14703"/>
  <c r="X119" i="14703"/>
  <c r="X117" i="14703"/>
  <c r="X121" i="14703"/>
  <c r="X118" i="14703"/>
  <c r="T190" i="14703"/>
  <c r="T189" i="14703"/>
  <c r="N7" i="14631"/>
  <c r="H12" i="14706"/>
  <c r="X120" i="14703"/>
  <c r="X114" i="14703"/>
  <c r="T195" i="14703"/>
  <c r="D21" i="14683"/>
  <c r="D25" i="14683"/>
  <c r="D19" i="14683"/>
  <c r="D26" i="14683"/>
  <c r="D24" i="14683"/>
  <c r="X85" i="14703"/>
  <c r="S85" i="14703"/>
  <c r="P123" i="14703"/>
  <c r="P121" i="14703"/>
  <c r="V153" i="14703"/>
  <c r="V151" i="14703"/>
  <c r="V169" i="14703"/>
  <c r="S175" i="14703"/>
  <c r="K104" i="14698"/>
  <c r="U96" i="14703" a="1"/>
  <c r="Q85" i="14703"/>
  <c r="V175" i="14703"/>
  <c r="T117" i="14703"/>
  <c r="V158" i="14703"/>
  <c r="V157" i="14703"/>
  <c r="V170" i="14703"/>
  <c r="V176" i="14703"/>
  <c r="S172" i="14703"/>
  <c r="R99" i="14703" a="1"/>
  <c r="R99" i="14703" s="1"/>
  <c r="Y92" i="14703" a="1"/>
  <c r="Y93" i="14703" s="1"/>
  <c r="T121" i="14703"/>
  <c r="T118" i="14703"/>
  <c r="T122" i="14703"/>
  <c r="T123" i="14703"/>
  <c r="O41" i="14634"/>
  <c r="O42" i="14634" s="1"/>
  <c r="C42" i="14639" s="1"/>
  <c r="V205" i="14703"/>
  <c r="V206" i="14703"/>
  <c r="V211" i="14703"/>
  <c r="V213" i="14703"/>
  <c r="V210" i="14703"/>
  <c r="V208" i="14703"/>
  <c r="V209" i="14703"/>
  <c r="V212" i="14703"/>
  <c r="V207" i="14703"/>
  <c r="T136" i="14703"/>
  <c r="T137" i="14703"/>
  <c r="T139" i="14703"/>
  <c r="T140" i="14703"/>
  <c r="T138" i="14703"/>
  <c r="T135" i="14703"/>
  <c r="T141" i="14703"/>
  <c r="P247" i="14703"/>
  <c r="P248" i="14703"/>
  <c r="Y133" i="14703"/>
  <c r="Y131" i="14703"/>
  <c r="Y135" i="14703"/>
  <c r="Y136" i="14703"/>
  <c r="V156" i="14703"/>
  <c r="V154" i="14703"/>
  <c r="V152" i="14703"/>
  <c r="Q122" i="14703"/>
  <c r="Q121" i="14703"/>
  <c r="P212" i="14703"/>
  <c r="P211" i="14703"/>
  <c r="P213" i="14703"/>
  <c r="Q213" i="14703"/>
  <c r="Q211" i="14703"/>
  <c r="Q210" i="14703"/>
  <c r="Q212" i="14703"/>
  <c r="P85" i="14703"/>
  <c r="Q123" i="14703"/>
  <c r="L104" i="14698"/>
  <c r="V174" i="14703"/>
  <c r="V172" i="14703"/>
  <c r="V177" i="14703"/>
  <c r="R213" i="14703"/>
  <c r="R212" i="14703"/>
  <c r="R209" i="14703"/>
  <c r="R211" i="14703"/>
  <c r="R210" i="14703"/>
  <c r="S213" i="14703"/>
  <c r="S210" i="14703"/>
  <c r="S212" i="14703"/>
  <c r="S209" i="14703"/>
  <c r="S208" i="14703"/>
  <c r="S211" i="14703"/>
  <c r="J104" i="14698"/>
  <c r="V95" i="14703" a="1"/>
  <c r="W94" i="14703" a="1"/>
  <c r="N103" i="14703"/>
  <c r="N104" i="14703" s="1"/>
  <c r="B104" i="14698"/>
  <c r="T97" i="14703" a="1"/>
  <c r="H104" i="14698"/>
  <c r="X93" i="14703" a="1"/>
  <c r="S177" i="14703"/>
  <c r="S173" i="14703"/>
  <c r="Q138" i="14703"/>
  <c r="Q141" i="14703"/>
  <c r="Q140" i="14703"/>
  <c r="Q139" i="14703"/>
  <c r="D104" i="14698"/>
  <c r="P101" i="14703" a="1"/>
  <c r="G104" i="14698"/>
  <c r="S98" i="14703" a="1"/>
  <c r="Q100" i="14703" a="1"/>
  <c r="E104" i="14698"/>
  <c r="F104" i="14698"/>
  <c r="O123" i="14703"/>
  <c r="O122" i="14703"/>
  <c r="T212" i="14703"/>
  <c r="T210" i="14703"/>
  <c r="T209" i="14703"/>
  <c r="T213" i="14703"/>
  <c r="T211" i="14703"/>
  <c r="T207" i="14703"/>
  <c r="T208" i="14703"/>
  <c r="U208" i="14703"/>
  <c r="U207" i="14703"/>
  <c r="U206" i="14703"/>
  <c r="U211" i="14703"/>
  <c r="U212" i="14703"/>
  <c r="U210" i="14703"/>
  <c r="U213" i="14703"/>
  <c r="U209" i="14703"/>
  <c r="S122" i="14703"/>
  <c r="S123" i="14703"/>
  <c r="S120" i="14703"/>
  <c r="S121" i="14703"/>
  <c r="S119" i="14703"/>
  <c r="S118" i="14703"/>
  <c r="N9" i="14631"/>
  <c r="O159" i="14703"/>
  <c r="O158" i="14703"/>
  <c r="R139" i="14703"/>
  <c r="R138" i="14703"/>
  <c r="R137" i="14703"/>
  <c r="R140" i="14703"/>
  <c r="R141" i="14703"/>
  <c r="R123" i="14703"/>
  <c r="R121" i="14703"/>
  <c r="R119" i="14703"/>
  <c r="R122" i="14703"/>
  <c r="R120" i="14703"/>
  <c r="N40" i="14698"/>
  <c r="I104" i="14698"/>
  <c r="S137" i="14703"/>
  <c r="S136" i="14703"/>
  <c r="S141" i="14703"/>
  <c r="S138" i="14703"/>
  <c r="S140" i="14703"/>
  <c r="S139" i="14703"/>
  <c r="O141" i="14703"/>
  <c r="O140" i="14703"/>
  <c r="M104" i="14698"/>
  <c r="C104" i="14698"/>
  <c r="O102" i="14703" a="1"/>
  <c r="W210" i="14703"/>
  <c r="W207" i="14703"/>
  <c r="W208" i="14703"/>
  <c r="W213" i="14703"/>
  <c r="W206" i="14703"/>
  <c r="W211" i="14703"/>
  <c r="W204" i="14703"/>
  <c r="W212" i="14703"/>
  <c r="W205" i="14703"/>
  <c r="W209" i="14703"/>
  <c r="V140" i="14703"/>
  <c r="V133" i="14703"/>
  <c r="V135" i="14703"/>
  <c r="V139" i="14703"/>
  <c r="V136" i="14703"/>
  <c r="V137" i="14703"/>
  <c r="V141" i="14703"/>
  <c r="V134" i="14703"/>
  <c r="V138" i="14703"/>
  <c r="R246" i="14703"/>
  <c r="R245" i="14703"/>
  <c r="R247" i="14703"/>
  <c r="R249" i="14703"/>
  <c r="R248" i="14703"/>
  <c r="O194" i="14703"/>
  <c r="O195" i="14703"/>
  <c r="V246" i="14703"/>
  <c r="V245" i="14703"/>
  <c r="V249" i="14703"/>
  <c r="V248" i="14703"/>
  <c r="V242" i="14703"/>
  <c r="V243" i="14703"/>
  <c r="V244" i="14703"/>
  <c r="V241" i="14703"/>
  <c r="V247" i="14703"/>
  <c r="W169" i="14703"/>
  <c r="W177" i="14703"/>
  <c r="W168" i="14703"/>
  <c r="W170" i="14703"/>
  <c r="W171" i="14703"/>
  <c r="W176" i="14703"/>
  <c r="W175" i="14703"/>
  <c r="W173" i="14703"/>
  <c r="W172" i="14703"/>
  <c r="W174" i="14703"/>
  <c r="P229" i="14703"/>
  <c r="P231" i="14703"/>
  <c r="P230" i="14703"/>
  <c r="X171" i="14703"/>
  <c r="X167" i="14703"/>
  <c r="X170" i="14703"/>
  <c r="X174" i="14703"/>
  <c r="X172" i="14703"/>
  <c r="X177" i="14703"/>
  <c r="X173" i="14703"/>
  <c r="X169" i="14703"/>
  <c r="X168" i="14703"/>
  <c r="X175" i="14703"/>
  <c r="X176" i="14703"/>
  <c r="T158" i="14703"/>
  <c r="T159" i="14703"/>
  <c r="T156" i="14703"/>
  <c r="T153" i="14703"/>
  <c r="T157" i="14703"/>
  <c r="T155" i="14703"/>
  <c r="T154" i="14703"/>
  <c r="U193" i="14703"/>
  <c r="U195" i="14703"/>
  <c r="U190" i="14703"/>
  <c r="U194" i="14703"/>
  <c r="U191" i="14703"/>
  <c r="U188" i="14703"/>
  <c r="U189" i="14703"/>
  <c r="U192" i="14703"/>
  <c r="V121" i="14703"/>
  <c r="V123" i="14703"/>
  <c r="V117" i="14703"/>
  <c r="V122" i="14703"/>
  <c r="V118" i="14703"/>
  <c r="V115" i="14703"/>
  <c r="V116" i="14703"/>
  <c r="V120" i="14703"/>
  <c r="V119" i="14703"/>
  <c r="W223" i="14703"/>
  <c r="W226" i="14703"/>
  <c r="W225" i="14703"/>
  <c r="W222" i="14703"/>
  <c r="W229" i="14703"/>
  <c r="W228" i="14703"/>
  <c r="W227" i="14703"/>
  <c r="W231" i="14703"/>
  <c r="W230" i="14703"/>
  <c r="W224" i="14703"/>
  <c r="P194" i="14703"/>
  <c r="P193" i="14703"/>
  <c r="P195" i="14703"/>
  <c r="U171" i="14703"/>
  <c r="U172" i="14703"/>
  <c r="U177" i="14703"/>
  <c r="U174" i="14703"/>
  <c r="U173" i="14703"/>
  <c r="U176" i="14703"/>
  <c r="U170" i="14703"/>
  <c r="U175" i="14703"/>
  <c r="Y208" i="14703"/>
  <c r="Y211" i="14703"/>
  <c r="Y210" i="14703"/>
  <c r="Y206" i="14703"/>
  <c r="Y204" i="14703"/>
  <c r="Y213" i="14703"/>
  <c r="Y207" i="14703"/>
  <c r="Y205" i="14703"/>
  <c r="Y203" i="14703"/>
  <c r="Y212" i="14703"/>
  <c r="Y209" i="14703"/>
  <c r="Y202" i="14703"/>
  <c r="V226" i="14703"/>
  <c r="V224" i="14703"/>
  <c r="V223" i="14703"/>
  <c r="V229" i="14703"/>
  <c r="V225" i="14703"/>
  <c r="V228" i="14703"/>
  <c r="V230" i="14703"/>
  <c r="V227" i="14703"/>
  <c r="V231" i="14703"/>
  <c r="S249" i="14703"/>
  <c r="S247" i="14703"/>
  <c r="S248" i="14703"/>
  <c r="S246" i="14703"/>
  <c r="S244" i="14703"/>
  <c r="S245" i="14703"/>
  <c r="V193" i="14703"/>
  <c r="V195" i="14703"/>
  <c r="V187" i="14703"/>
  <c r="V191" i="14703"/>
  <c r="V190" i="14703"/>
  <c r="V194" i="14703"/>
  <c r="V188" i="14703"/>
  <c r="V189" i="14703"/>
  <c r="V192" i="14703"/>
  <c r="U245" i="14703"/>
  <c r="U243" i="14703"/>
  <c r="U247" i="14703"/>
  <c r="U244" i="14703"/>
  <c r="U246" i="14703"/>
  <c r="U248" i="14703"/>
  <c r="U249" i="14703"/>
  <c r="U242" i="14703"/>
  <c r="P175" i="14703"/>
  <c r="P177" i="14703"/>
  <c r="P176" i="14703"/>
  <c r="T85" i="14703"/>
  <c r="O231" i="14703"/>
  <c r="O230" i="14703"/>
  <c r="Y187" i="14703"/>
  <c r="Y185" i="14703"/>
  <c r="Y191" i="14703"/>
  <c r="Y195" i="14703"/>
  <c r="Y190" i="14703"/>
  <c r="Y192" i="14703"/>
  <c r="Y184" i="14703"/>
  <c r="Y194" i="14703"/>
  <c r="Y188" i="14703"/>
  <c r="Y189" i="14703"/>
  <c r="Y186" i="14703"/>
  <c r="Y193" i="14703"/>
  <c r="Q195" i="14703"/>
  <c r="Q193" i="14703"/>
  <c r="Q192" i="14703"/>
  <c r="Q194" i="14703"/>
  <c r="R191" i="14703"/>
  <c r="R192" i="14703"/>
  <c r="R193" i="14703"/>
  <c r="R195" i="14703"/>
  <c r="R194" i="14703"/>
  <c r="Q158" i="14703"/>
  <c r="Q159" i="14703"/>
  <c r="Q157" i="14703"/>
  <c r="Q156" i="14703"/>
  <c r="P158" i="14703"/>
  <c r="P159" i="14703"/>
  <c r="P157" i="14703"/>
  <c r="R158" i="14703"/>
  <c r="R156" i="14703"/>
  <c r="R159" i="14703"/>
  <c r="R157" i="14703"/>
  <c r="R155" i="14703"/>
  <c r="Y170" i="14703"/>
  <c r="Y169" i="14703"/>
  <c r="Y173" i="14703"/>
  <c r="Y166" i="14703"/>
  <c r="Y168" i="14703"/>
  <c r="Y172" i="14703"/>
  <c r="Y174" i="14703"/>
  <c r="Y171" i="14703"/>
  <c r="Y177" i="14703"/>
  <c r="Y167" i="14703"/>
  <c r="Y176" i="14703"/>
  <c r="Y175" i="14703"/>
  <c r="X246" i="14703"/>
  <c r="X243" i="14703"/>
  <c r="X241" i="14703"/>
  <c r="X245" i="14703"/>
  <c r="X247" i="14703"/>
  <c r="X248" i="14703"/>
  <c r="X239" i="14703"/>
  <c r="X240" i="14703"/>
  <c r="X242" i="14703"/>
  <c r="X249" i="14703"/>
  <c r="X244" i="14703"/>
  <c r="B55" i="14698"/>
  <c r="W122" i="14703"/>
  <c r="W121" i="14703"/>
  <c r="W115" i="14703"/>
  <c r="W117" i="14703"/>
  <c r="W123" i="14703"/>
  <c r="W118" i="14703"/>
  <c r="W116" i="14703"/>
  <c r="W120" i="14703"/>
  <c r="W119" i="14703"/>
  <c r="W114" i="14703"/>
  <c r="Y114" i="14703"/>
  <c r="Y113" i="14703"/>
  <c r="Y112" i="14703"/>
  <c r="Y116" i="14703"/>
  <c r="Y120" i="14703"/>
  <c r="Y118" i="14703"/>
  <c r="Y119" i="14703"/>
  <c r="Y117" i="14703"/>
  <c r="Y115" i="14703"/>
  <c r="Y123" i="14703"/>
  <c r="Y122" i="14703"/>
  <c r="Y121" i="14703"/>
  <c r="W85" i="14703"/>
  <c r="X206" i="14703"/>
  <c r="X211" i="14703"/>
  <c r="X213" i="14703"/>
  <c r="X205" i="14703"/>
  <c r="X208" i="14703"/>
  <c r="X212" i="14703"/>
  <c r="X209" i="14703"/>
  <c r="X207" i="14703"/>
  <c r="X203" i="14703"/>
  <c r="X204" i="14703"/>
  <c r="X210" i="14703"/>
  <c r="X141" i="14703"/>
  <c r="X131" i="14703"/>
  <c r="X135" i="14703"/>
  <c r="X134" i="14703"/>
  <c r="X140" i="14703"/>
  <c r="X139" i="14703"/>
  <c r="X137" i="14703"/>
  <c r="X133" i="14703"/>
  <c r="X132" i="14703"/>
  <c r="X136" i="14703"/>
  <c r="X138" i="14703"/>
  <c r="W140" i="14703"/>
  <c r="W133" i="14703"/>
  <c r="W141" i="14703"/>
  <c r="W135" i="14703"/>
  <c r="W136" i="14703"/>
  <c r="W137" i="14703"/>
  <c r="W138" i="14703"/>
  <c r="W132" i="14703"/>
  <c r="W134" i="14703"/>
  <c r="W139" i="14703"/>
  <c r="Y227" i="14703"/>
  <c r="Y221" i="14703"/>
  <c r="Y222" i="14703"/>
  <c r="Y226" i="14703"/>
  <c r="Y224" i="14703"/>
  <c r="Y228" i="14703"/>
  <c r="Y231" i="14703"/>
  <c r="Y229" i="14703"/>
  <c r="Y225" i="14703"/>
  <c r="Y220" i="14703"/>
  <c r="Y223" i="14703"/>
  <c r="Y230" i="14703"/>
  <c r="R173" i="14703"/>
  <c r="R174" i="14703"/>
  <c r="R176" i="14703"/>
  <c r="R175" i="14703"/>
  <c r="R177" i="14703"/>
  <c r="Q176" i="14703"/>
  <c r="Q174" i="14703"/>
  <c r="Q175" i="14703"/>
  <c r="Q177" i="14703"/>
  <c r="X149" i="14703"/>
  <c r="X158" i="14703"/>
  <c r="X150" i="14703"/>
  <c r="X157" i="14703"/>
  <c r="X159" i="14703"/>
  <c r="X156" i="14703"/>
  <c r="X152" i="14703"/>
  <c r="X155" i="14703"/>
  <c r="X153" i="14703"/>
  <c r="X151" i="14703"/>
  <c r="X154" i="14703"/>
  <c r="U154" i="14703"/>
  <c r="U157" i="14703"/>
  <c r="U155" i="14703"/>
  <c r="U153" i="14703"/>
  <c r="U156" i="14703"/>
  <c r="U159" i="14703"/>
  <c r="U158" i="14703"/>
  <c r="U152" i="14703"/>
  <c r="W158" i="14703"/>
  <c r="W153" i="14703"/>
  <c r="W150" i="14703"/>
  <c r="W159" i="14703"/>
  <c r="W157" i="14703"/>
  <c r="W151" i="14703"/>
  <c r="W156" i="14703"/>
  <c r="W154" i="14703"/>
  <c r="W152" i="14703"/>
  <c r="W155" i="14703"/>
  <c r="Y154" i="14703"/>
  <c r="Y156" i="14703"/>
  <c r="Y159" i="14703"/>
  <c r="Y157" i="14703"/>
  <c r="Y152" i="14703"/>
  <c r="Y153" i="14703"/>
  <c r="Y149" i="14703"/>
  <c r="Y151" i="14703"/>
  <c r="Y155" i="14703"/>
  <c r="Y158" i="14703"/>
  <c r="Y150" i="14703"/>
  <c r="Y148" i="14703"/>
  <c r="R230" i="14703"/>
  <c r="R228" i="14703"/>
  <c r="R231" i="14703"/>
  <c r="R227" i="14703"/>
  <c r="R229" i="14703"/>
  <c r="U226" i="14703"/>
  <c r="U225" i="14703"/>
  <c r="U228" i="14703"/>
  <c r="U230" i="14703"/>
  <c r="U231" i="14703"/>
  <c r="U224" i="14703"/>
  <c r="U227" i="14703"/>
  <c r="U229" i="14703"/>
  <c r="O248" i="14703"/>
  <c r="O249" i="14703"/>
  <c r="W188" i="14703"/>
  <c r="W189" i="14703"/>
  <c r="W193" i="14703"/>
  <c r="W187" i="14703"/>
  <c r="W186" i="14703"/>
  <c r="W192" i="14703"/>
  <c r="W190" i="14703"/>
  <c r="W194" i="14703"/>
  <c r="W191" i="14703"/>
  <c r="W195" i="14703"/>
  <c r="W248" i="14703"/>
  <c r="W241" i="14703"/>
  <c r="W243" i="14703"/>
  <c r="W246" i="14703"/>
  <c r="W242" i="14703"/>
  <c r="W245" i="14703"/>
  <c r="W244" i="14703"/>
  <c r="W240" i="14703"/>
  <c r="W247" i="14703"/>
  <c r="W249" i="14703"/>
  <c r="Y238" i="14703"/>
  <c r="Y248" i="14703"/>
  <c r="Y245" i="14703"/>
  <c r="Y240" i="14703"/>
  <c r="Y242" i="14703"/>
  <c r="Y249" i="14703"/>
  <c r="Y241" i="14703"/>
  <c r="Y244" i="14703"/>
  <c r="Y239" i="14703"/>
  <c r="Y246" i="14703"/>
  <c r="Y247" i="14703"/>
  <c r="Y243" i="14703"/>
  <c r="E61" i="14643"/>
  <c r="G53" i="14643" a="1"/>
  <c r="O177" i="14703"/>
  <c r="O176" i="14703"/>
  <c r="R85" i="14703"/>
  <c r="Y85" i="14703"/>
  <c r="U137" i="14703"/>
  <c r="U141" i="14703"/>
  <c r="U140" i="14703"/>
  <c r="U136" i="14703"/>
  <c r="U135" i="14703"/>
  <c r="U138" i="14703"/>
  <c r="U134" i="14703"/>
  <c r="U139" i="14703"/>
  <c r="T175" i="14703"/>
  <c r="T177" i="14703"/>
  <c r="T174" i="14703"/>
  <c r="T176" i="14703"/>
  <c r="T172" i="14703"/>
  <c r="T173" i="14703"/>
  <c r="T171" i="14703"/>
  <c r="Q247" i="14703"/>
  <c r="Q249" i="14703"/>
  <c r="Q248" i="14703"/>
  <c r="Q246" i="14703"/>
  <c r="S190" i="14703"/>
  <c r="S194" i="14703"/>
  <c r="S193" i="14703"/>
  <c r="S195" i="14703"/>
  <c r="S191" i="14703"/>
  <c r="S192" i="14703"/>
  <c r="T247" i="14703"/>
  <c r="T244" i="14703"/>
  <c r="T245" i="14703"/>
  <c r="T243" i="14703"/>
  <c r="T246" i="14703"/>
  <c r="T248" i="14703"/>
  <c r="T249" i="14703"/>
  <c r="S156" i="14703"/>
  <c r="S154" i="14703"/>
  <c r="S155" i="14703"/>
  <c r="S159" i="14703"/>
  <c r="S157" i="14703"/>
  <c r="S158" i="14703"/>
  <c r="U85" i="14703"/>
  <c r="V85" i="14703"/>
  <c r="S228" i="14703"/>
  <c r="S231" i="14703"/>
  <c r="S227" i="14703"/>
  <c r="S230" i="14703"/>
  <c r="S229" i="14703"/>
  <c r="S226" i="14703"/>
  <c r="Q230" i="14703"/>
  <c r="Q228" i="14703"/>
  <c r="Q231" i="14703"/>
  <c r="Q229" i="14703"/>
  <c r="T225" i="14703"/>
  <c r="T229" i="14703"/>
  <c r="T231" i="14703"/>
  <c r="T226" i="14703"/>
  <c r="T228" i="14703"/>
  <c r="T230" i="14703"/>
  <c r="T227" i="14703"/>
  <c r="X193" i="14703"/>
  <c r="X186" i="14703"/>
  <c r="X189" i="14703"/>
  <c r="X194" i="14703"/>
  <c r="X185" i="14703"/>
  <c r="X195" i="14703"/>
  <c r="X187" i="14703"/>
  <c r="X191" i="14703"/>
  <c r="X192" i="14703"/>
  <c r="X188" i="14703"/>
  <c r="X190" i="14703"/>
  <c r="U123" i="14703"/>
  <c r="U121" i="14703"/>
  <c r="U118" i="14703"/>
  <c r="U122" i="14703"/>
  <c r="U116" i="14703"/>
  <c r="U117" i="14703"/>
  <c r="U119" i="14703"/>
  <c r="U120" i="14703"/>
  <c r="X229" i="14703"/>
  <c r="X222" i="14703"/>
  <c r="X226" i="14703"/>
  <c r="X221" i="14703"/>
  <c r="X223" i="14703"/>
  <c r="X225" i="14703"/>
  <c r="X224" i="14703"/>
  <c r="X230" i="14703"/>
  <c r="X231" i="14703"/>
  <c r="X228" i="14703"/>
  <c r="X227" i="14703"/>
  <c r="C49" i="14683" a="1"/>
  <c r="C42" i="14683"/>
  <c r="D48" i="14643"/>
  <c r="F18" i="14648"/>
  <c r="G18" i="14648"/>
  <c r="M18" i="14648"/>
  <c r="J18" i="14648"/>
  <c r="N18" i="14648"/>
  <c r="I18" i="14648"/>
  <c r="L18" i="14648"/>
  <c r="C18" i="14648"/>
  <c r="H18" i="14648"/>
  <c r="K18" i="14648"/>
  <c r="D18" i="14648"/>
  <c r="E18" i="14648"/>
  <c r="I52" i="14695"/>
  <c r="K52" i="14695"/>
  <c r="J52" i="14695"/>
  <c r="D52" i="14695"/>
  <c r="M52" i="14695"/>
  <c r="F52" i="14695"/>
  <c r="C52" i="14695"/>
  <c r="G52" i="14695"/>
  <c r="L52" i="14695"/>
  <c r="B52" i="14695"/>
  <c r="H52" i="14695"/>
  <c r="E52" i="14695"/>
  <c r="G15" i="14648"/>
  <c r="I15" i="14648"/>
  <c r="C15" i="14648"/>
  <c r="E15" i="14648"/>
  <c r="J15" i="14648"/>
  <c r="M15" i="14648"/>
  <c r="K15" i="14648"/>
  <c r="F15" i="14648"/>
  <c r="D15" i="14648"/>
  <c r="L15" i="14648"/>
  <c r="N15" i="14648"/>
  <c r="H15" i="14648"/>
  <c r="B42" i="14683"/>
  <c r="B49" i="14683" a="1"/>
  <c r="C7" i="14617"/>
  <c r="C5" i="14617"/>
  <c r="C6" i="14617"/>
  <c r="L22" i="14617"/>
  <c r="E9" i="14696"/>
  <c r="N8" i="14667"/>
  <c r="M60" i="14648"/>
  <c r="D60" i="14648"/>
  <c r="C60" i="14648"/>
  <c r="L60" i="14648"/>
  <c r="H60" i="14648"/>
  <c r="N60" i="14648"/>
  <c r="F60" i="14648"/>
  <c r="J60" i="14648"/>
  <c r="G60" i="14648"/>
  <c r="E60" i="14648"/>
  <c r="K60" i="14648"/>
  <c r="I60" i="14648"/>
  <c r="M45" i="14695"/>
  <c r="L45" i="14695"/>
  <c r="B45" i="14695"/>
  <c r="J45" i="14695"/>
  <c r="K45" i="14695"/>
  <c r="G45" i="14695"/>
  <c r="F45" i="14695"/>
  <c r="E45" i="14695"/>
  <c r="I45" i="14695"/>
  <c r="D45" i="14695"/>
  <c r="C45" i="14695"/>
  <c r="H45" i="14695"/>
  <c r="J104" i="14703"/>
  <c r="F104" i="14703"/>
  <c r="D104" i="14703"/>
  <c r="L104" i="14703"/>
  <c r="C104" i="14703"/>
  <c r="I104" i="14703"/>
  <c r="H104" i="14703"/>
  <c r="N9" i="8"/>
  <c r="H31" i="14695"/>
  <c r="K31" i="14695"/>
  <c r="C31" i="14695"/>
  <c r="I31" i="14695"/>
  <c r="B31" i="14695"/>
  <c r="F31" i="14695"/>
  <c r="E31" i="14695"/>
  <c r="D31" i="14695"/>
  <c r="L31" i="14695"/>
  <c r="J31" i="14695"/>
  <c r="G31" i="14695"/>
  <c r="M31" i="14695"/>
  <c r="H23" i="14637"/>
  <c r="F18" i="14637"/>
  <c r="J24" i="14637"/>
  <c r="I20" i="14637"/>
  <c r="E24" i="14637"/>
  <c r="M23" i="14637"/>
  <c r="I18" i="14637"/>
  <c r="C24" i="14637"/>
  <c r="G18" i="14637"/>
  <c r="M20" i="14637"/>
  <c r="K17" i="14637"/>
  <c r="C20" i="14637"/>
  <c r="H18" i="14637"/>
  <c r="L20" i="14637"/>
  <c r="J20" i="14637"/>
  <c r="L22" i="14637"/>
  <c r="M24" i="14637"/>
  <c r="D17" i="14637"/>
  <c r="F24" i="14637"/>
  <c r="K18" i="14637"/>
  <c r="K24" i="14637"/>
  <c r="K21" i="14637"/>
  <c r="C21" i="14637"/>
  <c r="F23" i="14637"/>
  <c r="I21" i="14637"/>
  <c r="D22" i="14637"/>
  <c r="M22" i="14637"/>
  <c r="G20" i="14637"/>
  <c r="H17" i="14637"/>
  <c r="I17" i="14637"/>
  <c r="M18" i="14637"/>
  <c r="H24" i="14637"/>
  <c r="D19" i="14637"/>
  <c r="D23" i="14637"/>
  <c r="I24" i="14637"/>
  <c r="B24" i="14637"/>
  <c r="G17" i="14637"/>
  <c r="B20" i="14637"/>
  <c r="D24" i="14637"/>
  <c r="B21" i="14637"/>
  <c r="E19" i="14637"/>
  <c r="E17" i="14637"/>
  <c r="E20" i="14637"/>
  <c r="J17" i="14637"/>
  <c r="B18" i="14637"/>
  <c r="F22" i="14637"/>
  <c r="G24" i="14637"/>
  <c r="H19" i="14637"/>
  <c r="J23" i="14637"/>
  <c r="J21" i="14637"/>
  <c r="J19" i="14637"/>
  <c r="G19" i="14637"/>
  <c r="L18" i="14637"/>
  <c r="J18" i="14637"/>
  <c r="F20" i="14637"/>
  <c r="E23" i="14637"/>
  <c r="H20" i="14637"/>
  <c r="C23" i="14637"/>
  <c r="L19" i="14637"/>
  <c r="M21" i="14637"/>
  <c r="B23" i="14637"/>
  <c r="D18" i="14637"/>
  <c r="H21" i="14637"/>
  <c r="G23" i="14637"/>
  <c r="F19" i="14637"/>
  <c r="J22" i="14637"/>
  <c r="M19" i="14637"/>
  <c r="L17" i="14637"/>
  <c r="M17" i="14637"/>
  <c r="K19" i="14637"/>
  <c r="D20" i="14637"/>
  <c r="E22" i="14637"/>
  <c r="I19" i="14637"/>
  <c r="G22" i="14637"/>
  <c r="D21" i="14637"/>
  <c r="B17" i="14637"/>
  <c r="B19" i="14637"/>
  <c r="L23" i="14637"/>
  <c r="L21" i="14637"/>
  <c r="G21" i="14637"/>
  <c r="L24" i="14637"/>
  <c r="I22" i="14637"/>
  <c r="K20" i="14637"/>
  <c r="C17" i="14637"/>
  <c r="K22" i="14637"/>
  <c r="I23" i="14637"/>
  <c r="F17" i="14637"/>
  <c r="C22" i="14637"/>
  <c r="E21" i="14637"/>
  <c r="K23" i="14637"/>
  <c r="B22" i="14637"/>
  <c r="C18" i="14637"/>
  <c r="C19" i="14637"/>
  <c r="F21" i="14637"/>
  <c r="E18" i="14637"/>
  <c r="H22" i="14637"/>
  <c r="F38" i="14652"/>
  <c r="F39" i="14652"/>
  <c r="F37" i="14652"/>
  <c r="F35" i="14652"/>
  <c r="F33" i="14652"/>
  <c r="F34" i="14652"/>
  <c r="F40" i="14652"/>
  <c r="F36" i="14652"/>
  <c r="G45" i="14648"/>
  <c r="E45" i="14648"/>
  <c r="C45" i="14648"/>
  <c r="J45" i="14648"/>
  <c r="D45" i="14648"/>
  <c r="I45" i="14648"/>
  <c r="N45" i="14648"/>
  <c r="F45" i="14648"/>
  <c r="K45" i="14648"/>
  <c r="L45" i="14648"/>
  <c r="M45" i="14648"/>
  <c r="H45" i="14648"/>
  <c r="B63" i="14665"/>
  <c r="D75" i="14665" s="1"/>
  <c r="E18" i="14647" s="1"/>
  <c r="B62" i="14665"/>
  <c r="C75" i="14665" s="1"/>
  <c r="D18" i="14647" s="1"/>
  <c r="B69" i="14665"/>
  <c r="J75" i="14665" s="1"/>
  <c r="B71" i="14665"/>
  <c r="L75" i="14665" s="1"/>
  <c r="B66" i="14665"/>
  <c r="G75" i="14665" s="1"/>
  <c r="H18" i="14647" s="1"/>
  <c r="B65" i="14665"/>
  <c r="F75" i="14665" s="1"/>
  <c r="G18" i="14647" s="1"/>
  <c r="B72" i="14665"/>
  <c r="B64" i="14665"/>
  <c r="E75" i="14665" s="1"/>
  <c r="F18" i="14647" s="1"/>
  <c r="B61" i="14665"/>
  <c r="B70" i="14665"/>
  <c r="K75" i="14665" s="1"/>
  <c r="B67" i="14665"/>
  <c r="H75" i="14665" s="1"/>
  <c r="B68" i="14665"/>
  <c r="I75" i="14665" s="1"/>
  <c r="N22" i="8"/>
  <c r="B22" i="14617" s="1"/>
  <c r="D6" i="14625"/>
  <c r="G6" i="14625"/>
  <c r="M6" i="14625"/>
  <c r="I6" i="14625"/>
  <c r="F6" i="14625"/>
  <c r="C6" i="14625"/>
  <c r="K6" i="14625"/>
  <c r="N6" i="14625"/>
  <c r="L6" i="14625"/>
  <c r="E6" i="14625"/>
  <c r="J6" i="14625"/>
  <c r="H6" i="14625"/>
  <c r="I75" i="14648"/>
  <c r="C75" i="14648"/>
  <c r="F75" i="14648"/>
  <c r="D75" i="14648"/>
  <c r="L75" i="14648"/>
  <c r="K75" i="14648"/>
  <c r="J75" i="14648"/>
  <c r="G75" i="14648"/>
  <c r="E75" i="14648"/>
  <c r="M75" i="14648"/>
  <c r="N75" i="14648"/>
  <c r="H75" i="14648"/>
  <c r="C28" i="14632"/>
  <c r="B28" i="14632"/>
  <c r="B10" i="14640"/>
  <c r="S31" i="14632"/>
  <c r="D24" i="14695"/>
  <c r="M24" i="14695"/>
  <c r="B24" i="14695"/>
  <c r="I24" i="14695"/>
  <c r="G24" i="14695"/>
  <c r="C24" i="14695"/>
  <c r="E24" i="14695"/>
  <c r="H24" i="14695"/>
  <c r="K24" i="14695"/>
  <c r="F24" i="14695"/>
  <c r="J24" i="14695"/>
  <c r="L24" i="14695"/>
  <c r="L73" i="14662"/>
  <c r="M12" i="14662"/>
  <c r="E28" i="14632"/>
  <c r="F10" i="14640"/>
  <c r="F28" i="14632"/>
  <c r="N21" i="14645"/>
  <c r="B22" i="14645"/>
  <c r="O7" i="14633"/>
  <c r="I22" i="14655"/>
  <c r="O22" i="14655"/>
  <c r="J22" i="14655"/>
  <c r="K22" i="14655"/>
  <c r="G22" i="14655"/>
  <c r="H22" i="14655"/>
  <c r="E22" i="14655"/>
  <c r="L22" i="14655"/>
  <c r="P22" i="14655"/>
  <c r="M22" i="14655"/>
  <c r="N22" i="14655"/>
  <c r="F9" i="14696"/>
  <c r="O22" i="14617"/>
  <c r="G104" i="14703"/>
  <c r="K104" i="14703"/>
  <c r="N40" i="14703"/>
  <c r="E104" i="14703"/>
  <c r="M104" i="14703"/>
  <c r="G40" i="14643" a="1"/>
  <c r="E48" i="14643"/>
  <c r="L30" i="14648"/>
  <c r="F30" i="14648"/>
  <c r="M30" i="14648"/>
  <c r="H30" i="14648"/>
  <c r="J30" i="14648"/>
  <c r="C30" i="14648"/>
  <c r="D30" i="14648"/>
  <c r="I30" i="14648"/>
  <c r="G30" i="14648"/>
  <c r="E30" i="14648"/>
  <c r="N30" i="14648"/>
  <c r="K30" i="14648"/>
  <c r="H8" i="14652"/>
  <c r="H9" i="14652"/>
  <c r="H11" i="14652"/>
  <c r="H7" i="14652"/>
  <c r="H10" i="14652"/>
  <c r="H13" i="14652"/>
  <c r="H12" i="14652"/>
  <c r="H14" i="14652"/>
  <c r="D55" i="14707"/>
  <c r="D61" i="14707"/>
  <c r="D56" i="14707"/>
  <c r="D57" i="14707"/>
  <c r="D62" i="14707"/>
  <c r="D58" i="14707"/>
  <c r="D60" i="14707"/>
  <c r="D59" i="14707"/>
  <c r="J59" i="14695"/>
  <c r="H59" i="14695"/>
  <c r="K59" i="14695"/>
  <c r="I59" i="14695"/>
  <c r="E59" i="14695"/>
  <c r="L59" i="14695"/>
  <c r="G59" i="14695"/>
  <c r="B59" i="14695"/>
  <c r="D59" i="14695"/>
  <c r="C59" i="14695"/>
  <c r="M59" i="14695"/>
  <c r="F59" i="14695"/>
  <c r="D10" i="14640"/>
  <c r="D28" i="14632"/>
  <c r="D38" i="14695"/>
  <c r="I38" i="14695"/>
  <c r="B38" i="14695"/>
  <c r="C38" i="14695"/>
  <c r="H38" i="14695"/>
  <c r="F38" i="14695"/>
  <c r="K38" i="14695"/>
  <c r="M38" i="14695"/>
  <c r="G38" i="14695"/>
  <c r="E38" i="14695"/>
  <c r="J38" i="14695"/>
  <c r="L38" i="14695"/>
  <c r="I22" i="14617"/>
  <c r="D9" i="14696"/>
  <c r="F5" i="14617" l="1"/>
  <c r="B87" i="14703"/>
  <c r="B15" i="14622" s="1"/>
  <c r="B42" i="14622" s="1"/>
  <c r="C42" i="14622" s="1"/>
  <c r="F13" i="14682"/>
  <c r="B88" i="14707" a="1"/>
  <c r="N40" i="14692"/>
  <c r="C20" i="14641" a="1"/>
  <c r="N24" i="14694"/>
  <c r="C20" i="14625" a="1"/>
  <c r="N24" i="14692"/>
  <c r="C23" i="11" s="1"/>
  <c r="N63" i="14692"/>
  <c r="J38" i="14692"/>
  <c r="B38" i="14692"/>
  <c r="G38" i="14692"/>
  <c r="I38" i="14692"/>
  <c r="D38" i="14692"/>
  <c r="C38" i="14692"/>
  <c r="H38" i="14692"/>
  <c r="F38" i="14692"/>
  <c r="L38" i="14692"/>
  <c r="M38" i="14692"/>
  <c r="K38" i="14692"/>
  <c r="E38" i="14692"/>
  <c r="D23" i="14692"/>
  <c r="C23" i="14692"/>
  <c r="I23" i="14692"/>
  <c r="F23" i="14692"/>
  <c r="B23" i="14692"/>
  <c r="J23" i="14692"/>
  <c r="H23" i="14692"/>
  <c r="G23" i="14692"/>
  <c r="L23" i="14692"/>
  <c r="K23" i="14692"/>
  <c r="E23" i="14692"/>
  <c r="M23" i="14692"/>
  <c r="J30" i="14692"/>
  <c r="I30" i="14692"/>
  <c r="C30" i="14692"/>
  <c r="K30" i="14692"/>
  <c r="F30" i="14692"/>
  <c r="D30" i="14692"/>
  <c r="G30" i="14692"/>
  <c r="L30" i="14692"/>
  <c r="H30" i="14692"/>
  <c r="M30" i="14692"/>
  <c r="E30" i="14692"/>
  <c r="B30" i="14692"/>
  <c r="C45" i="14667"/>
  <c r="F54" i="14692"/>
  <c r="J54" i="14692"/>
  <c r="E54" i="14692"/>
  <c r="M54" i="14692"/>
  <c r="D54" i="14692"/>
  <c r="C54" i="14692"/>
  <c r="G54" i="14692"/>
  <c r="K54" i="14692"/>
  <c r="I54" i="14692"/>
  <c r="L54" i="14692"/>
  <c r="B54" i="14692"/>
  <c r="H54" i="14692"/>
  <c r="C20" i="14677" a="1"/>
  <c r="N56" i="14692"/>
  <c r="D33" i="14705"/>
  <c r="H34" i="14705" s="1"/>
  <c r="G34" i="14705" s="1"/>
  <c r="B82" i="14689"/>
  <c r="B86" i="14689" s="1"/>
  <c r="B48" i="14667"/>
  <c r="C44" i="14667"/>
  <c r="N55" i="14692"/>
  <c r="H62" i="14692"/>
  <c r="D62" i="14692"/>
  <c r="F62" i="14692"/>
  <c r="C62" i="14692"/>
  <c r="L62" i="14692"/>
  <c r="B62" i="14692"/>
  <c r="G62" i="14692"/>
  <c r="J62" i="14692"/>
  <c r="K62" i="14692"/>
  <c r="I62" i="14692"/>
  <c r="E62" i="14692"/>
  <c r="M62" i="14692"/>
  <c r="C20" i="14676" a="1"/>
  <c r="N48" i="14692"/>
  <c r="N32" i="14692"/>
  <c r="C20" i="14633" a="1"/>
  <c r="M46" i="14692"/>
  <c r="I46" i="14692"/>
  <c r="J46" i="14692"/>
  <c r="E46" i="14692"/>
  <c r="G46" i="14692"/>
  <c r="K46" i="14692"/>
  <c r="F46" i="14692"/>
  <c r="D46" i="14692"/>
  <c r="B46" i="14692"/>
  <c r="H46" i="14692"/>
  <c r="C46" i="14692"/>
  <c r="L46" i="14692"/>
  <c r="N39" i="14692"/>
  <c r="C32" i="14667"/>
  <c r="C41" i="14667"/>
  <c r="C30" i="14667"/>
  <c r="C27" i="14667"/>
  <c r="C34" i="14667"/>
  <c r="C28" i="14667"/>
  <c r="C42" i="14667"/>
  <c r="C40" i="14667"/>
  <c r="C43" i="14667"/>
  <c r="C29" i="14667"/>
  <c r="C39" i="14667"/>
  <c r="C35" i="14667"/>
  <c r="C26" i="14667"/>
  <c r="C38" i="14667"/>
  <c r="C37" i="14667"/>
  <c r="C33" i="14667"/>
  <c r="N47" i="14692"/>
  <c r="N31" i="14692"/>
  <c r="N63" i="14694"/>
  <c r="N56" i="14694"/>
  <c r="N48" i="14694"/>
  <c r="N40" i="14694"/>
  <c r="C11" i="14634" a="1"/>
  <c r="H11" i="14634" s="1"/>
  <c r="N32" i="14694"/>
  <c r="D35" i="4128"/>
  <c r="D11" i="14628"/>
  <c r="F11" i="14628"/>
  <c r="H11" i="14628"/>
  <c r="J11" i="14628"/>
  <c r="L11" i="14628"/>
  <c r="N11" i="14628"/>
  <c r="C11" i="14628"/>
  <c r="E11" i="14628"/>
  <c r="G11" i="14628"/>
  <c r="I11" i="14628"/>
  <c r="K11" i="14628"/>
  <c r="M11" i="14628"/>
  <c r="O11" i="14628"/>
  <c r="D7" i="14617"/>
  <c r="H22" i="14708" s="1"/>
  <c r="D23" i="4128"/>
  <c r="E27" i="14701"/>
  <c r="D22" i="14701"/>
  <c r="L22" i="14701"/>
  <c r="E25" i="14701"/>
  <c r="G25" i="14701"/>
  <c r="G20" i="14701"/>
  <c r="C23" i="14701"/>
  <c r="M21" i="14701"/>
  <c r="J24" i="14701"/>
  <c r="C26" i="14701"/>
  <c r="I20" i="14701"/>
  <c r="G21" i="14701"/>
  <c r="H21" i="14701"/>
  <c r="L24" i="14701"/>
  <c r="C27" i="14701"/>
  <c r="H27" i="14701"/>
  <c r="I21" i="14701"/>
  <c r="M25" i="14701"/>
  <c r="M23" i="14701"/>
  <c r="C24" i="14701"/>
  <c r="E22" i="14701"/>
  <c r="B22" i="14701"/>
  <c r="F24" i="14701"/>
  <c r="M22" i="14701"/>
  <c r="D25" i="14701"/>
  <c r="J23" i="14701"/>
  <c r="D27" i="14701"/>
  <c r="F26" i="14701"/>
  <c r="L26" i="14701"/>
  <c r="K25" i="14701"/>
  <c r="F21" i="14701"/>
  <c r="G23" i="14701"/>
  <c r="B21" i="14701"/>
  <c r="B24" i="14701"/>
  <c r="J27" i="14701"/>
  <c r="I27" i="14701"/>
  <c r="L27" i="14701"/>
  <c r="I26" i="14701"/>
  <c r="M20" i="14701"/>
  <c r="H20" i="14701"/>
  <c r="E23" i="14701"/>
  <c r="D26" i="14701"/>
  <c r="I24" i="14701"/>
  <c r="I23" i="14701"/>
  <c r="B25" i="14701"/>
  <c r="K24" i="14701"/>
  <c r="L21" i="14701"/>
  <c r="H26" i="14701"/>
  <c r="F23" i="14701"/>
  <c r="G24" i="14701"/>
  <c r="E26" i="14701"/>
  <c r="E24" i="14701"/>
  <c r="K21" i="14701"/>
  <c r="K27" i="14701"/>
  <c r="C22" i="14701"/>
  <c r="J21" i="14701"/>
  <c r="D23" i="14701"/>
  <c r="K26" i="14701"/>
  <c r="K20" i="14701"/>
  <c r="I22" i="14701"/>
  <c r="K23" i="14701"/>
  <c r="J25" i="14701"/>
  <c r="F22" i="14701"/>
  <c r="D24" i="14701"/>
  <c r="L23" i="14701"/>
  <c r="F25" i="14701"/>
  <c r="M26" i="14701"/>
  <c r="E20" i="14701"/>
  <c r="M27" i="14701"/>
  <c r="L20" i="14701"/>
  <c r="F27" i="14701"/>
  <c r="B23" i="14701"/>
  <c r="C20" i="14701"/>
  <c r="B26" i="14701"/>
  <c r="J22" i="14701"/>
  <c r="C25" i="14701"/>
  <c r="K22" i="14701"/>
  <c r="H23" i="14701"/>
  <c r="G22" i="14701"/>
  <c r="B27" i="14701"/>
  <c r="M24" i="14701"/>
  <c r="G26" i="14701"/>
  <c r="H22" i="14701"/>
  <c r="G27" i="14701"/>
  <c r="L25" i="14701"/>
  <c r="C21" i="14701"/>
  <c r="H25" i="14701"/>
  <c r="D20" i="14701"/>
  <c r="D21" i="14701"/>
  <c r="F20" i="14701"/>
  <c r="H24" i="14701"/>
  <c r="J26" i="14701"/>
  <c r="J20" i="14701"/>
  <c r="I25" i="14701"/>
  <c r="B20" i="14701"/>
  <c r="E21" i="14701"/>
  <c r="M15" i="14617"/>
  <c r="O15" i="14617" s="1"/>
  <c r="I12" i="14707"/>
  <c r="I15" i="14707"/>
  <c r="I14" i="14707"/>
  <c r="I17" i="14707"/>
  <c r="I11" i="14707"/>
  <c r="I16" i="14707"/>
  <c r="I18" i="14707"/>
  <c r="I13" i="14707"/>
  <c r="M148" i="14700" a="1"/>
  <c r="C158" i="14700" a="1"/>
  <c r="K150" i="14700" a="1"/>
  <c r="H153" i="14700" a="1"/>
  <c r="B159" i="14700" a="1"/>
  <c r="F155" i="14700" a="1"/>
  <c r="N22" i="14700"/>
  <c r="J151" i="14700" a="1"/>
  <c r="L149" i="14700" a="1"/>
  <c r="I152" i="14700" a="1"/>
  <c r="D157" i="14700" a="1"/>
  <c r="E156" i="14700" a="1"/>
  <c r="N147" i="14700" a="1"/>
  <c r="G154" i="14700" a="1"/>
  <c r="H80" i="14700" a="1"/>
  <c r="H80" i="14700" s="1"/>
  <c r="J78" i="14700" a="1"/>
  <c r="J78" i="14700" s="1"/>
  <c r="D84" i="14700" a="1"/>
  <c r="D84" i="14700" s="1"/>
  <c r="L76" i="14700" a="1"/>
  <c r="L76" i="14700" s="1"/>
  <c r="K77" i="14700" a="1"/>
  <c r="K77" i="14700" s="1"/>
  <c r="M75" i="14700" a="1"/>
  <c r="M75" i="14700" s="1"/>
  <c r="N74" i="14700" a="1"/>
  <c r="N74" i="14700" s="1"/>
  <c r="O73" i="14700" a="1"/>
  <c r="O73" i="14700" s="1"/>
  <c r="E83" i="14700" a="1"/>
  <c r="E83" i="14700" s="1"/>
  <c r="F82" i="14700" a="1"/>
  <c r="F82" i="14700" s="1"/>
  <c r="P72" i="14700" a="1"/>
  <c r="P72" i="14700" s="1"/>
  <c r="D28" i="14700"/>
  <c r="I79" i="14700" a="1"/>
  <c r="I79" i="14700" s="1"/>
  <c r="G81" i="14700" a="1"/>
  <c r="G81" i="14700" s="1"/>
  <c r="B28" i="14700"/>
  <c r="K75" i="14700" a="1"/>
  <c r="K75" i="14700" s="1"/>
  <c r="L113" i="14700" a="1"/>
  <c r="I116" i="14700" a="1"/>
  <c r="C83" i="14700" a="1"/>
  <c r="C83" i="14700" s="1"/>
  <c r="K114" i="14700" a="1"/>
  <c r="E120" i="14700" a="1"/>
  <c r="J76" i="14700" a="1"/>
  <c r="J76" i="14700" s="1"/>
  <c r="B123" i="14700" a="1"/>
  <c r="B84" i="14700" a="1"/>
  <c r="B84" i="14700" s="1"/>
  <c r="H117" i="14700" a="1"/>
  <c r="H78" i="14700" a="1"/>
  <c r="H78" i="14700" s="1"/>
  <c r="N20" i="14700"/>
  <c r="I77" i="14700" a="1"/>
  <c r="I77" i="14700" s="1"/>
  <c r="N72" i="14700" a="1"/>
  <c r="N72" i="14700" s="1"/>
  <c r="D82" i="14700" a="1"/>
  <c r="D82" i="14700" s="1"/>
  <c r="N111" i="14700" a="1"/>
  <c r="B32" i="14700" a="1"/>
  <c r="J115" i="14700" a="1"/>
  <c r="E81" i="14700" a="1"/>
  <c r="E81" i="14700" s="1"/>
  <c r="G79" i="14700" a="1"/>
  <c r="G79" i="14700" s="1"/>
  <c r="F119" i="14700" a="1"/>
  <c r="D121" i="14700" a="1"/>
  <c r="M73" i="14700" a="1"/>
  <c r="M73" i="14700" s="1"/>
  <c r="M112" i="14700" a="1"/>
  <c r="L74" i="14700" a="1"/>
  <c r="L74" i="14700" s="1"/>
  <c r="F80" i="14700" a="1"/>
  <c r="F80" i="14700" s="1"/>
  <c r="G118" i="14700" a="1"/>
  <c r="C122" i="14700" a="1"/>
  <c r="J84" i="14700" a="1"/>
  <c r="J84" i="14700" s="1"/>
  <c r="S75" i="14700" a="1"/>
  <c r="S75" i="14700" s="1"/>
  <c r="P78" i="14700" a="1"/>
  <c r="P78" i="14700" s="1"/>
  <c r="Q77" i="14700" a="1"/>
  <c r="Q77" i="14700" s="1"/>
  <c r="L82" i="14700" a="1"/>
  <c r="L82" i="14700" s="1"/>
  <c r="U73" i="14700" a="1"/>
  <c r="U73" i="14700" s="1"/>
  <c r="K83" i="14700" a="1"/>
  <c r="K83" i="14700" s="1"/>
  <c r="R76" i="14700" a="1"/>
  <c r="R76" i="14700" s="1"/>
  <c r="O79" i="14700" a="1"/>
  <c r="O79" i="14700" s="1"/>
  <c r="V72" i="14700" a="1"/>
  <c r="V72" i="14700" s="1"/>
  <c r="J28" i="14700"/>
  <c r="T74" i="14700" a="1"/>
  <c r="T74" i="14700" s="1"/>
  <c r="N80" i="14700" a="1"/>
  <c r="N80" i="14700" s="1"/>
  <c r="M81" i="14700" a="1"/>
  <c r="M81" i="14700" s="1"/>
  <c r="Q79" i="14700" a="1"/>
  <c r="Q79" i="14700" s="1"/>
  <c r="O81" i="14700" a="1"/>
  <c r="O81" i="14700" s="1"/>
  <c r="U75" i="14700" a="1"/>
  <c r="U75" i="14700" s="1"/>
  <c r="V74" i="14700" a="1"/>
  <c r="V74" i="14700" s="1"/>
  <c r="L84" i="14700" a="1"/>
  <c r="L84" i="14700" s="1"/>
  <c r="R78" i="14700" a="1"/>
  <c r="R78" i="14700" s="1"/>
  <c r="L28" i="14700"/>
  <c r="S77" i="14700" a="1"/>
  <c r="S77" i="14700" s="1"/>
  <c r="X72" i="14700" a="1"/>
  <c r="X72" i="14700" s="1"/>
  <c r="T76" i="14700" a="1"/>
  <c r="T76" i="14700" s="1"/>
  <c r="W73" i="14700" a="1"/>
  <c r="W73" i="14700" s="1"/>
  <c r="N82" i="14700" a="1"/>
  <c r="N82" i="14700" s="1"/>
  <c r="P80" i="14700" a="1"/>
  <c r="P80" i="14700" s="1"/>
  <c r="M83" i="14700" a="1"/>
  <c r="M83" i="14700" s="1"/>
  <c r="N183" i="14700" a="1"/>
  <c r="D193" i="14700" a="1"/>
  <c r="K186" i="14700" a="1"/>
  <c r="C194" i="14700" a="1"/>
  <c r="N24" i="14700"/>
  <c r="L185" i="14700" a="1"/>
  <c r="B195" i="14700" a="1"/>
  <c r="M184" i="14700" a="1"/>
  <c r="G190" i="14700" a="1"/>
  <c r="E192" i="14700" a="1"/>
  <c r="I188" i="14700" a="1"/>
  <c r="H189" i="14700" a="1"/>
  <c r="F191" i="14700" a="1"/>
  <c r="J187" i="14700" a="1"/>
  <c r="O76" i="14700" a="1"/>
  <c r="O76" i="14700" s="1"/>
  <c r="R73" i="14700" a="1"/>
  <c r="R73" i="14700" s="1"/>
  <c r="G84" i="14700" a="1"/>
  <c r="G84" i="14700" s="1"/>
  <c r="M78" i="14700" a="1"/>
  <c r="M78" i="14700" s="1"/>
  <c r="S72" i="14700" a="1"/>
  <c r="S72" i="14700" s="1"/>
  <c r="I82" i="14700" a="1"/>
  <c r="I82" i="14700" s="1"/>
  <c r="G28" i="14700"/>
  <c r="K80" i="14700" a="1"/>
  <c r="K80" i="14700" s="1"/>
  <c r="J81" i="14700" a="1"/>
  <c r="J81" i="14700" s="1"/>
  <c r="L79" i="14700" a="1"/>
  <c r="L79" i="14700" s="1"/>
  <c r="H83" i="14700" a="1"/>
  <c r="H83" i="14700" s="1"/>
  <c r="Q74" i="14700" a="1"/>
  <c r="Q74" i="14700" s="1"/>
  <c r="N77" i="14700" a="1"/>
  <c r="N77" i="14700" s="1"/>
  <c r="P75" i="14700" a="1"/>
  <c r="P75" i="14700" s="1"/>
  <c r="L239" i="14700" a="1"/>
  <c r="G244" i="14700" a="1"/>
  <c r="C248" i="14700" a="1"/>
  <c r="E246" i="14700" a="1"/>
  <c r="N27" i="14700"/>
  <c r="B249" i="14700" a="1"/>
  <c r="N237" i="14700" a="1"/>
  <c r="D247" i="14700" a="1"/>
  <c r="H243" i="14700" a="1"/>
  <c r="K240" i="14700" a="1"/>
  <c r="J241" i="14700" a="1"/>
  <c r="M238" i="14700" a="1"/>
  <c r="F245" i="14700" a="1"/>
  <c r="I242" i="14700" a="1"/>
  <c r="J133" i="14700" a="1"/>
  <c r="N129" i="14700" a="1"/>
  <c r="M130" i="14700" a="1"/>
  <c r="B141" i="14700" a="1"/>
  <c r="C140" i="14700" a="1"/>
  <c r="K132" i="14700" a="1"/>
  <c r="D139" i="14700" a="1"/>
  <c r="N21" i="14700"/>
  <c r="H135" i="14700" a="1"/>
  <c r="G136" i="14700" a="1"/>
  <c r="I134" i="14700" a="1"/>
  <c r="L131" i="14700" a="1"/>
  <c r="E138" i="14700" a="1"/>
  <c r="F137" i="14700" a="1"/>
  <c r="F12" i="14707"/>
  <c r="F17" i="14707"/>
  <c r="F11" i="14707"/>
  <c r="F13" i="14707"/>
  <c r="F18" i="14707"/>
  <c r="F16" i="14707"/>
  <c r="F15" i="14707"/>
  <c r="F14" i="14707"/>
  <c r="F21" i="14682"/>
  <c r="F22" i="14682"/>
  <c r="H11" i="14707" a="1"/>
  <c r="N10" i="14702"/>
  <c r="N9" i="14702"/>
  <c r="N8" i="14702"/>
  <c r="B20" i="14702" a="1"/>
  <c r="N11" i="14702"/>
  <c r="M25" i="14704"/>
  <c r="K23" i="14704"/>
  <c r="B25" i="14704"/>
  <c r="G23" i="14704"/>
  <c r="G22" i="14704"/>
  <c r="D25" i="14704"/>
  <c r="J24" i="14704"/>
  <c r="B27" i="14704"/>
  <c r="E25" i="14704"/>
  <c r="H24" i="14704"/>
  <c r="C27" i="14704"/>
  <c r="H25" i="14704"/>
  <c r="K26" i="14704"/>
  <c r="J22" i="14704"/>
  <c r="M22" i="14704"/>
  <c r="D20" i="14704"/>
  <c r="B26" i="14704"/>
  <c r="D21" i="14704"/>
  <c r="L22" i="14704"/>
  <c r="B24" i="14704"/>
  <c r="E23" i="14704"/>
  <c r="H21" i="14704"/>
  <c r="I23" i="14704"/>
  <c r="L26" i="14704"/>
  <c r="M27" i="14704"/>
  <c r="H20" i="14704"/>
  <c r="I25" i="14704"/>
  <c r="I24" i="14704"/>
  <c r="C21" i="14704"/>
  <c r="L27" i="14704"/>
  <c r="E26" i="14704"/>
  <c r="F25" i="14704"/>
  <c r="D22" i="14704"/>
  <c r="H23" i="14704"/>
  <c r="M23" i="14704"/>
  <c r="K20" i="14704"/>
  <c r="C23" i="14704"/>
  <c r="L25" i="14704"/>
  <c r="I20" i="14704"/>
  <c r="M26" i="14704"/>
  <c r="E24" i="14704"/>
  <c r="E27" i="14704"/>
  <c r="C20" i="14704"/>
  <c r="D23" i="14704"/>
  <c r="G20" i="14704"/>
  <c r="F24" i="14704"/>
  <c r="H26" i="14704"/>
  <c r="M21" i="14704"/>
  <c r="K22" i="14704"/>
  <c r="I21" i="14704"/>
  <c r="B21" i="14704"/>
  <c r="F23" i="14704"/>
  <c r="L23" i="14704"/>
  <c r="I27" i="14704"/>
  <c r="K27" i="14704"/>
  <c r="J27" i="14704"/>
  <c r="F27" i="14704"/>
  <c r="D26" i="14704"/>
  <c r="F22" i="14704"/>
  <c r="B23" i="14704"/>
  <c r="K21" i="14704"/>
  <c r="C25" i="14704"/>
  <c r="K25" i="14704"/>
  <c r="C24" i="14704"/>
  <c r="L20" i="14704"/>
  <c r="L21" i="14704"/>
  <c r="J21" i="14704"/>
  <c r="F26" i="14704"/>
  <c r="L24" i="14704"/>
  <c r="F21" i="14704"/>
  <c r="E22" i="14704"/>
  <c r="H27" i="14704"/>
  <c r="H22" i="14704"/>
  <c r="I26" i="14704"/>
  <c r="J25" i="14704"/>
  <c r="E20" i="14704"/>
  <c r="G21" i="14704"/>
  <c r="J26" i="14704"/>
  <c r="K24" i="14704"/>
  <c r="G26" i="14704"/>
  <c r="M24" i="14704"/>
  <c r="G24" i="14704"/>
  <c r="G25" i="14704"/>
  <c r="I22" i="14704"/>
  <c r="C26" i="14704"/>
  <c r="D27" i="14704"/>
  <c r="D24" i="14704"/>
  <c r="G27" i="14704"/>
  <c r="B22" i="14704"/>
  <c r="J23" i="14704"/>
  <c r="M20" i="14704"/>
  <c r="J20" i="14704"/>
  <c r="B20" i="14704"/>
  <c r="F20" i="14704"/>
  <c r="E21" i="14704"/>
  <c r="C22" i="14704"/>
  <c r="H6" i="14683" a="1"/>
  <c r="I9" i="14683"/>
  <c r="I6" i="14683"/>
  <c r="I10" i="14683"/>
  <c r="I12" i="14683"/>
  <c r="I7" i="14683"/>
  <c r="I11" i="14683"/>
  <c r="I8" i="14683"/>
  <c r="I13" i="14683"/>
  <c r="O80" i="14700" a="1"/>
  <c r="O80" i="14700" s="1"/>
  <c r="K84" i="14700" a="1"/>
  <c r="K84" i="14700" s="1"/>
  <c r="S76" i="14700" a="1"/>
  <c r="S76" i="14700" s="1"/>
  <c r="N81" i="14700" a="1"/>
  <c r="N81" i="14700" s="1"/>
  <c r="W72" i="14700" a="1"/>
  <c r="W72" i="14700" s="1"/>
  <c r="P79" i="14700" a="1"/>
  <c r="P79" i="14700" s="1"/>
  <c r="R77" i="14700" a="1"/>
  <c r="R77" i="14700" s="1"/>
  <c r="L83" i="14700" a="1"/>
  <c r="L83" i="14700" s="1"/>
  <c r="V73" i="14700" a="1"/>
  <c r="V73" i="14700" s="1"/>
  <c r="Q78" i="14700" a="1"/>
  <c r="Q78" i="14700" s="1"/>
  <c r="U74" i="14700" a="1"/>
  <c r="U74" i="14700" s="1"/>
  <c r="T75" i="14700" a="1"/>
  <c r="T75" i="14700" s="1"/>
  <c r="M82" i="14700" a="1"/>
  <c r="M82" i="14700" s="1"/>
  <c r="K28" i="14700"/>
  <c r="V75" i="14700" a="1"/>
  <c r="V75" i="14700" s="1"/>
  <c r="R79" i="14700" a="1"/>
  <c r="R79" i="14700" s="1"/>
  <c r="X73" i="14700" a="1"/>
  <c r="X73" i="14700" s="1"/>
  <c r="T77" i="14700" a="1"/>
  <c r="T77" i="14700" s="1"/>
  <c r="S78" i="14700" a="1"/>
  <c r="S78" i="14700" s="1"/>
  <c r="M84" i="14700" a="1"/>
  <c r="M84" i="14700" s="1"/>
  <c r="Y72" i="14700" a="1"/>
  <c r="Y72" i="14700" s="1"/>
  <c r="M28" i="14700"/>
  <c r="Q80" i="14700" a="1"/>
  <c r="Q80" i="14700" s="1"/>
  <c r="O82" i="14700" a="1"/>
  <c r="O82" i="14700" s="1"/>
  <c r="U76" i="14700" a="1"/>
  <c r="U76" i="14700" s="1"/>
  <c r="P81" i="14700" a="1"/>
  <c r="P81" i="14700" s="1"/>
  <c r="W74" i="14700" a="1"/>
  <c r="W74" i="14700" s="1"/>
  <c r="N83" i="14700" a="1"/>
  <c r="N83" i="14700" s="1"/>
  <c r="F173" i="14700" a="1"/>
  <c r="M166" i="14700" a="1"/>
  <c r="B177" i="14700" a="1"/>
  <c r="D175" i="14700" a="1"/>
  <c r="K168" i="14700" a="1"/>
  <c r="N23" i="14700"/>
  <c r="H171" i="14700" a="1"/>
  <c r="E174" i="14700" a="1"/>
  <c r="N165" i="14700" a="1"/>
  <c r="J169" i="14700" a="1"/>
  <c r="G172" i="14700" a="1"/>
  <c r="L167" i="14700" a="1"/>
  <c r="C176" i="14700" a="1"/>
  <c r="I170" i="14700" a="1"/>
  <c r="N78" i="14700" a="1"/>
  <c r="N78" i="14700" s="1"/>
  <c r="H84" i="14700" a="1"/>
  <c r="H84" i="14700" s="1"/>
  <c r="I83" i="14700" a="1"/>
  <c r="I83" i="14700" s="1"/>
  <c r="P76" i="14700" a="1"/>
  <c r="P76" i="14700" s="1"/>
  <c r="O77" i="14700" a="1"/>
  <c r="O77" i="14700" s="1"/>
  <c r="S73" i="14700" a="1"/>
  <c r="S73" i="14700" s="1"/>
  <c r="H28" i="14700"/>
  <c r="L80" i="14700" a="1"/>
  <c r="L80" i="14700" s="1"/>
  <c r="R74" i="14700" a="1"/>
  <c r="R74" i="14700" s="1"/>
  <c r="K81" i="14700" a="1"/>
  <c r="K81" i="14700" s="1"/>
  <c r="M79" i="14700" a="1"/>
  <c r="M79" i="14700" s="1"/>
  <c r="T72" i="14700" a="1"/>
  <c r="T72" i="14700" s="1"/>
  <c r="Q75" i="14700" a="1"/>
  <c r="Q75" i="14700" s="1"/>
  <c r="J82" i="14700" a="1"/>
  <c r="J82" i="14700" s="1"/>
  <c r="L81" i="14700" a="1"/>
  <c r="L81" i="14700" s="1"/>
  <c r="R75" i="14700" a="1"/>
  <c r="R75" i="14700" s="1"/>
  <c r="M80" i="14700" a="1"/>
  <c r="M80" i="14700" s="1"/>
  <c r="J83" i="14700" a="1"/>
  <c r="J83" i="14700" s="1"/>
  <c r="T73" i="14700" a="1"/>
  <c r="T73" i="14700" s="1"/>
  <c r="Q76" i="14700" a="1"/>
  <c r="Q76" i="14700" s="1"/>
  <c r="I28" i="14700"/>
  <c r="N79" i="14700" a="1"/>
  <c r="N79" i="14700" s="1"/>
  <c r="I84" i="14700" a="1"/>
  <c r="I84" i="14700" s="1"/>
  <c r="S74" i="14700" a="1"/>
  <c r="S74" i="14700" s="1"/>
  <c r="K82" i="14700" a="1"/>
  <c r="K82" i="14700" s="1"/>
  <c r="P77" i="14700" a="1"/>
  <c r="P77" i="14700" s="1"/>
  <c r="U72" i="14700" a="1"/>
  <c r="U72" i="14700" s="1"/>
  <c r="O78" i="14700" a="1"/>
  <c r="O78" i="14700" s="1"/>
  <c r="K76" i="14700" a="1"/>
  <c r="K76" i="14700" s="1"/>
  <c r="O72" i="14700" a="1"/>
  <c r="O72" i="14700" s="1"/>
  <c r="N73" i="14700" a="1"/>
  <c r="N73" i="14700" s="1"/>
  <c r="E82" i="14700" a="1"/>
  <c r="E82" i="14700" s="1"/>
  <c r="C28" i="14700"/>
  <c r="F81" i="14700" a="1"/>
  <c r="F81" i="14700" s="1"/>
  <c r="D83" i="14700" a="1"/>
  <c r="D83" i="14700" s="1"/>
  <c r="I78" i="14700" a="1"/>
  <c r="I78" i="14700" s="1"/>
  <c r="G80" i="14700" a="1"/>
  <c r="G80" i="14700" s="1"/>
  <c r="C84" i="14700" a="1"/>
  <c r="C84" i="14700" s="1"/>
  <c r="L75" i="14700" a="1"/>
  <c r="L75" i="14700" s="1"/>
  <c r="M74" i="14700" a="1"/>
  <c r="M74" i="14700" s="1"/>
  <c r="J77" i="14700" a="1"/>
  <c r="J77" i="14700" s="1"/>
  <c r="H79" i="14700" a="1"/>
  <c r="H79" i="14700" s="1"/>
  <c r="M77" i="14700" a="1"/>
  <c r="M77" i="14700" s="1"/>
  <c r="N76" i="14700" a="1"/>
  <c r="N76" i="14700" s="1"/>
  <c r="J80" i="14700" a="1"/>
  <c r="J80" i="14700" s="1"/>
  <c r="P74" i="14700" a="1"/>
  <c r="P74" i="14700" s="1"/>
  <c r="I81" i="14700" a="1"/>
  <c r="I81" i="14700" s="1"/>
  <c r="H82" i="14700" a="1"/>
  <c r="H82" i="14700" s="1"/>
  <c r="G83" i="14700" a="1"/>
  <c r="G83" i="14700" s="1"/>
  <c r="L78" i="14700" a="1"/>
  <c r="L78" i="14700" s="1"/>
  <c r="Q73" i="14700" a="1"/>
  <c r="Q73" i="14700" s="1"/>
  <c r="F28" i="14700"/>
  <c r="K79" i="14700" a="1"/>
  <c r="K79" i="14700" s="1"/>
  <c r="F84" i="14700" a="1"/>
  <c r="F84" i="14700" s="1"/>
  <c r="R72" i="14700" a="1"/>
  <c r="R72" i="14700" s="1"/>
  <c r="O75" i="14700" a="1"/>
  <c r="O75" i="14700" s="1"/>
  <c r="E84" i="14700" a="1"/>
  <c r="E84" i="14700" s="1"/>
  <c r="I80" i="14700" a="1"/>
  <c r="I80" i="14700" s="1"/>
  <c r="J79" i="14700" a="1"/>
  <c r="J79" i="14700" s="1"/>
  <c r="K78" i="14700" a="1"/>
  <c r="K78" i="14700" s="1"/>
  <c r="O74" i="14700" a="1"/>
  <c r="O74" i="14700" s="1"/>
  <c r="H81" i="14700" a="1"/>
  <c r="H81" i="14700" s="1"/>
  <c r="L77" i="14700" a="1"/>
  <c r="L77" i="14700" s="1"/>
  <c r="N75" i="14700" a="1"/>
  <c r="N75" i="14700" s="1"/>
  <c r="G82" i="14700" a="1"/>
  <c r="G82" i="14700" s="1"/>
  <c r="P73" i="14700" a="1"/>
  <c r="P73" i="14700" s="1"/>
  <c r="M76" i="14700" a="1"/>
  <c r="M76" i="14700" s="1"/>
  <c r="F83" i="14700" a="1"/>
  <c r="F83" i="14700" s="1"/>
  <c r="E28" i="14700"/>
  <c r="Q72" i="14700" a="1"/>
  <c r="Q72" i="14700" s="1"/>
  <c r="N26" i="14700"/>
  <c r="B231" i="14700" a="1"/>
  <c r="D229" i="14700" a="1"/>
  <c r="M220" i="14700" a="1"/>
  <c r="I224" i="14700" a="1"/>
  <c r="K222" i="14700" a="1"/>
  <c r="J223" i="14700" a="1"/>
  <c r="E228" i="14700" a="1"/>
  <c r="L221" i="14700" a="1"/>
  <c r="G226" i="14700" a="1"/>
  <c r="H225" i="14700" a="1"/>
  <c r="F227" i="14700" a="1"/>
  <c r="C230" i="14700" a="1"/>
  <c r="N219" i="14700" a="1"/>
  <c r="H207" i="14700" a="1"/>
  <c r="L203" i="14700" a="1"/>
  <c r="G208" i="14700" a="1"/>
  <c r="F209" i="14700" a="1"/>
  <c r="E210" i="14700" a="1"/>
  <c r="N201" i="14700" a="1"/>
  <c r="C212" i="14700" a="1"/>
  <c r="I206" i="14700" a="1"/>
  <c r="D211" i="14700" a="1"/>
  <c r="J205" i="14700" a="1"/>
  <c r="K204" i="14700" a="1"/>
  <c r="B213" i="14700" a="1"/>
  <c r="N25" i="14700"/>
  <c r="M202" i="14700" a="1"/>
  <c r="N13" i="14702"/>
  <c r="N15" i="14702"/>
  <c r="N12" i="14702"/>
  <c r="N14" i="14702"/>
  <c r="F7" i="14683"/>
  <c r="F9" i="14683"/>
  <c r="F6" i="14683"/>
  <c r="F10" i="14683"/>
  <c r="F11" i="14683"/>
  <c r="F13" i="14683"/>
  <c r="F8" i="14683"/>
  <c r="F12" i="14683"/>
  <c r="D34" i="14683" a="1"/>
  <c r="D35" i="14683" s="1"/>
  <c r="F3" i="14667"/>
  <c r="H3" i="14667"/>
  <c r="R101" i="14703"/>
  <c r="R100" i="14703"/>
  <c r="T196" i="14703"/>
  <c r="X124" i="14703"/>
  <c r="Y101" i="14703"/>
  <c r="Y102" i="14703"/>
  <c r="Y96" i="14703"/>
  <c r="Y103" i="14703"/>
  <c r="Y99" i="14703"/>
  <c r="Y95" i="14703"/>
  <c r="R102" i="14703"/>
  <c r="R103" i="14703"/>
  <c r="P124" i="14703"/>
  <c r="U100" i="14703"/>
  <c r="U99" i="14703"/>
  <c r="U101" i="14703"/>
  <c r="U97" i="14703"/>
  <c r="U96" i="14703"/>
  <c r="U98" i="14703"/>
  <c r="U102" i="14703"/>
  <c r="U103" i="14703"/>
  <c r="Y98" i="14703"/>
  <c r="Y94" i="14703"/>
  <c r="Y97" i="14703"/>
  <c r="Y100" i="14703"/>
  <c r="Y92" i="14703"/>
  <c r="P250" i="14703"/>
  <c r="T142" i="14703"/>
  <c r="T124" i="14703"/>
  <c r="S124" i="14703"/>
  <c r="S178" i="14703"/>
  <c r="Q124" i="14703"/>
  <c r="V214" i="14703"/>
  <c r="Y142" i="14703"/>
  <c r="V160" i="14703"/>
  <c r="S214" i="14703"/>
  <c r="V178" i="14703"/>
  <c r="Q214" i="14703"/>
  <c r="P214" i="14703"/>
  <c r="S232" i="14703"/>
  <c r="O178" i="14703"/>
  <c r="O103" i="14703"/>
  <c r="O102" i="14703"/>
  <c r="R142" i="14703"/>
  <c r="S102" i="14703"/>
  <c r="S98" i="14703"/>
  <c r="S103" i="14703"/>
  <c r="S99" i="14703"/>
  <c r="S101" i="14703"/>
  <c r="S100" i="14703"/>
  <c r="P103" i="14703"/>
  <c r="P101" i="14703"/>
  <c r="P102" i="14703"/>
  <c r="X93" i="14703"/>
  <c r="X99" i="14703"/>
  <c r="X96" i="14703"/>
  <c r="X100" i="14703"/>
  <c r="X103" i="14703"/>
  <c r="X95" i="14703"/>
  <c r="X94" i="14703"/>
  <c r="X101" i="14703"/>
  <c r="X98" i="14703"/>
  <c r="X102" i="14703"/>
  <c r="X97" i="14703"/>
  <c r="T103" i="14703"/>
  <c r="T100" i="14703"/>
  <c r="T97" i="14703"/>
  <c r="T98" i="14703"/>
  <c r="T102" i="14703"/>
  <c r="T99" i="14703"/>
  <c r="T101" i="14703"/>
  <c r="V101" i="14703"/>
  <c r="V97" i="14703"/>
  <c r="V96" i="14703"/>
  <c r="V98" i="14703"/>
  <c r="V99" i="14703"/>
  <c r="V102" i="14703"/>
  <c r="V103" i="14703"/>
  <c r="V100" i="14703"/>
  <c r="V95" i="14703"/>
  <c r="R214" i="14703"/>
  <c r="W124" i="14703"/>
  <c r="R160" i="14703"/>
  <c r="Q160" i="14703"/>
  <c r="Q196" i="14703"/>
  <c r="U178" i="14703"/>
  <c r="P196" i="14703"/>
  <c r="O196" i="14703"/>
  <c r="O142" i="14703"/>
  <c r="S142" i="14703"/>
  <c r="R124" i="14703"/>
  <c r="O160" i="14703"/>
  <c r="U214" i="14703"/>
  <c r="T214" i="14703"/>
  <c r="O124" i="14703"/>
  <c r="Q103" i="14703"/>
  <c r="Q102" i="14703"/>
  <c r="Q101" i="14703"/>
  <c r="Q100" i="14703"/>
  <c r="Q142" i="14703"/>
  <c r="B106" i="14698"/>
  <c r="W94" i="14703"/>
  <c r="W101" i="14703"/>
  <c r="W96" i="14703"/>
  <c r="W99" i="14703"/>
  <c r="W102" i="14703"/>
  <c r="W97" i="14703"/>
  <c r="W95" i="14703"/>
  <c r="W100" i="14703"/>
  <c r="W103" i="14703"/>
  <c r="W98" i="14703"/>
  <c r="C51" i="14683"/>
  <c r="C55" i="14683"/>
  <c r="C49" i="14683"/>
  <c r="C50" i="14683"/>
  <c r="C53" i="14683"/>
  <c r="C52" i="14683"/>
  <c r="C56" i="14683"/>
  <c r="C54" i="14683"/>
  <c r="X232" i="14703"/>
  <c r="X196" i="14703"/>
  <c r="Q232" i="14703"/>
  <c r="S160" i="14703"/>
  <c r="S196" i="14703"/>
  <c r="G58" i="14643"/>
  <c r="G60" i="14643"/>
  <c r="G57" i="14643"/>
  <c r="G59" i="14643"/>
  <c r="G56" i="14643"/>
  <c r="G53" i="14643"/>
  <c r="G55" i="14643"/>
  <c r="G54" i="14643"/>
  <c r="W250" i="14703"/>
  <c r="U232" i="14703"/>
  <c r="W160" i="14703"/>
  <c r="Q178" i="14703"/>
  <c r="R178" i="14703"/>
  <c r="X142" i="14703"/>
  <c r="X214" i="14703"/>
  <c r="Y178" i="14703"/>
  <c r="R196" i="14703"/>
  <c r="Y196" i="14703"/>
  <c r="P178" i="14703"/>
  <c r="V232" i="14703"/>
  <c r="W232" i="14703"/>
  <c r="T160" i="14703"/>
  <c r="R250" i="14703"/>
  <c r="W214" i="14703"/>
  <c r="U124" i="14703"/>
  <c r="T232" i="14703"/>
  <c r="T250" i="14703"/>
  <c r="Q250" i="14703"/>
  <c r="T178" i="14703"/>
  <c r="U142" i="14703"/>
  <c r="F56" i="14643"/>
  <c r="F58" i="14643"/>
  <c r="F57" i="14643"/>
  <c r="F53" i="14643"/>
  <c r="F59" i="14643"/>
  <c r="F54" i="14643"/>
  <c r="F55" i="14643"/>
  <c r="F60" i="14643"/>
  <c r="G61" i="14643"/>
  <c r="Y250" i="14703"/>
  <c r="W196" i="14703"/>
  <c r="O250" i="14703"/>
  <c r="R232" i="14703"/>
  <c r="Y160" i="14703"/>
  <c r="U160" i="14703"/>
  <c r="X160" i="14703"/>
  <c r="Y232" i="14703"/>
  <c r="W142" i="14703"/>
  <c r="Y124" i="14703"/>
  <c r="X250" i="14703"/>
  <c r="P160" i="14703"/>
  <c r="O232" i="14703"/>
  <c r="U250" i="14703"/>
  <c r="V196" i="14703"/>
  <c r="S250" i="14703"/>
  <c r="Y214" i="14703"/>
  <c r="V124" i="14703"/>
  <c r="U196" i="14703"/>
  <c r="X178" i="14703"/>
  <c r="P232" i="14703"/>
  <c r="W178" i="14703"/>
  <c r="V250" i="14703"/>
  <c r="V142" i="14703"/>
  <c r="N22" i="14637"/>
  <c r="F25" i="14637"/>
  <c r="F27" i="14681" s="1"/>
  <c r="M25" i="14637"/>
  <c r="M27" i="14681" s="1"/>
  <c r="N23" i="14637"/>
  <c r="K25" i="14637"/>
  <c r="K27" i="14681" s="1"/>
  <c r="F40" i="14643" a="1"/>
  <c r="G48" i="14643"/>
  <c r="N31" i="14695"/>
  <c r="C8" i="14634" a="1"/>
  <c r="C17" i="14633" a="1"/>
  <c r="B50" i="14683"/>
  <c r="B54" i="14683"/>
  <c r="B51" i="14683"/>
  <c r="B52" i="14683"/>
  <c r="B53" i="14683"/>
  <c r="B55" i="14683"/>
  <c r="B49" i="14683"/>
  <c r="B56" i="14683"/>
  <c r="N52" i="14695"/>
  <c r="C8" i="14675" a="1"/>
  <c r="C17" i="14677" a="1"/>
  <c r="O18" i="14648"/>
  <c r="N24" i="14695"/>
  <c r="C17" i="14625" a="1"/>
  <c r="C8" i="14628" a="1"/>
  <c r="B6" i="14659"/>
  <c r="B30" i="14659" s="1"/>
  <c r="C33" i="14686"/>
  <c r="N5" i="14653"/>
  <c r="A3" i="14626"/>
  <c r="B77" i="14665"/>
  <c r="E3" i="14705"/>
  <c r="B15" i="14665"/>
  <c r="B75" i="14665"/>
  <c r="F3" i="14706"/>
  <c r="L3" i="14706"/>
  <c r="C15" i="14665"/>
  <c r="H3" i="14706"/>
  <c r="M75" i="14665"/>
  <c r="O45" i="14648"/>
  <c r="G33" i="14652" a="1"/>
  <c r="N19" i="14637"/>
  <c r="N18" i="14637"/>
  <c r="G25" i="14637"/>
  <c r="G27" i="14681" s="1"/>
  <c r="H25" i="14637"/>
  <c r="H27" i="14681" s="1"/>
  <c r="N38" i="14695"/>
  <c r="C8" i="14639" a="1"/>
  <c r="C17" i="14641" a="1"/>
  <c r="N59" i="14695"/>
  <c r="J7" i="14652" a="1"/>
  <c r="H33" i="14652" a="1"/>
  <c r="E55" i="14707" a="1"/>
  <c r="B17" i="14668" a="1"/>
  <c r="O30" i="14648"/>
  <c r="G47" i="14643"/>
  <c r="G43" i="14643"/>
  <c r="G41" i="14643"/>
  <c r="G44" i="14643"/>
  <c r="G45" i="14643"/>
  <c r="G46" i="14643"/>
  <c r="G40" i="14643"/>
  <c r="G42" i="14643"/>
  <c r="D31" i="14645"/>
  <c r="D32" i="14645" s="1"/>
  <c r="F31" i="14645"/>
  <c r="F32" i="14645" s="1"/>
  <c r="C31" i="14645"/>
  <c r="C32" i="14645" s="1"/>
  <c r="B31" i="14645"/>
  <c r="J31" i="14645"/>
  <c r="J32" i="14645" s="1"/>
  <c r="G31" i="14645"/>
  <c r="G32" i="14645" s="1"/>
  <c r="L31" i="14645"/>
  <c r="L32" i="14645" s="1"/>
  <c r="M31" i="14645"/>
  <c r="C7" i="14641" a="1"/>
  <c r="H11" i="14706"/>
  <c r="H31" i="14645"/>
  <c r="H32" i="14645" s="1"/>
  <c r="I31" i="14645"/>
  <c r="I32" i="14645" s="1"/>
  <c r="H17" i="14667"/>
  <c r="K31" i="14645"/>
  <c r="K32" i="14645" s="1"/>
  <c r="E31" i="14645"/>
  <c r="E32" i="14645" s="1"/>
  <c r="C6" i="14633" a="1"/>
  <c r="C33" i="14648" a="1"/>
  <c r="O75" i="14648"/>
  <c r="O6" i="14625"/>
  <c r="C9" i="14696"/>
  <c r="F22" i="14617"/>
  <c r="C25" i="14637"/>
  <c r="C27" i="14681" s="1"/>
  <c r="N17" i="14637"/>
  <c r="B7" i="14638" a="1"/>
  <c r="B25" i="14637"/>
  <c r="C31" i="14639" a="1"/>
  <c r="L25" i="14637"/>
  <c r="L27" i="14681" s="1"/>
  <c r="J25" i="14637"/>
  <c r="J27" i="14681" s="1"/>
  <c r="E25" i="14637"/>
  <c r="E27" i="14681" s="1"/>
  <c r="N21" i="14637"/>
  <c r="N20" i="14637"/>
  <c r="N24" i="14637"/>
  <c r="I25" i="14637"/>
  <c r="I27" i="14681" s="1"/>
  <c r="D25" i="14637"/>
  <c r="D27" i="14681" s="1"/>
  <c r="N45" i="14695"/>
  <c r="C17" i="14676" a="1"/>
  <c r="C8" i="14674" a="1"/>
  <c r="O60" i="14648"/>
  <c r="O15" i="14648"/>
  <c r="D40" i="14712" l="1"/>
  <c r="D20" i="14712"/>
  <c r="D5" i="14712"/>
  <c r="G15" i="14622"/>
  <c r="B11" i="14622"/>
  <c r="B53" i="14649"/>
  <c r="F20" i="14677"/>
  <c r="E20" i="14677"/>
  <c r="L20" i="14677"/>
  <c r="G20" i="14677"/>
  <c r="M20" i="14677"/>
  <c r="I20" i="14677"/>
  <c r="K20" i="14677"/>
  <c r="N20" i="14677"/>
  <c r="C20" i="14677"/>
  <c r="J20" i="14677"/>
  <c r="H20" i="14677"/>
  <c r="D20" i="14677"/>
  <c r="H27" i="14706"/>
  <c r="H38" i="14667"/>
  <c r="N46" i="14692"/>
  <c r="B45" i="14692" a="1"/>
  <c r="C62" i="14648" a="1"/>
  <c r="E20" i="14676"/>
  <c r="F20" i="14676"/>
  <c r="K20" i="14676"/>
  <c r="I20" i="14676"/>
  <c r="H20" i="14676"/>
  <c r="L20" i="14676"/>
  <c r="J20" i="14676"/>
  <c r="C20" i="14676"/>
  <c r="D20" i="14676"/>
  <c r="N20" i="14676"/>
  <c r="G20" i="14676"/>
  <c r="M20" i="14676"/>
  <c r="L27" i="14706"/>
  <c r="L38" i="14667"/>
  <c r="C32" i="14648" a="1"/>
  <c r="B29" i="14692" a="1"/>
  <c r="N30" i="14692"/>
  <c r="N27" i="14706"/>
  <c r="N38" i="14667"/>
  <c r="H20" i="14641"/>
  <c r="D20" i="14641"/>
  <c r="E20" i="14641"/>
  <c r="G20" i="14641"/>
  <c r="N20" i="14641"/>
  <c r="L20" i="14641"/>
  <c r="I20" i="14641"/>
  <c r="M20" i="14641"/>
  <c r="J20" i="14641"/>
  <c r="C20" i="14641"/>
  <c r="K20" i="14641"/>
  <c r="F20" i="14641"/>
  <c r="K20" i="14633"/>
  <c r="C20" i="14633"/>
  <c r="F20" i="14633"/>
  <c r="N20" i="14633"/>
  <c r="D20" i="14633"/>
  <c r="L20" i="14633"/>
  <c r="H20" i="14633"/>
  <c r="E20" i="14633"/>
  <c r="M20" i="14633"/>
  <c r="G20" i="14633"/>
  <c r="J20" i="14633"/>
  <c r="I20" i="14633"/>
  <c r="C18" i="11"/>
  <c r="D23" i="11"/>
  <c r="F11" i="14634"/>
  <c r="F27" i="14706"/>
  <c r="F38" i="14667"/>
  <c r="B37" i="14692" a="1"/>
  <c r="C47" i="14648" a="1"/>
  <c r="N38" i="14692"/>
  <c r="G20" i="14625"/>
  <c r="L20" i="14625"/>
  <c r="M20" i="14625"/>
  <c r="E20" i="14625"/>
  <c r="J20" i="14625"/>
  <c r="F20" i="14625"/>
  <c r="I20" i="14625"/>
  <c r="K20" i="14625"/>
  <c r="D20" i="14625"/>
  <c r="H20" i="14625"/>
  <c r="C20" i="14625"/>
  <c r="N20" i="14625"/>
  <c r="E94" i="14707"/>
  <c r="F95" i="14707"/>
  <c r="E89" i="14707"/>
  <c r="E91" i="14707"/>
  <c r="C88" i="14707"/>
  <c r="B88" i="14707"/>
  <c r="C95" i="14707"/>
  <c r="C91" i="14707"/>
  <c r="F90" i="14707"/>
  <c r="D94" i="14707"/>
  <c r="C93" i="14707"/>
  <c r="F91" i="14707"/>
  <c r="C92" i="14707"/>
  <c r="F88" i="14707"/>
  <c r="D89" i="14707"/>
  <c r="D95" i="14707"/>
  <c r="B92" i="14707"/>
  <c r="D90" i="14707"/>
  <c r="F94" i="14707"/>
  <c r="B89" i="14707"/>
  <c r="B91" i="14707"/>
  <c r="D93" i="14707"/>
  <c r="E93" i="14707"/>
  <c r="E90" i="14707"/>
  <c r="F92" i="14707"/>
  <c r="B93" i="14707"/>
  <c r="C90" i="14707"/>
  <c r="E88" i="14707"/>
  <c r="E95" i="14707"/>
  <c r="D88" i="14707"/>
  <c r="B95" i="14707"/>
  <c r="D92" i="14707"/>
  <c r="C94" i="14707"/>
  <c r="B94" i="14707"/>
  <c r="F89" i="14707"/>
  <c r="D91" i="14707"/>
  <c r="B90" i="14707"/>
  <c r="E92" i="14707"/>
  <c r="F93" i="14707"/>
  <c r="C89" i="14707"/>
  <c r="L11" i="14634"/>
  <c r="C46" i="14667"/>
  <c r="J27" i="14706"/>
  <c r="J38" i="14667"/>
  <c r="N62" i="14692"/>
  <c r="B61" i="14692" a="1"/>
  <c r="B53" i="14692" a="1"/>
  <c r="N54" i="14692"/>
  <c r="C77" i="14648" a="1"/>
  <c r="N23" i="14692"/>
  <c r="B22" i="14692" a="1"/>
  <c r="C17" i="14648" a="1"/>
  <c r="I11" i="14634"/>
  <c r="O11" i="14634"/>
  <c r="N11" i="14634"/>
  <c r="G11" i="14634"/>
  <c r="D11" i="14634"/>
  <c r="M11" i="14634"/>
  <c r="E11" i="14634"/>
  <c r="J11" i="14634"/>
  <c r="K11" i="14634"/>
  <c r="C11" i="14634"/>
  <c r="F23" i="14682"/>
  <c r="B103" i="14707" s="1" a="1"/>
  <c r="C103" i="14707" s="1"/>
  <c r="N3" i="14706"/>
  <c r="J3" i="14706"/>
  <c r="E65" i="14665" a="1"/>
  <c r="I65" i="14665" s="1"/>
  <c r="E5" i="14617" a="1"/>
  <c r="E7" i="14617" s="1"/>
  <c r="K204" i="14700"/>
  <c r="N204" i="14700"/>
  <c r="U204" i="14700"/>
  <c r="T204" i="14700"/>
  <c r="P204" i="14700"/>
  <c r="O204" i="14700"/>
  <c r="R204" i="14700"/>
  <c r="M204" i="14700"/>
  <c r="V204" i="14700"/>
  <c r="S204" i="14700"/>
  <c r="Q204" i="14700"/>
  <c r="L204" i="14700"/>
  <c r="O211" i="14700"/>
  <c r="H211" i="14700"/>
  <c r="M211" i="14700"/>
  <c r="E211" i="14700"/>
  <c r="J211" i="14700"/>
  <c r="L211" i="14700"/>
  <c r="I211" i="14700"/>
  <c r="K211" i="14700"/>
  <c r="G211" i="14700"/>
  <c r="D211" i="14700"/>
  <c r="N211" i="14700"/>
  <c r="F211" i="14700"/>
  <c r="I212" i="14700"/>
  <c r="M212" i="14700"/>
  <c r="L212" i="14700"/>
  <c r="D212" i="14700"/>
  <c r="G212" i="14700"/>
  <c r="F212" i="14700"/>
  <c r="J212" i="14700"/>
  <c r="N212" i="14700"/>
  <c r="H212" i="14700"/>
  <c r="C212" i="14700"/>
  <c r="E212" i="14700"/>
  <c r="K212" i="14700"/>
  <c r="E210" i="14700"/>
  <c r="K210" i="14700"/>
  <c r="O210" i="14700"/>
  <c r="J210" i="14700"/>
  <c r="P210" i="14700"/>
  <c r="F210" i="14700"/>
  <c r="I210" i="14700"/>
  <c r="G210" i="14700"/>
  <c r="M210" i="14700"/>
  <c r="N210" i="14700"/>
  <c r="L210" i="14700"/>
  <c r="H210" i="14700"/>
  <c r="K208" i="14700"/>
  <c r="R208" i="14700"/>
  <c r="O208" i="14700"/>
  <c r="M208" i="14700"/>
  <c r="H208" i="14700"/>
  <c r="J208" i="14700"/>
  <c r="I208" i="14700"/>
  <c r="N208" i="14700"/>
  <c r="Q208" i="14700"/>
  <c r="G208" i="14700"/>
  <c r="L208" i="14700"/>
  <c r="P208" i="14700"/>
  <c r="N207" i="14700"/>
  <c r="J207" i="14700"/>
  <c r="M207" i="14700"/>
  <c r="H207" i="14700"/>
  <c r="L207" i="14700"/>
  <c r="K207" i="14700"/>
  <c r="R207" i="14700"/>
  <c r="Q207" i="14700"/>
  <c r="S207" i="14700"/>
  <c r="I207" i="14700"/>
  <c r="P207" i="14700"/>
  <c r="O207" i="14700"/>
  <c r="D230" i="14700"/>
  <c r="C230" i="14700"/>
  <c r="J230" i="14700"/>
  <c r="M230" i="14700"/>
  <c r="N230" i="14700"/>
  <c r="G230" i="14700"/>
  <c r="E230" i="14700"/>
  <c r="F230" i="14700"/>
  <c r="H230" i="14700"/>
  <c r="K230" i="14700"/>
  <c r="I230" i="14700"/>
  <c r="L230" i="14700"/>
  <c r="R225" i="14700"/>
  <c r="P225" i="14700"/>
  <c r="K225" i="14700"/>
  <c r="S225" i="14700"/>
  <c r="N225" i="14700"/>
  <c r="H225" i="14700"/>
  <c r="J225" i="14700"/>
  <c r="O225" i="14700"/>
  <c r="Q225" i="14700"/>
  <c r="L225" i="14700"/>
  <c r="M225" i="14700"/>
  <c r="I225" i="14700"/>
  <c r="L221" i="14700"/>
  <c r="T221" i="14700"/>
  <c r="N221" i="14700"/>
  <c r="Q221" i="14700"/>
  <c r="W221" i="14700"/>
  <c r="M221" i="14700"/>
  <c r="P221" i="14700"/>
  <c r="V221" i="14700"/>
  <c r="R221" i="14700"/>
  <c r="U221" i="14700"/>
  <c r="S221" i="14700"/>
  <c r="O221" i="14700"/>
  <c r="S223" i="14700"/>
  <c r="N223" i="14700"/>
  <c r="R223" i="14700"/>
  <c r="J223" i="14700"/>
  <c r="T223" i="14700"/>
  <c r="P223" i="14700"/>
  <c r="O223" i="14700"/>
  <c r="U223" i="14700"/>
  <c r="Q223" i="14700"/>
  <c r="K223" i="14700"/>
  <c r="M223" i="14700"/>
  <c r="L223" i="14700"/>
  <c r="K224" i="14700"/>
  <c r="R224" i="14700"/>
  <c r="J224" i="14700"/>
  <c r="S224" i="14700"/>
  <c r="P224" i="14700"/>
  <c r="L224" i="14700"/>
  <c r="O224" i="14700"/>
  <c r="M224" i="14700"/>
  <c r="Q224" i="14700"/>
  <c r="N224" i="14700"/>
  <c r="I224" i="14700"/>
  <c r="T224" i="14700"/>
  <c r="D229" i="14700"/>
  <c r="M229" i="14700"/>
  <c r="O229" i="14700"/>
  <c r="I229" i="14700"/>
  <c r="E229" i="14700"/>
  <c r="K229" i="14700"/>
  <c r="H229" i="14700"/>
  <c r="J229" i="14700"/>
  <c r="G229" i="14700"/>
  <c r="N229" i="14700"/>
  <c r="L229" i="14700"/>
  <c r="F229" i="14700"/>
  <c r="M176" i="14700"/>
  <c r="E176" i="14700"/>
  <c r="N176" i="14700"/>
  <c r="C176" i="14700"/>
  <c r="I176" i="14700"/>
  <c r="F176" i="14700"/>
  <c r="D176" i="14700"/>
  <c r="H176" i="14700"/>
  <c r="K176" i="14700"/>
  <c r="J176" i="14700"/>
  <c r="G176" i="14700"/>
  <c r="L176" i="14700"/>
  <c r="Q172" i="14700"/>
  <c r="M172" i="14700"/>
  <c r="H172" i="14700"/>
  <c r="K172" i="14700"/>
  <c r="G172" i="14700"/>
  <c r="O172" i="14700"/>
  <c r="R172" i="14700"/>
  <c r="N172" i="14700"/>
  <c r="P172" i="14700"/>
  <c r="I172" i="14700"/>
  <c r="J172" i="14700"/>
  <c r="L172" i="14700"/>
  <c r="T165" i="14700"/>
  <c r="O165" i="14700"/>
  <c r="U165" i="14700"/>
  <c r="X165" i="14700"/>
  <c r="V165" i="14700"/>
  <c r="R165" i="14700"/>
  <c r="Y165" i="14700"/>
  <c r="N165" i="14700"/>
  <c r="P165" i="14700"/>
  <c r="S165" i="14700"/>
  <c r="W165" i="14700"/>
  <c r="Q165" i="14700"/>
  <c r="P171" i="14700"/>
  <c r="H171" i="14700"/>
  <c r="O171" i="14700"/>
  <c r="Q171" i="14700"/>
  <c r="L171" i="14700"/>
  <c r="S171" i="14700"/>
  <c r="I171" i="14700"/>
  <c r="J171" i="14700"/>
  <c r="K171" i="14700"/>
  <c r="R171" i="14700"/>
  <c r="N171" i="14700"/>
  <c r="M171" i="14700"/>
  <c r="P168" i="14700"/>
  <c r="N168" i="14700"/>
  <c r="O168" i="14700"/>
  <c r="U168" i="14700"/>
  <c r="R168" i="14700"/>
  <c r="V168" i="14700"/>
  <c r="T168" i="14700"/>
  <c r="L168" i="14700"/>
  <c r="S168" i="14700"/>
  <c r="K168" i="14700"/>
  <c r="Q168" i="14700"/>
  <c r="M168" i="14700"/>
  <c r="M177" i="14700"/>
  <c r="K177" i="14700"/>
  <c r="C177" i="14700"/>
  <c r="O177" i="14698" s="1"/>
  <c r="J177" i="14700"/>
  <c r="L177" i="14700"/>
  <c r="I177" i="14700"/>
  <c r="B177" i="14700"/>
  <c r="G177" i="14700"/>
  <c r="H177" i="14700"/>
  <c r="E177" i="14700"/>
  <c r="D177" i="14700"/>
  <c r="F177" i="14700"/>
  <c r="Q173" i="14700"/>
  <c r="G173" i="14700"/>
  <c r="H173" i="14700"/>
  <c r="P173" i="14700"/>
  <c r="O173" i="14700"/>
  <c r="J173" i="14700"/>
  <c r="K173" i="14700"/>
  <c r="M173" i="14700"/>
  <c r="I173" i="14700"/>
  <c r="L173" i="14700"/>
  <c r="N173" i="14700"/>
  <c r="F173" i="14700"/>
  <c r="M77" i="14704" a="1"/>
  <c r="M77" i="14704" s="1"/>
  <c r="F84" i="14704" a="1"/>
  <c r="F84" i="14704" s="1"/>
  <c r="P74" i="14704" a="1"/>
  <c r="P74" i="14704" s="1"/>
  <c r="L78" i="14704" a="1"/>
  <c r="L78" i="14704" s="1"/>
  <c r="K79" i="14704" a="1"/>
  <c r="K79" i="14704" s="1"/>
  <c r="Q73" i="14704" a="1"/>
  <c r="Q73" i="14704" s="1"/>
  <c r="J80" i="14704" a="1"/>
  <c r="J80" i="14704" s="1"/>
  <c r="N76" i="14704" a="1"/>
  <c r="N76" i="14704" s="1"/>
  <c r="O75" i="14704" a="1"/>
  <c r="O75" i="14704" s="1"/>
  <c r="I81" i="14704" a="1"/>
  <c r="I81" i="14704" s="1"/>
  <c r="G83" i="14704" a="1"/>
  <c r="G83" i="14704" s="1"/>
  <c r="R72" i="14704" a="1"/>
  <c r="R72" i="14704" s="1"/>
  <c r="F28" i="14704"/>
  <c r="H82" i="14704" a="1"/>
  <c r="H82" i="14704" s="1"/>
  <c r="V72" i="14704" a="1"/>
  <c r="V72" i="14704" s="1"/>
  <c r="L82" i="14704" a="1"/>
  <c r="L82" i="14704" s="1"/>
  <c r="U73" i="14704" a="1"/>
  <c r="U73" i="14704" s="1"/>
  <c r="M81" i="14704" a="1"/>
  <c r="M81" i="14704" s="1"/>
  <c r="R76" i="14704" a="1"/>
  <c r="R76" i="14704" s="1"/>
  <c r="Q77" i="14704" a="1"/>
  <c r="Q77" i="14704" s="1"/>
  <c r="P78" i="14704" a="1"/>
  <c r="P78" i="14704" s="1"/>
  <c r="J84" i="14704" a="1"/>
  <c r="J84" i="14704" s="1"/>
  <c r="N80" i="14704" a="1"/>
  <c r="N80" i="14704" s="1"/>
  <c r="J28" i="14704"/>
  <c r="T74" i="14704" a="1"/>
  <c r="T74" i="14704" s="1"/>
  <c r="K83" i="14704" a="1"/>
  <c r="K83" i="14704" s="1"/>
  <c r="S75" i="14704" a="1"/>
  <c r="S75" i="14704" s="1"/>
  <c r="O79" i="14704" a="1"/>
  <c r="O79" i="14704" s="1"/>
  <c r="N75" i="14704" a="1"/>
  <c r="N75" i="14704" s="1"/>
  <c r="E84" i="14704" a="1"/>
  <c r="E84" i="14704" s="1"/>
  <c r="F83" i="14704" a="1"/>
  <c r="F83" i="14704" s="1"/>
  <c r="I80" i="14704" a="1"/>
  <c r="I80" i="14704" s="1"/>
  <c r="P73" i="14704" a="1"/>
  <c r="P73" i="14704" s="1"/>
  <c r="O74" i="14704" a="1"/>
  <c r="O74" i="14704" s="1"/>
  <c r="H81" i="14704" a="1"/>
  <c r="H81" i="14704" s="1"/>
  <c r="Q72" i="14704" a="1"/>
  <c r="Q72" i="14704" s="1"/>
  <c r="L77" i="14704" a="1"/>
  <c r="L77" i="14704" s="1"/>
  <c r="E28" i="14704"/>
  <c r="J79" i="14704" a="1"/>
  <c r="J79" i="14704" s="1"/>
  <c r="G82" i="14704" a="1"/>
  <c r="G82" i="14704" s="1"/>
  <c r="K78" i="14704" a="1"/>
  <c r="K78" i="14704" s="1"/>
  <c r="M76" i="14704" a="1"/>
  <c r="M76" i="14704" s="1"/>
  <c r="D175" i="14704" a="1"/>
  <c r="B177" i="14704" a="1"/>
  <c r="N23" i="14704"/>
  <c r="G172" i="14704" a="1"/>
  <c r="H171" i="14704" a="1"/>
  <c r="N165" i="14704" a="1"/>
  <c r="K168" i="14704" a="1"/>
  <c r="C176" i="14704" a="1"/>
  <c r="M166" i="14704" a="1"/>
  <c r="J169" i="14704" a="1"/>
  <c r="I170" i="14704" a="1"/>
  <c r="F173" i="14704" a="1"/>
  <c r="E174" i="14704" a="1"/>
  <c r="L167" i="14704" a="1"/>
  <c r="R77" i="14704" a="1"/>
  <c r="R77" i="14704" s="1"/>
  <c r="Q78" i="14704" a="1"/>
  <c r="Q78" i="14704" s="1"/>
  <c r="U74" i="14704" a="1"/>
  <c r="U74" i="14704" s="1"/>
  <c r="P79" i="14704" a="1"/>
  <c r="P79" i="14704" s="1"/>
  <c r="L83" i="14704" a="1"/>
  <c r="L83" i="14704" s="1"/>
  <c r="V73" i="14704" a="1"/>
  <c r="V73" i="14704" s="1"/>
  <c r="O80" i="14704" a="1"/>
  <c r="O80" i="14704" s="1"/>
  <c r="T75" i="14704" a="1"/>
  <c r="T75" i="14704" s="1"/>
  <c r="M82" i="14704" a="1"/>
  <c r="M82" i="14704" s="1"/>
  <c r="W72" i="14704" a="1"/>
  <c r="W72" i="14704" s="1"/>
  <c r="K84" i="14704" a="1"/>
  <c r="K84" i="14704" s="1"/>
  <c r="N81" i="14704" a="1"/>
  <c r="N81" i="14704" s="1"/>
  <c r="S76" i="14704" a="1"/>
  <c r="S76" i="14704" s="1"/>
  <c r="K28" i="14704"/>
  <c r="N78" i="14704" a="1"/>
  <c r="N78" i="14704" s="1"/>
  <c r="H28" i="14704"/>
  <c r="H84" i="14704" a="1"/>
  <c r="H84" i="14704" s="1"/>
  <c r="L80" i="14704" a="1"/>
  <c r="L80" i="14704" s="1"/>
  <c r="M79" i="14704" a="1"/>
  <c r="M79" i="14704" s="1"/>
  <c r="R74" i="14704" a="1"/>
  <c r="R74" i="14704" s="1"/>
  <c r="S73" i="14704" a="1"/>
  <c r="S73" i="14704" s="1"/>
  <c r="J82" i="14704" a="1"/>
  <c r="J82" i="14704" s="1"/>
  <c r="P76" i="14704" a="1"/>
  <c r="P76" i="14704" s="1"/>
  <c r="Q75" i="14704" a="1"/>
  <c r="Q75" i="14704" s="1"/>
  <c r="O77" i="14704" a="1"/>
  <c r="O77" i="14704" s="1"/>
  <c r="K81" i="14704" a="1"/>
  <c r="K81" i="14704" s="1"/>
  <c r="I83" i="14704" a="1"/>
  <c r="I83" i="14704" s="1"/>
  <c r="T72" i="14704" a="1"/>
  <c r="T72" i="14704" s="1"/>
  <c r="D193" i="14704" a="1"/>
  <c r="H189" i="14704" a="1"/>
  <c r="E192" i="14704" a="1"/>
  <c r="G190" i="14704" a="1"/>
  <c r="I188" i="14704" a="1"/>
  <c r="J187" i="14704" a="1"/>
  <c r="M184" i="14704" a="1"/>
  <c r="N183" i="14704" a="1"/>
  <c r="K186" i="14704" a="1"/>
  <c r="C194" i="14704" a="1"/>
  <c r="N24" i="14704"/>
  <c r="B195" i="14704" a="1"/>
  <c r="F191" i="14704" a="1"/>
  <c r="L185" i="14704" a="1"/>
  <c r="I79" i="14704" a="1"/>
  <c r="I79" i="14704" s="1"/>
  <c r="F82" i="14704" a="1"/>
  <c r="F82" i="14704" s="1"/>
  <c r="J78" i="14704" a="1"/>
  <c r="J78" i="14704" s="1"/>
  <c r="L76" i="14704" a="1"/>
  <c r="L76" i="14704" s="1"/>
  <c r="M75" i="14704" a="1"/>
  <c r="M75" i="14704" s="1"/>
  <c r="K77" i="14704" a="1"/>
  <c r="K77" i="14704" s="1"/>
  <c r="D28" i="14704"/>
  <c r="O73" i="14704" a="1"/>
  <c r="O73" i="14704" s="1"/>
  <c r="N74" i="14704" a="1"/>
  <c r="N74" i="14704" s="1"/>
  <c r="H80" i="14704" a="1"/>
  <c r="H80" i="14704" s="1"/>
  <c r="D84" i="14704" a="1"/>
  <c r="D84" i="14704" s="1"/>
  <c r="G81" i="14704" a="1"/>
  <c r="G81" i="14704" s="1"/>
  <c r="P72" i="14704" a="1"/>
  <c r="P72" i="14704" s="1"/>
  <c r="E83" i="14704" a="1"/>
  <c r="E83" i="14704" s="1"/>
  <c r="L239" i="14704" a="1"/>
  <c r="H243" i="14704" a="1"/>
  <c r="K240" i="14704" a="1"/>
  <c r="C248" i="14704" a="1"/>
  <c r="N237" i="14704" a="1"/>
  <c r="B249" i="14704" a="1"/>
  <c r="J241" i="14704" a="1"/>
  <c r="M238" i="14704" a="1"/>
  <c r="F245" i="14704" a="1"/>
  <c r="I242" i="14704" a="1"/>
  <c r="N27" i="14704"/>
  <c r="E246" i="14704" a="1"/>
  <c r="D247" i="14704" a="1"/>
  <c r="G244" i="14704" a="1"/>
  <c r="P137" i="14700"/>
  <c r="K137" i="14700"/>
  <c r="N137" i="14700"/>
  <c r="M137" i="14700"/>
  <c r="G137" i="14700"/>
  <c r="J137" i="14700"/>
  <c r="L137" i="14700"/>
  <c r="I137" i="14700"/>
  <c r="Q137" i="14700"/>
  <c r="F137" i="14700"/>
  <c r="O137" i="14700"/>
  <c r="H137" i="14700"/>
  <c r="L131" i="14700"/>
  <c r="W131" i="14700"/>
  <c r="O131" i="14700"/>
  <c r="P131" i="14700"/>
  <c r="Q131" i="14700"/>
  <c r="U131" i="14700"/>
  <c r="V131" i="14700"/>
  <c r="R131" i="14700"/>
  <c r="T131" i="14700"/>
  <c r="S131" i="14700"/>
  <c r="N131" i="14700"/>
  <c r="M131" i="14700"/>
  <c r="P136" i="14700"/>
  <c r="H136" i="14700"/>
  <c r="N136" i="14700"/>
  <c r="G136" i="14700"/>
  <c r="L136" i="14700"/>
  <c r="M136" i="14700"/>
  <c r="K136" i="14700"/>
  <c r="R136" i="14700"/>
  <c r="I136" i="14700"/>
  <c r="O136" i="14700"/>
  <c r="J136" i="14700"/>
  <c r="Q136" i="14700"/>
  <c r="O132" i="14700"/>
  <c r="M132" i="14700"/>
  <c r="R132" i="14700"/>
  <c r="U132" i="14700"/>
  <c r="V132" i="14700"/>
  <c r="L132" i="14700"/>
  <c r="P132" i="14700"/>
  <c r="T132" i="14700"/>
  <c r="N132" i="14700"/>
  <c r="K132" i="14700"/>
  <c r="Q132" i="14700"/>
  <c r="S132" i="14700"/>
  <c r="G141" i="14700"/>
  <c r="J141" i="14700"/>
  <c r="E141" i="14700"/>
  <c r="H141" i="14700"/>
  <c r="F141" i="14700"/>
  <c r="B141" i="14700"/>
  <c r="L141" i="14700"/>
  <c r="I141" i="14700"/>
  <c r="C141" i="14700"/>
  <c r="O141" i="14698" s="1"/>
  <c r="D141" i="14700"/>
  <c r="M141" i="14700"/>
  <c r="K141" i="14700"/>
  <c r="W129" i="14700"/>
  <c r="O129" i="14700"/>
  <c r="Q129" i="14700"/>
  <c r="R129" i="14700"/>
  <c r="T129" i="14700"/>
  <c r="P129" i="14700"/>
  <c r="X129" i="14700"/>
  <c r="N129" i="14700"/>
  <c r="S129" i="14700"/>
  <c r="V129" i="14700"/>
  <c r="U129" i="14700"/>
  <c r="Y129" i="14700"/>
  <c r="S242" i="14700"/>
  <c r="T242" i="14700"/>
  <c r="J242" i="14700"/>
  <c r="R242" i="14700"/>
  <c r="I242" i="14700"/>
  <c r="O242" i="14700"/>
  <c r="M242" i="14700"/>
  <c r="P242" i="14700"/>
  <c r="L242" i="14700"/>
  <c r="Q242" i="14700"/>
  <c r="K242" i="14700"/>
  <c r="N242" i="14700"/>
  <c r="X238" i="14700"/>
  <c r="Q238" i="14700"/>
  <c r="U238" i="14700"/>
  <c r="O238" i="14700"/>
  <c r="M238" i="14700"/>
  <c r="P238" i="14700"/>
  <c r="N238" i="14700"/>
  <c r="R238" i="14700"/>
  <c r="T238" i="14700"/>
  <c r="V238" i="14700"/>
  <c r="S238" i="14700"/>
  <c r="W238" i="14700"/>
  <c r="T240" i="14700"/>
  <c r="R240" i="14700"/>
  <c r="V240" i="14700"/>
  <c r="S240" i="14700"/>
  <c r="U240" i="14700"/>
  <c r="L240" i="14700"/>
  <c r="M240" i="14700"/>
  <c r="N240" i="14700"/>
  <c r="K240" i="14700"/>
  <c r="P240" i="14700"/>
  <c r="O240" i="14700"/>
  <c r="Q240" i="14700"/>
  <c r="O247" i="14700"/>
  <c r="L247" i="14700"/>
  <c r="K247" i="14700"/>
  <c r="N247" i="14700"/>
  <c r="F247" i="14700"/>
  <c r="D247" i="14700"/>
  <c r="G247" i="14700"/>
  <c r="E247" i="14700"/>
  <c r="M247" i="14700"/>
  <c r="I247" i="14700"/>
  <c r="J247" i="14700"/>
  <c r="H247" i="14700"/>
  <c r="H249" i="14700"/>
  <c r="L249" i="14700"/>
  <c r="F249" i="14700"/>
  <c r="M249" i="14700"/>
  <c r="I249" i="14700"/>
  <c r="E249" i="14700"/>
  <c r="G249" i="14700"/>
  <c r="J249" i="14700"/>
  <c r="B249" i="14700"/>
  <c r="D249" i="14700"/>
  <c r="K249" i="14700"/>
  <c r="C249" i="14700"/>
  <c r="O249" i="14698" s="1"/>
  <c r="F246" i="14700"/>
  <c r="N246" i="14700"/>
  <c r="I246" i="14700"/>
  <c r="H246" i="14700"/>
  <c r="E246" i="14700"/>
  <c r="J246" i="14700"/>
  <c r="P246" i="14700"/>
  <c r="G246" i="14700"/>
  <c r="L246" i="14700"/>
  <c r="O246" i="14700"/>
  <c r="K246" i="14700"/>
  <c r="M246" i="14700"/>
  <c r="R244" i="14700"/>
  <c r="I244" i="14700"/>
  <c r="L244" i="14700"/>
  <c r="M244" i="14700"/>
  <c r="H244" i="14700"/>
  <c r="N244" i="14700"/>
  <c r="K244" i="14700"/>
  <c r="P244" i="14700"/>
  <c r="J244" i="14700"/>
  <c r="G244" i="14700"/>
  <c r="Q244" i="14700"/>
  <c r="O244" i="14700"/>
  <c r="L187" i="14700"/>
  <c r="Q187" i="14700"/>
  <c r="S187" i="14700"/>
  <c r="P187" i="14700"/>
  <c r="K187" i="14700"/>
  <c r="U187" i="14700"/>
  <c r="N187" i="14700"/>
  <c r="J187" i="14700"/>
  <c r="O187" i="14700"/>
  <c r="M187" i="14700"/>
  <c r="T187" i="14700"/>
  <c r="R187" i="14700"/>
  <c r="L189" i="14700"/>
  <c r="I189" i="14700"/>
  <c r="H189" i="14700"/>
  <c r="N189" i="14700"/>
  <c r="K189" i="14700"/>
  <c r="S189" i="14700"/>
  <c r="P189" i="14700"/>
  <c r="J189" i="14700"/>
  <c r="R189" i="14700"/>
  <c r="M189" i="14700"/>
  <c r="Q189" i="14700"/>
  <c r="O189" i="14700"/>
  <c r="E192" i="14700"/>
  <c r="H192" i="14700"/>
  <c r="I192" i="14700"/>
  <c r="M192" i="14700"/>
  <c r="J192" i="14700"/>
  <c r="P192" i="14700"/>
  <c r="G192" i="14700"/>
  <c r="K192" i="14700"/>
  <c r="F192" i="14700"/>
  <c r="N192" i="14700"/>
  <c r="L192" i="14700"/>
  <c r="O192" i="14700"/>
  <c r="T184" i="14700"/>
  <c r="R184" i="14700"/>
  <c r="Q184" i="14700"/>
  <c r="W184" i="14700"/>
  <c r="N184" i="14700"/>
  <c r="O184" i="14700"/>
  <c r="P184" i="14700"/>
  <c r="U184" i="14700"/>
  <c r="V184" i="14700"/>
  <c r="M184" i="14700"/>
  <c r="X184" i="14700"/>
  <c r="S184" i="14700"/>
  <c r="S185" i="14700"/>
  <c r="M185" i="14700"/>
  <c r="N185" i="14700"/>
  <c r="O185" i="14700"/>
  <c r="T185" i="14700"/>
  <c r="Q185" i="14700"/>
  <c r="L185" i="14700"/>
  <c r="P185" i="14700"/>
  <c r="W185" i="14700"/>
  <c r="R185" i="14700"/>
  <c r="V185" i="14700"/>
  <c r="U185" i="14700"/>
  <c r="G194" i="14700"/>
  <c r="E194" i="14700"/>
  <c r="D194" i="14700"/>
  <c r="K194" i="14700"/>
  <c r="N194" i="14700"/>
  <c r="H194" i="14700"/>
  <c r="M194" i="14700"/>
  <c r="L194" i="14700"/>
  <c r="F194" i="14700"/>
  <c r="C194" i="14700"/>
  <c r="J194" i="14700"/>
  <c r="I194" i="14700"/>
  <c r="I193" i="14700"/>
  <c r="O193" i="14700"/>
  <c r="D193" i="14700"/>
  <c r="G193" i="14700"/>
  <c r="N193" i="14700"/>
  <c r="K193" i="14700"/>
  <c r="J193" i="14700"/>
  <c r="L193" i="14700"/>
  <c r="H193" i="14700"/>
  <c r="M193" i="14700"/>
  <c r="E193" i="14700"/>
  <c r="F193" i="14700"/>
  <c r="C122" i="14700"/>
  <c r="H122" i="14700"/>
  <c r="E122" i="14700"/>
  <c r="G122" i="14700"/>
  <c r="K122" i="14700"/>
  <c r="I122" i="14700"/>
  <c r="N122" i="14700"/>
  <c r="L122" i="14700"/>
  <c r="D122" i="14700"/>
  <c r="J122" i="14700"/>
  <c r="M122" i="14700"/>
  <c r="F122" i="14700"/>
  <c r="R80" i="14698" a="1"/>
  <c r="F85" i="14700"/>
  <c r="V112" i="14700"/>
  <c r="S112" i="14700"/>
  <c r="X112" i="14700"/>
  <c r="R112" i="14700"/>
  <c r="T112" i="14700"/>
  <c r="O112" i="14700"/>
  <c r="Q112" i="14700"/>
  <c r="U112" i="14700"/>
  <c r="N112" i="14700"/>
  <c r="P112" i="14700"/>
  <c r="W112" i="14700"/>
  <c r="M112" i="14700"/>
  <c r="N121" i="14700"/>
  <c r="M121" i="14700"/>
  <c r="L121" i="14700"/>
  <c r="J121" i="14700"/>
  <c r="H121" i="14700"/>
  <c r="D121" i="14700"/>
  <c r="I121" i="14700"/>
  <c r="O121" i="14700"/>
  <c r="G121" i="14700"/>
  <c r="K121" i="14700"/>
  <c r="E121" i="14700"/>
  <c r="F121" i="14700"/>
  <c r="S79" i="14698" a="1"/>
  <c r="G85" i="14700"/>
  <c r="O115" i="14700"/>
  <c r="M115" i="14700"/>
  <c r="P115" i="14700"/>
  <c r="J115" i="14700"/>
  <c r="T115" i="14700"/>
  <c r="N115" i="14700"/>
  <c r="L115" i="14700"/>
  <c r="S115" i="14700"/>
  <c r="K115" i="14700"/>
  <c r="R115" i="14700"/>
  <c r="U115" i="14700"/>
  <c r="Q115" i="14700"/>
  <c r="P111" i="14700"/>
  <c r="R111" i="14700"/>
  <c r="V111" i="14700"/>
  <c r="N111" i="14700"/>
  <c r="U111" i="14700"/>
  <c r="W111" i="14700"/>
  <c r="Y111" i="14700"/>
  <c r="Q111" i="14700"/>
  <c r="X111" i="14700"/>
  <c r="S111" i="14700"/>
  <c r="T111" i="14700"/>
  <c r="O111" i="14700"/>
  <c r="E34" i="14683" a="1"/>
  <c r="E66" i="14643" a="1"/>
  <c r="K117" i="14700"/>
  <c r="R117" i="14700"/>
  <c r="S117" i="14700"/>
  <c r="H117" i="14700"/>
  <c r="Q117" i="14700"/>
  <c r="J117" i="14700"/>
  <c r="P117" i="14700"/>
  <c r="N117" i="14700"/>
  <c r="O117" i="14700"/>
  <c r="I117" i="14700"/>
  <c r="M117" i="14700"/>
  <c r="L117" i="14700"/>
  <c r="M123" i="14700"/>
  <c r="I123" i="14700"/>
  <c r="F123" i="14700"/>
  <c r="D123" i="14700"/>
  <c r="J123" i="14700"/>
  <c r="L123" i="14700"/>
  <c r="E123" i="14700"/>
  <c r="G123" i="14700"/>
  <c r="H123" i="14700"/>
  <c r="C123" i="14700"/>
  <c r="O123" i="14698" s="1"/>
  <c r="K123" i="14700"/>
  <c r="B123" i="14700"/>
  <c r="F120" i="14700"/>
  <c r="L120" i="14700"/>
  <c r="K120" i="14700"/>
  <c r="E120" i="14700"/>
  <c r="G120" i="14700"/>
  <c r="N120" i="14700"/>
  <c r="H120" i="14700"/>
  <c r="I120" i="14700"/>
  <c r="J120" i="14700"/>
  <c r="O120" i="14700"/>
  <c r="P120" i="14700"/>
  <c r="M120" i="14700"/>
  <c r="O83" i="14698" a="1"/>
  <c r="C85" i="14700"/>
  <c r="P113" i="14700"/>
  <c r="O113" i="14700"/>
  <c r="Q113" i="14700"/>
  <c r="W113" i="14700"/>
  <c r="M113" i="14700"/>
  <c r="L113" i="14700"/>
  <c r="T113" i="14700"/>
  <c r="R113" i="14700"/>
  <c r="S113" i="14700"/>
  <c r="U113" i="14700"/>
  <c r="N113" i="14700"/>
  <c r="V113" i="14700"/>
  <c r="N28" i="14700"/>
  <c r="E13" i="14657" s="1"/>
  <c r="B9" i="14640" a="1"/>
  <c r="O147" i="14700"/>
  <c r="T147" i="14700"/>
  <c r="P147" i="14700"/>
  <c r="R147" i="14700"/>
  <c r="W147" i="14700"/>
  <c r="Q147" i="14700"/>
  <c r="V147" i="14700"/>
  <c r="U147" i="14700"/>
  <c r="N147" i="14700"/>
  <c r="X147" i="14700"/>
  <c r="Y147" i="14700"/>
  <c r="S147" i="14700"/>
  <c r="O157" i="14700"/>
  <c r="M157" i="14700"/>
  <c r="K157" i="14700"/>
  <c r="G157" i="14700"/>
  <c r="D157" i="14700"/>
  <c r="I157" i="14700"/>
  <c r="L157" i="14700"/>
  <c r="E157" i="14700"/>
  <c r="J157" i="14700"/>
  <c r="H157" i="14700"/>
  <c r="F157" i="14700"/>
  <c r="N157" i="14700"/>
  <c r="T149" i="14700"/>
  <c r="U149" i="14700"/>
  <c r="Q149" i="14700"/>
  <c r="O149" i="14700"/>
  <c r="S149" i="14700"/>
  <c r="M149" i="14700"/>
  <c r="R149" i="14700"/>
  <c r="L149" i="14700"/>
  <c r="V149" i="14700"/>
  <c r="W149" i="14700"/>
  <c r="P149" i="14700"/>
  <c r="N149" i="14700"/>
  <c r="L159" i="14700"/>
  <c r="J159" i="14700"/>
  <c r="C159" i="14700"/>
  <c r="O159" i="14698" s="1"/>
  <c r="F159" i="14700"/>
  <c r="G159" i="14700"/>
  <c r="M159" i="14700"/>
  <c r="H159" i="14700"/>
  <c r="K159" i="14700"/>
  <c r="E159" i="14700"/>
  <c r="I159" i="14700"/>
  <c r="D159" i="14700"/>
  <c r="B159" i="14700"/>
  <c r="T150" i="14700"/>
  <c r="S150" i="14700"/>
  <c r="M150" i="14700"/>
  <c r="U150" i="14700"/>
  <c r="O150" i="14700"/>
  <c r="P150" i="14700"/>
  <c r="N150" i="14700"/>
  <c r="Q150" i="14700"/>
  <c r="K150" i="14700"/>
  <c r="V150" i="14700"/>
  <c r="R150" i="14700"/>
  <c r="L150" i="14700"/>
  <c r="O148" i="14700"/>
  <c r="Q148" i="14700"/>
  <c r="R148" i="14700"/>
  <c r="N148" i="14700"/>
  <c r="W148" i="14700"/>
  <c r="U148" i="14700"/>
  <c r="X148" i="14700"/>
  <c r="T148" i="14700"/>
  <c r="S148" i="14700"/>
  <c r="V148" i="14700"/>
  <c r="M148" i="14700"/>
  <c r="P148" i="14700"/>
  <c r="J11" i="14707" a="1"/>
  <c r="G79" i="14701" a="1"/>
  <c r="G79" i="14701" s="1"/>
  <c r="K75" i="14701" a="1"/>
  <c r="K75" i="14701" s="1"/>
  <c r="N20" i="14701"/>
  <c r="F119" i="14701" a="1"/>
  <c r="L113" i="14701" a="1"/>
  <c r="J76" i="14701" a="1"/>
  <c r="J76" i="14701" s="1"/>
  <c r="J115" i="14701" a="1"/>
  <c r="B28" i="14701"/>
  <c r="D121" i="14701" a="1"/>
  <c r="H117" i="14701" a="1"/>
  <c r="E81" i="14701" a="1"/>
  <c r="E81" i="14701" s="1"/>
  <c r="F80" i="14701" a="1"/>
  <c r="F80" i="14701" s="1"/>
  <c r="E120" i="14701" a="1"/>
  <c r="N111" i="14701" a="1"/>
  <c r="I116" i="14701" a="1"/>
  <c r="I77" i="14701" a="1"/>
  <c r="I77" i="14701" s="1"/>
  <c r="G118" i="14701" a="1"/>
  <c r="M112" i="14701" a="1"/>
  <c r="C122" i="14701" a="1"/>
  <c r="M73" i="14701" a="1"/>
  <c r="M73" i="14701" s="1"/>
  <c r="B32" i="14701" a="1"/>
  <c r="H78" i="14701" a="1"/>
  <c r="H78" i="14701" s="1"/>
  <c r="L74" i="14701" a="1"/>
  <c r="L74" i="14701" s="1"/>
  <c r="N72" i="14701" a="1"/>
  <c r="N72" i="14701" s="1"/>
  <c r="D82" i="14701" a="1"/>
  <c r="D82" i="14701" s="1"/>
  <c r="C83" i="14701" a="1"/>
  <c r="C83" i="14701" s="1"/>
  <c r="B84" i="14701" a="1"/>
  <c r="B84" i="14701" s="1"/>
  <c r="K114" i="14701" a="1"/>
  <c r="B123" i="14701" a="1"/>
  <c r="T74" i="14701" a="1"/>
  <c r="T74" i="14701" s="1"/>
  <c r="M81" i="14701" a="1"/>
  <c r="M81" i="14701" s="1"/>
  <c r="P78" i="14701" a="1"/>
  <c r="P78" i="14701" s="1"/>
  <c r="K83" i="14701" a="1"/>
  <c r="K83" i="14701" s="1"/>
  <c r="U73" i="14701" a="1"/>
  <c r="U73" i="14701" s="1"/>
  <c r="V72" i="14701" a="1"/>
  <c r="V72" i="14701" s="1"/>
  <c r="N80" i="14701" a="1"/>
  <c r="N80" i="14701" s="1"/>
  <c r="S75" i="14701" a="1"/>
  <c r="S75" i="14701" s="1"/>
  <c r="L82" i="14701" a="1"/>
  <c r="L82" i="14701" s="1"/>
  <c r="J84" i="14701" a="1"/>
  <c r="J84" i="14701" s="1"/>
  <c r="Q77" i="14701" a="1"/>
  <c r="Q77" i="14701" s="1"/>
  <c r="J28" i="14701"/>
  <c r="O79" i="14701" a="1"/>
  <c r="O79" i="14701" s="1"/>
  <c r="R76" i="14701" a="1"/>
  <c r="R76" i="14701" s="1"/>
  <c r="C84" i="14701" a="1"/>
  <c r="C84" i="14701" s="1"/>
  <c r="E82" i="14701" a="1"/>
  <c r="E82" i="14701" s="1"/>
  <c r="C28" i="14701"/>
  <c r="J77" i="14701" a="1"/>
  <c r="J77" i="14701" s="1"/>
  <c r="L75" i="14701" a="1"/>
  <c r="L75" i="14701" s="1"/>
  <c r="I78" i="14701" a="1"/>
  <c r="I78" i="14701" s="1"/>
  <c r="O72" i="14701" a="1"/>
  <c r="O72" i="14701" s="1"/>
  <c r="G80" i="14701" a="1"/>
  <c r="G80" i="14701" s="1"/>
  <c r="N73" i="14701" a="1"/>
  <c r="N73" i="14701" s="1"/>
  <c r="H79" i="14701" a="1"/>
  <c r="H79" i="14701" s="1"/>
  <c r="D83" i="14701" a="1"/>
  <c r="D83" i="14701" s="1"/>
  <c r="M74" i="14701" a="1"/>
  <c r="M74" i="14701" s="1"/>
  <c r="F81" i="14701" a="1"/>
  <c r="F81" i="14701" s="1"/>
  <c r="K76" i="14701" a="1"/>
  <c r="K76" i="14701" s="1"/>
  <c r="K84" i="14701" a="1"/>
  <c r="K84" i="14701" s="1"/>
  <c r="M82" i="14701" a="1"/>
  <c r="M82" i="14701" s="1"/>
  <c r="U74" i="14701" a="1"/>
  <c r="U74" i="14701" s="1"/>
  <c r="P79" i="14701" a="1"/>
  <c r="P79" i="14701" s="1"/>
  <c r="V73" i="14701" a="1"/>
  <c r="V73" i="14701" s="1"/>
  <c r="L83" i="14701" a="1"/>
  <c r="L83" i="14701" s="1"/>
  <c r="W72" i="14701" a="1"/>
  <c r="W72" i="14701" s="1"/>
  <c r="R77" i="14701" a="1"/>
  <c r="R77" i="14701" s="1"/>
  <c r="Q78" i="14701" a="1"/>
  <c r="Q78" i="14701" s="1"/>
  <c r="T75" i="14701" a="1"/>
  <c r="T75" i="14701" s="1"/>
  <c r="S76" i="14701" a="1"/>
  <c r="S76" i="14701" s="1"/>
  <c r="N81" i="14701" a="1"/>
  <c r="N81" i="14701" s="1"/>
  <c r="O80" i="14701" a="1"/>
  <c r="O80" i="14701" s="1"/>
  <c r="K28" i="14701"/>
  <c r="M202" i="14701" a="1"/>
  <c r="F209" i="14701" a="1"/>
  <c r="J205" i="14701" a="1"/>
  <c r="C212" i="14701" a="1"/>
  <c r="E210" i="14701" a="1"/>
  <c r="D211" i="14701" a="1"/>
  <c r="I206" i="14701" a="1"/>
  <c r="N201" i="14701" a="1"/>
  <c r="B213" i="14701" a="1"/>
  <c r="G208" i="14701" a="1"/>
  <c r="N25" i="14701"/>
  <c r="H207" i="14701" a="1"/>
  <c r="L203" i="14701" a="1"/>
  <c r="K204" i="14701" a="1"/>
  <c r="M84" i="14701" a="1"/>
  <c r="M84" i="14701" s="1"/>
  <c r="U76" i="14701" a="1"/>
  <c r="U76" i="14701" s="1"/>
  <c r="M28" i="14701"/>
  <c r="S78" i="14701" a="1"/>
  <c r="S78" i="14701" s="1"/>
  <c r="Y72" i="14701" a="1"/>
  <c r="Y72" i="14701" s="1"/>
  <c r="V75" i="14701" a="1"/>
  <c r="V75" i="14701" s="1"/>
  <c r="O82" i="14701" a="1"/>
  <c r="O82" i="14701" s="1"/>
  <c r="Q80" i="14701" a="1"/>
  <c r="Q80" i="14701" s="1"/>
  <c r="T77" i="14701" a="1"/>
  <c r="T77" i="14701" s="1"/>
  <c r="W74" i="14701" a="1"/>
  <c r="W74" i="14701" s="1"/>
  <c r="P81" i="14701" a="1"/>
  <c r="P81" i="14701" s="1"/>
  <c r="N83" i="14701" a="1"/>
  <c r="N83" i="14701" s="1"/>
  <c r="X73" i="14701" a="1"/>
  <c r="X73" i="14701" s="1"/>
  <c r="R79" i="14701" a="1"/>
  <c r="R79" i="14701" s="1"/>
  <c r="I134" i="14701" a="1"/>
  <c r="N21" i="14701"/>
  <c r="E138" i="14701" a="1"/>
  <c r="C140" i="14701" a="1"/>
  <c r="B141" i="14701" a="1"/>
  <c r="N129" i="14701" a="1"/>
  <c r="M130" i="14701" a="1"/>
  <c r="K132" i="14701" a="1"/>
  <c r="H135" i="14701" a="1"/>
  <c r="F137" i="14701" a="1"/>
  <c r="D139" i="14701" a="1"/>
  <c r="G136" i="14701" a="1"/>
  <c r="L131" i="14701" a="1"/>
  <c r="J133" i="14701" a="1"/>
  <c r="T73" i="14701" a="1"/>
  <c r="T73" i="14701" s="1"/>
  <c r="I84" i="14701" a="1"/>
  <c r="I84" i="14701" s="1"/>
  <c r="P77" i="14701" a="1"/>
  <c r="P77" i="14701" s="1"/>
  <c r="U72" i="14701" a="1"/>
  <c r="U72" i="14701" s="1"/>
  <c r="J83" i="14701" a="1"/>
  <c r="J83" i="14701" s="1"/>
  <c r="O78" i="14701" a="1"/>
  <c r="O78" i="14701" s="1"/>
  <c r="N79" i="14701" a="1"/>
  <c r="N79" i="14701" s="1"/>
  <c r="R75" i="14701" a="1"/>
  <c r="R75" i="14701" s="1"/>
  <c r="S74" i="14701" a="1"/>
  <c r="S74" i="14701" s="1"/>
  <c r="Q76" i="14701" a="1"/>
  <c r="Q76" i="14701" s="1"/>
  <c r="M80" i="14701" a="1"/>
  <c r="M80" i="14701" s="1"/>
  <c r="K82" i="14701" a="1"/>
  <c r="K82" i="14701" s="1"/>
  <c r="L81" i="14701" a="1"/>
  <c r="L81" i="14701" s="1"/>
  <c r="I28" i="14701"/>
  <c r="W202" i="14700"/>
  <c r="S202" i="14700"/>
  <c r="U202" i="14700"/>
  <c r="R202" i="14700"/>
  <c r="O202" i="14700"/>
  <c r="M202" i="14700"/>
  <c r="T202" i="14700"/>
  <c r="V202" i="14700"/>
  <c r="X202" i="14700"/>
  <c r="P202" i="14700"/>
  <c r="Q202" i="14700"/>
  <c r="N202" i="14700"/>
  <c r="M213" i="14700"/>
  <c r="E213" i="14700"/>
  <c r="J213" i="14700"/>
  <c r="K213" i="14700"/>
  <c r="G213" i="14700"/>
  <c r="B213" i="14700"/>
  <c r="H213" i="14700"/>
  <c r="L213" i="14700"/>
  <c r="F213" i="14700"/>
  <c r="C213" i="14700"/>
  <c r="O213" i="14698" s="1"/>
  <c r="D213" i="14700"/>
  <c r="I213" i="14700"/>
  <c r="O205" i="14700"/>
  <c r="N205" i="14700"/>
  <c r="U205" i="14700"/>
  <c r="M205" i="14700"/>
  <c r="L205" i="14700"/>
  <c r="T205" i="14700"/>
  <c r="P205" i="14700"/>
  <c r="S205" i="14700"/>
  <c r="K205" i="14700"/>
  <c r="J205" i="14700"/>
  <c r="Q205" i="14700"/>
  <c r="R205" i="14700"/>
  <c r="I206" i="14700"/>
  <c r="J206" i="14700"/>
  <c r="Q206" i="14700"/>
  <c r="N206" i="14700"/>
  <c r="T206" i="14700"/>
  <c r="O206" i="14700"/>
  <c r="K206" i="14700"/>
  <c r="R206" i="14700"/>
  <c r="L206" i="14700"/>
  <c r="S206" i="14700"/>
  <c r="P206" i="14700"/>
  <c r="M206" i="14700"/>
  <c r="T201" i="14700"/>
  <c r="V201" i="14700"/>
  <c r="W201" i="14700"/>
  <c r="O201" i="14700"/>
  <c r="Y201" i="14700"/>
  <c r="X201" i="14700"/>
  <c r="R201" i="14700"/>
  <c r="P201" i="14700"/>
  <c r="Q201" i="14700"/>
  <c r="N201" i="14700"/>
  <c r="U201" i="14700"/>
  <c r="S201" i="14700"/>
  <c r="O209" i="14700"/>
  <c r="J209" i="14700"/>
  <c r="M209" i="14700"/>
  <c r="L209" i="14700"/>
  <c r="G209" i="14700"/>
  <c r="I209" i="14700"/>
  <c r="Q209" i="14700"/>
  <c r="K209" i="14700"/>
  <c r="N209" i="14700"/>
  <c r="P209" i="14700"/>
  <c r="H209" i="14700"/>
  <c r="F209" i="14700"/>
  <c r="M203" i="14700"/>
  <c r="S203" i="14700"/>
  <c r="Q203" i="14700"/>
  <c r="U203" i="14700"/>
  <c r="L203" i="14700"/>
  <c r="P203" i="14700"/>
  <c r="W203" i="14700"/>
  <c r="R203" i="14700"/>
  <c r="N203" i="14700"/>
  <c r="O203" i="14700"/>
  <c r="T203" i="14700"/>
  <c r="V203" i="14700"/>
  <c r="Q219" i="14700"/>
  <c r="X219" i="14700"/>
  <c r="R219" i="14700"/>
  <c r="S219" i="14700"/>
  <c r="O219" i="14700"/>
  <c r="V219" i="14700"/>
  <c r="T219" i="14700"/>
  <c r="P219" i="14700"/>
  <c r="N219" i="14700"/>
  <c r="U219" i="14700"/>
  <c r="Y219" i="14700"/>
  <c r="W219" i="14700"/>
  <c r="Q227" i="14700"/>
  <c r="I227" i="14700"/>
  <c r="M227" i="14700"/>
  <c r="P227" i="14700"/>
  <c r="H227" i="14700"/>
  <c r="O227" i="14700"/>
  <c r="G227" i="14700"/>
  <c r="J227" i="14700"/>
  <c r="L227" i="14700"/>
  <c r="K227" i="14700"/>
  <c r="N227" i="14700"/>
  <c r="F227" i="14700"/>
  <c r="Q226" i="14700"/>
  <c r="R226" i="14700"/>
  <c r="O226" i="14700"/>
  <c r="K226" i="14700"/>
  <c r="I226" i="14700"/>
  <c r="H226" i="14700"/>
  <c r="N226" i="14700"/>
  <c r="P226" i="14700"/>
  <c r="G226" i="14700"/>
  <c r="M226" i="14700"/>
  <c r="L226" i="14700"/>
  <c r="J226" i="14700"/>
  <c r="J228" i="14700"/>
  <c r="P228" i="14700"/>
  <c r="G228" i="14700"/>
  <c r="K228" i="14700"/>
  <c r="H228" i="14700"/>
  <c r="E228" i="14700"/>
  <c r="F228" i="14700"/>
  <c r="N228" i="14700"/>
  <c r="L228" i="14700"/>
  <c r="I228" i="14700"/>
  <c r="M228" i="14700"/>
  <c r="O228" i="14700"/>
  <c r="S222" i="14700"/>
  <c r="K222" i="14700"/>
  <c r="Q222" i="14700"/>
  <c r="U222" i="14700"/>
  <c r="M222" i="14700"/>
  <c r="R222" i="14700"/>
  <c r="P222" i="14700"/>
  <c r="V222" i="14700"/>
  <c r="O222" i="14700"/>
  <c r="L222" i="14700"/>
  <c r="N222" i="14700"/>
  <c r="T222" i="14700"/>
  <c r="W220" i="14700"/>
  <c r="T220" i="14700"/>
  <c r="R220" i="14700"/>
  <c r="P220" i="14700"/>
  <c r="Q220" i="14700"/>
  <c r="N220" i="14700"/>
  <c r="V220" i="14700"/>
  <c r="S220" i="14700"/>
  <c r="X220" i="14700"/>
  <c r="M220" i="14700"/>
  <c r="U220" i="14700"/>
  <c r="O220" i="14700"/>
  <c r="E231" i="14700"/>
  <c r="C231" i="14700"/>
  <c r="O231" i="14698" s="1"/>
  <c r="F231" i="14700"/>
  <c r="H231" i="14700"/>
  <c r="B231" i="14700"/>
  <c r="J231" i="14700"/>
  <c r="L231" i="14700"/>
  <c r="M231" i="14700"/>
  <c r="I231" i="14700"/>
  <c r="K231" i="14700"/>
  <c r="G231" i="14700"/>
  <c r="D231" i="14700"/>
  <c r="J170" i="14700"/>
  <c r="N170" i="14700"/>
  <c r="I170" i="14700"/>
  <c r="P170" i="14700"/>
  <c r="L170" i="14700"/>
  <c r="K170" i="14700"/>
  <c r="Q170" i="14700"/>
  <c r="O170" i="14700"/>
  <c r="R170" i="14700"/>
  <c r="M170" i="14700"/>
  <c r="S170" i="14700"/>
  <c r="T170" i="14700"/>
  <c r="Q167" i="14700"/>
  <c r="U167" i="14700"/>
  <c r="T167" i="14700"/>
  <c r="V167" i="14700"/>
  <c r="M167" i="14700"/>
  <c r="P167" i="14700"/>
  <c r="O167" i="14700"/>
  <c r="N167" i="14700"/>
  <c r="W167" i="14700"/>
  <c r="S167" i="14700"/>
  <c r="L167" i="14700"/>
  <c r="R167" i="14700"/>
  <c r="N169" i="14700"/>
  <c r="J169" i="14700"/>
  <c r="U169" i="14700"/>
  <c r="M169" i="14700"/>
  <c r="R169" i="14700"/>
  <c r="P169" i="14700"/>
  <c r="S169" i="14700"/>
  <c r="Q169" i="14700"/>
  <c r="L169" i="14700"/>
  <c r="O169" i="14700"/>
  <c r="T169" i="14700"/>
  <c r="K169" i="14700"/>
  <c r="E174" i="14700"/>
  <c r="O174" i="14700"/>
  <c r="L174" i="14700"/>
  <c r="P174" i="14700"/>
  <c r="H174" i="14700"/>
  <c r="M174" i="14700"/>
  <c r="K174" i="14700"/>
  <c r="N174" i="14700"/>
  <c r="I174" i="14700"/>
  <c r="G174" i="14700"/>
  <c r="F174" i="14700"/>
  <c r="J174" i="14700"/>
  <c r="L175" i="14700"/>
  <c r="I175" i="14700"/>
  <c r="H175" i="14700"/>
  <c r="M175" i="14700"/>
  <c r="F175" i="14700"/>
  <c r="N175" i="14700"/>
  <c r="D175" i="14700"/>
  <c r="K175" i="14700"/>
  <c r="G175" i="14700"/>
  <c r="E175" i="14700"/>
  <c r="O175" i="14700"/>
  <c r="J175" i="14700"/>
  <c r="V166" i="14700"/>
  <c r="P166" i="14700"/>
  <c r="S166" i="14700"/>
  <c r="R166" i="14700"/>
  <c r="O166" i="14700"/>
  <c r="W166" i="14700"/>
  <c r="T166" i="14700"/>
  <c r="U166" i="14700"/>
  <c r="X166" i="14700"/>
  <c r="N166" i="14700"/>
  <c r="Q166" i="14700"/>
  <c r="M166" i="14700"/>
  <c r="J6" i="14683" a="1"/>
  <c r="H12" i="14683"/>
  <c r="H7" i="14683"/>
  <c r="H8" i="14683"/>
  <c r="H13" i="14683"/>
  <c r="H6" i="14683"/>
  <c r="H11" i="14683"/>
  <c r="H9" i="14683"/>
  <c r="H10" i="14683"/>
  <c r="N111" i="14704" a="1"/>
  <c r="N20" i="14704"/>
  <c r="M112" i="14704" a="1"/>
  <c r="J76" i="14704" a="1"/>
  <c r="J76" i="14704" s="1"/>
  <c r="G79" i="14704" a="1"/>
  <c r="G79" i="14704" s="1"/>
  <c r="L74" i="14704" a="1"/>
  <c r="L74" i="14704" s="1"/>
  <c r="D82" i="14704" a="1"/>
  <c r="D82" i="14704" s="1"/>
  <c r="H78" i="14704" a="1"/>
  <c r="H78" i="14704" s="1"/>
  <c r="H117" i="14704" a="1"/>
  <c r="F119" i="14704" a="1"/>
  <c r="B123" i="14704" a="1"/>
  <c r="D121" i="14704" a="1"/>
  <c r="L113" i="14704" a="1"/>
  <c r="B28" i="14704"/>
  <c r="J115" i="14704" a="1"/>
  <c r="E81" i="14704" a="1"/>
  <c r="E81" i="14704" s="1"/>
  <c r="G118" i="14704" a="1"/>
  <c r="C122" i="14704" a="1"/>
  <c r="E120" i="14704" a="1"/>
  <c r="K114" i="14704" a="1"/>
  <c r="C83" i="14704" a="1"/>
  <c r="C83" i="14704" s="1"/>
  <c r="K75" i="14704" a="1"/>
  <c r="K75" i="14704" s="1"/>
  <c r="I77" i="14704" a="1"/>
  <c r="I77" i="14704" s="1"/>
  <c r="F80" i="14704" a="1"/>
  <c r="F80" i="14704" s="1"/>
  <c r="I116" i="14704" a="1"/>
  <c r="N72" i="14704" a="1"/>
  <c r="N72" i="14704" s="1"/>
  <c r="B32" i="14704" a="1"/>
  <c r="M73" i="14704" a="1"/>
  <c r="M73" i="14704" s="1"/>
  <c r="B84" i="14704" a="1"/>
  <c r="B84" i="14704" s="1"/>
  <c r="O82" i="14704" a="1"/>
  <c r="O82" i="14704" s="1"/>
  <c r="Q80" i="14704" a="1"/>
  <c r="Q80" i="14704" s="1"/>
  <c r="W74" i="14704" a="1"/>
  <c r="W74" i="14704" s="1"/>
  <c r="P81" i="14704" a="1"/>
  <c r="P81" i="14704" s="1"/>
  <c r="S78" i="14704" a="1"/>
  <c r="S78" i="14704" s="1"/>
  <c r="M84" i="14704" a="1"/>
  <c r="M84" i="14704" s="1"/>
  <c r="U76" i="14704" a="1"/>
  <c r="U76" i="14704" s="1"/>
  <c r="R79" i="14704" a="1"/>
  <c r="R79" i="14704" s="1"/>
  <c r="M28" i="14704"/>
  <c r="V75" i="14704" a="1"/>
  <c r="V75" i="14704" s="1"/>
  <c r="N83" i="14704" a="1"/>
  <c r="N83" i="14704" s="1"/>
  <c r="T77" i="14704" a="1"/>
  <c r="T77" i="14704" s="1"/>
  <c r="X73" i="14704" a="1"/>
  <c r="X73" i="14704" s="1"/>
  <c r="Y72" i="14704" a="1"/>
  <c r="Y72" i="14704" s="1"/>
  <c r="Y85" i="14704" s="1"/>
  <c r="C158" i="14704" a="1"/>
  <c r="G154" i="14704" a="1"/>
  <c r="M148" i="14704" a="1"/>
  <c r="F155" i="14704" a="1"/>
  <c r="E156" i="14704" a="1"/>
  <c r="L149" i="14704" a="1"/>
  <c r="N147" i="14704" a="1"/>
  <c r="D157" i="14704" a="1"/>
  <c r="N22" i="14704"/>
  <c r="H153" i="14704" a="1"/>
  <c r="B159" i="14704" a="1"/>
  <c r="K150" i="14704" a="1"/>
  <c r="J151" i="14704" a="1"/>
  <c r="I152" i="14704" a="1"/>
  <c r="S77" i="14704" a="1"/>
  <c r="S77" i="14704" s="1"/>
  <c r="R78" i="14704" a="1"/>
  <c r="R78" i="14704" s="1"/>
  <c r="P80" i="14704" a="1"/>
  <c r="P80" i="14704" s="1"/>
  <c r="T76" i="14704" a="1"/>
  <c r="T76" i="14704" s="1"/>
  <c r="N82" i="14704" a="1"/>
  <c r="N82" i="14704" s="1"/>
  <c r="L28" i="14704"/>
  <c r="L84" i="14704" a="1"/>
  <c r="L84" i="14704" s="1"/>
  <c r="X72" i="14704" a="1"/>
  <c r="X72" i="14704" s="1"/>
  <c r="O81" i="14704" a="1"/>
  <c r="O81" i="14704" s="1"/>
  <c r="Q79" i="14704" a="1"/>
  <c r="Q79" i="14704" s="1"/>
  <c r="W73" i="14704" a="1"/>
  <c r="W73" i="14704" s="1"/>
  <c r="U75" i="14704" a="1"/>
  <c r="U75" i="14704" s="1"/>
  <c r="V74" i="14704" a="1"/>
  <c r="V74" i="14704" s="1"/>
  <c r="M83" i="14704" a="1"/>
  <c r="M83" i="14704" s="1"/>
  <c r="C140" i="14704" a="1"/>
  <c r="L131" i="14704" a="1"/>
  <c r="D139" i="14704" a="1"/>
  <c r="H135" i="14704" a="1"/>
  <c r="G136" i="14704" a="1"/>
  <c r="E138" i="14704" a="1"/>
  <c r="N129" i="14704" a="1"/>
  <c r="I134" i="14704" a="1"/>
  <c r="K132" i="14704" a="1"/>
  <c r="M130" i="14704" a="1"/>
  <c r="N21" i="14704"/>
  <c r="F137" i="14704" a="1"/>
  <c r="B141" i="14704" a="1"/>
  <c r="J133" i="14704" a="1"/>
  <c r="Q74" i="14704" a="1"/>
  <c r="Q74" i="14704" s="1"/>
  <c r="O76" i="14704" a="1"/>
  <c r="O76" i="14704" s="1"/>
  <c r="J81" i="14704" a="1"/>
  <c r="J81" i="14704" s="1"/>
  <c r="I82" i="14704" a="1"/>
  <c r="I82" i="14704" s="1"/>
  <c r="M78" i="14704" a="1"/>
  <c r="M78" i="14704" s="1"/>
  <c r="G28" i="14704"/>
  <c r="G84" i="14704" a="1"/>
  <c r="G84" i="14704" s="1"/>
  <c r="P75" i="14704" a="1"/>
  <c r="P75" i="14704" s="1"/>
  <c r="K80" i="14704" a="1"/>
  <c r="K80" i="14704" s="1"/>
  <c r="S72" i="14704" a="1"/>
  <c r="S72" i="14704" s="1"/>
  <c r="L79" i="14704" a="1"/>
  <c r="L79" i="14704" s="1"/>
  <c r="H83" i="14704" a="1"/>
  <c r="H83" i="14704" s="1"/>
  <c r="R73" i="14704" a="1"/>
  <c r="R73" i="14704" s="1"/>
  <c r="N77" i="14704" a="1"/>
  <c r="N77" i="14704" s="1"/>
  <c r="D83" i="14704" a="1"/>
  <c r="D83" i="14704" s="1"/>
  <c r="O72" i="14704" a="1"/>
  <c r="O72" i="14704" s="1"/>
  <c r="G80" i="14704" a="1"/>
  <c r="G80" i="14704" s="1"/>
  <c r="K76" i="14704" a="1"/>
  <c r="K76" i="14704" s="1"/>
  <c r="H79" i="14704" a="1"/>
  <c r="H79" i="14704" s="1"/>
  <c r="L75" i="14704" a="1"/>
  <c r="L75" i="14704" s="1"/>
  <c r="F81" i="14704" a="1"/>
  <c r="F81" i="14704" s="1"/>
  <c r="I78" i="14704" a="1"/>
  <c r="I78" i="14704" s="1"/>
  <c r="C28" i="14704"/>
  <c r="J77" i="14704" a="1"/>
  <c r="J77" i="14704" s="1"/>
  <c r="E82" i="14704" a="1"/>
  <c r="E82" i="14704" s="1"/>
  <c r="C84" i="14704" a="1"/>
  <c r="C84" i="14704" s="1"/>
  <c r="N73" i="14704" a="1"/>
  <c r="N73" i="14704" s="1"/>
  <c r="M74" i="14704" a="1"/>
  <c r="M74" i="14704" s="1"/>
  <c r="Q76" i="14704" a="1"/>
  <c r="Q76" i="14704" s="1"/>
  <c r="K82" i="14704" a="1"/>
  <c r="K82" i="14704" s="1"/>
  <c r="S74" i="14704" a="1"/>
  <c r="S74" i="14704" s="1"/>
  <c r="J83" i="14704" a="1"/>
  <c r="J83" i="14704" s="1"/>
  <c r="U72" i="14704" a="1"/>
  <c r="U72" i="14704" s="1"/>
  <c r="T73" i="14704" a="1"/>
  <c r="T73" i="14704" s="1"/>
  <c r="L81" i="14704" a="1"/>
  <c r="L81" i="14704" s="1"/>
  <c r="M80" i="14704" a="1"/>
  <c r="M80" i="14704" s="1"/>
  <c r="O78" i="14704" a="1"/>
  <c r="O78" i="14704" s="1"/>
  <c r="P77" i="14704" a="1"/>
  <c r="P77" i="14704" s="1"/>
  <c r="I84" i="14704" a="1"/>
  <c r="I84" i="14704" s="1"/>
  <c r="R75" i="14704" a="1"/>
  <c r="R75" i="14704" s="1"/>
  <c r="N79" i="14704" a="1"/>
  <c r="N79" i="14704" s="1"/>
  <c r="I28" i="14704"/>
  <c r="B231" i="14704" a="1"/>
  <c r="K222" i="14704" a="1"/>
  <c r="J223" i="14704" a="1"/>
  <c r="N26" i="14704"/>
  <c r="M220" i="14704" a="1"/>
  <c r="I224" i="14704" a="1"/>
  <c r="N219" i="14704" a="1"/>
  <c r="C230" i="14704" a="1"/>
  <c r="H225" i="14704" a="1"/>
  <c r="F227" i="14704" a="1"/>
  <c r="L221" i="14704" a="1"/>
  <c r="G226" i="14704" a="1"/>
  <c r="E228" i="14704" a="1"/>
  <c r="D229" i="14704" a="1"/>
  <c r="J205" i="14704" a="1"/>
  <c r="M202" i="14704" a="1"/>
  <c r="N25" i="14704"/>
  <c r="G208" i="14704" a="1"/>
  <c r="D211" i="14704" a="1"/>
  <c r="E210" i="14704" a="1"/>
  <c r="C212" i="14704" a="1"/>
  <c r="B213" i="14704" a="1"/>
  <c r="F209" i="14704" a="1"/>
  <c r="H207" i="14704" a="1"/>
  <c r="K204" i="14704" a="1"/>
  <c r="L203" i="14704" a="1"/>
  <c r="N201" i="14704" a="1"/>
  <c r="I206" i="14704" a="1"/>
  <c r="E21" i="14702"/>
  <c r="G24" i="14702"/>
  <c r="K25" i="14702"/>
  <c r="F23" i="14702"/>
  <c r="H21" i="14702"/>
  <c r="H22" i="14702"/>
  <c r="E25" i="14702"/>
  <c r="I23" i="14702"/>
  <c r="B24" i="14702"/>
  <c r="D22" i="14702"/>
  <c r="G20" i="14702"/>
  <c r="F25" i="14702"/>
  <c r="J24" i="14702"/>
  <c r="M26" i="14702"/>
  <c r="D23" i="14702"/>
  <c r="E26" i="14702"/>
  <c r="G23" i="14702"/>
  <c r="M24" i="14702"/>
  <c r="L20" i="14702"/>
  <c r="F27" i="14702"/>
  <c r="C22" i="14702"/>
  <c r="M22" i="14702"/>
  <c r="M25" i="14702"/>
  <c r="D21" i="14702"/>
  <c r="H27" i="14702"/>
  <c r="K20" i="14702"/>
  <c r="J22" i="14702"/>
  <c r="I24" i="14702"/>
  <c r="F21" i="14702"/>
  <c r="C21" i="14702"/>
  <c r="K27" i="14702"/>
  <c r="J23" i="14702"/>
  <c r="K23" i="14702"/>
  <c r="B20" i="14702"/>
  <c r="L27" i="14702"/>
  <c r="G26" i="14702"/>
  <c r="F22" i="14702"/>
  <c r="M27" i="14702"/>
  <c r="I26" i="14702"/>
  <c r="D27" i="14702"/>
  <c r="L23" i="14702"/>
  <c r="H24" i="14702"/>
  <c r="E22" i="14702"/>
  <c r="L25" i="14702"/>
  <c r="E27" i="14702"/>
  <c r="J27" i="14702"/>
  <c r="C27" i="14702"/>
  <c r="K26" i="14702"/>
  <c r="H23" i="14702"/>
  <c r="D24" i="14702"/>
  <c r="B23" i="14702"/>
  <c r="H26" i="14702"/>
  <c r="F24" i="14702"/>
  <c r="H25" i="14702"/>
  <c r="L24" i="14702"/>
  <c r="D20" i="14702"/>
  <c r="J25" i="14702"/>
  <c r="K22" i="14702"/>
  <c r="B26" i="14702"/>
  <c r="C25" i="14702"/>
  <c r="J21" i="14702"/>
  <c r="K21" i="14702"/>
  <c r="I21" i="14702"/>
  <c r="E20" i="14702"/>
  <c r="M23" i="14702"/>
  <c r="M21" i="14702"/>
  <c r="D25" i="14702"/>
  <c r="H20" i="14702"/>
  <c r="G27" i="14702"/>
  <c r="M20" i="14702"/>
  <c r="I27" i="14702"/>
  <c r="C26" i="14702"/>
  <c r="D26" i="14702"/>
  <c r="I22" i="14702"/>
  <c r="B21" i="14702"/>
  <c r="I20" i="14702"/>
  <c r="L26" i="14702"/>
  <c r="F20" i="14702"/>
  <c r="G22" i="14702"/>
  <c r="C23" i="14702"/>
  <c r="I25" i="14702"/>
  <c r="B27" i="14702"/>
  <c r="J26" i="14702"/>
  <c r="F26" i="14702"/>
  <c r="G25" i="14702"/>
  <c r="C24" i="14702"/>
  <c r="L21" i="14702"/>
  <c r="B22" i="14702"/>
  <c r="L22" i="14702"/>
  <c r="E24" i="14702"/>
  <c r="C20" i="14702"/>
  <c r="G21" i="14702"/>
  <c r="B25" i="14702"/>
  <c r="E23" i="14702"/>
  <c r="K24" i="14702"/>
  <c r="J20" i="14702"/>
  <c r="H11" i="14707"/>
  <c r="H14" i="14707"/>
  <c r="H15" i="14707"/>
  <c r="H12" i="14707"/>
  <c r="H16" i="14707"/>
  <c r="H17" i="14707"/>
  <c r="H13" i="14707"/>
  <c r="H18" i="14707"/>
  <c r="B103" i="14707"/>
  <c r="P138" i="14700"/>
  <c r="I138" i="14700"/>
  <c r="K138" i="14700"/>
  <c r="G138" i="14700"/>
  <c r="L138" i="14700"/>
  <c r="M138" i="14700"/>
  <c r="E138" i="14700"/>
  <c r="N138" i="14700"/>
  <c r="O138" i="14700"/>
  <c r="F138" i="14700"/>
  <c r="J138" i="14700"/>
  <c r="H138" i="14700"/>
  <c r="T134" i="14700"/>
  <c r="L134" i="14700"/>
  <c r="O134" i="14700"/>
  <c r="S134" i="14700"/>
  <c r="J134" i="14700"/>
  <c r="R134" i="14700"/>
  <c r="P134" i="14700"/>
  <c r="I134" i="14700"/>
  <c r="M134" i="14700"/>
  <c r="N134" i="14700"/>
  <c r="K134" i="14700"/>
  <c r="Q134" i="14700"/>
  <c r="K135" i="14700"/>
  <c r="P135" i="14700"/>
  <c r="M135" i="14700"/>
  <c r="S135" i="14700"/>
  <c r="R135" i="14700"/>
  <c r="L135" i="14700"/>
  <c r="H135" i="14700"/>
  <c r="J135" i="14700"/>
  <c r="N135" i="14700"/>
  <c r="O135" i="14700"/>
  <c r="I135" i="14700"/>
  <c r="Q135" i="14700"/>
  <c r="E139" i="14700"/>
  <c r="F139" i="14700"/>
  <c r="N139" i="14700"/>
  <c r="K139" i="14700"/>
  <c r="D139" i="14700"/>
  <c r="L139" i="14700"/>
  <c r="G139" i="14700"/>
  <c r="M139" i="14700"/>
  <c r="O139" i="14700"/>
  <c r="J139" i="14700"/>
  <c r="I139" i="14700"/>
  <c r="H139" i="14700"/>
  <c r="K140" i="14700"/>
  <c r="H140" i="14700"/>
  <c r="G140" i="14700"/>
  <c r="F140" i="14700"/>
  <c r="L140" i="14700"/>
  <c r="J140" i="14700"/>
  <c r="M140" i="14700"/>
  <c r="I140" i="14700"/>
  <c r="E140" i="14700"/>
  <c r="C140" i="14700"/>
  <c r="N140" i="14700"/>
  <c r="D140" i="14700"/>
  <c r="R130" i="14700"/>
  <c r="U130" i="14700"/>
  <c r="S130" i="14700"/>
  <c r="Q130" i="14700"/>
  <c r="P130" i="14700"/>
  <c r="V130" i="14700"/>
  <c r="N130" i="14700"/>
  <c r="O130" i="14700"/>
  <c r="T130" i="14700"/>
  <c r="M130" i="14700"/>
  <c r="X130" i="14700"/>
  <c r="W130" i="14700"/>
  <c r="O133" i="14700"/>
  <c r="L133" i="14700"/>
  <c r="T133" i="14700"/>
  <c r="Q133" i="14700"/>
  <c r="S133" i="14700"/>
  <c r="M133" i="14700"/>
  <c r="R133" i="14700"/>
  <c r="J133" i="14700"/>
  <c r="K133" i="14700"/>
  <c r="N133" i="14700"/>
  <c r="P133" i="14700"/>
  <c r="U133" i="14700"/>
  <c r="K245" i="14700"/>
  <c r="H245" i="14700"/>
  <c r="P245" i="14700"/>
  <c r="G245" i="14700"/>
  <c r="Q245" i="14700"/>
  <c r="L245" i="14700"/>
  <c r="J245" i="14700"/>
  <c r="M245" i="14700"/>
  <c r="I245" i="14700"/>
  <c r="O245" i="14700"/>
  <c r="F245" i="14700"/>
  <c r="N245" i="14700"/>
  <c r="N241" i="14700"/>
  <c r="P241" i="14700"/>
  <c r="M241" i="14700"/>
  <c r="L241" i="14700"/>
  <c r="K241" i="14700"/>
  <c r="T241" i="14700"/>
  <c r="J241" i="14700"/>
  <c r="U241" i="14700"/>
  <c r="Q241" i="14700"/>
  <c r="S241" i="14700"/>
  <c r="R241" i="14700"/>
  <c r="O241" i="14700"/>
  <c r="P243" i="14700"/>
  <c r="J243" i="14700"/>
  <c r="N243" i="14700"/>
  <c r="M243" i="14700"/>
  <c r="K243" i="14700"/>
  <c r="H243" i="14700"/>
  <c r="Q243" i="14700"/>
  <c r="R243" i="14700"/>
  <c r="L243" i="14700"/>
  <c r="I243" i="14700"/>
  <c r="S243" i="14700"/>
  <c r="O243" i="14700"/>
  <c r="W237" i="14700"/>
  <c r="P237" i="14700"/>
  <c r="U237" i="14700"/>
  <c r="S237" i="14700"/>
  <c r="X237" i="14700"/>
  <c r="T237" i="14700"/>
  <c r="V237" i="14700"/>
  <c r="R237" i="14700"/>
  <c r="Y237" i="14700"/>
  <c r="O237" i="14700"/>
  <c r="Q237" i="14700"/>
  <c r="N237" i="14700"/>
  <c r="N248" i="14700"/>
  <c r="I248" i="14700"/>
  <c r="M248" i="14700"/>
  <c r="L248" i="14700"/>
  <c r="C248" i="14700"/>
  <c r="H248" i="14700"/>
  <c r="K248" i="14700"/>
  <c r="D248" i="14700"/>
  <c r="J248" i="14700"/>
  <c r="F248" i="14700"/>
  <c r="G248" i="14700"/>
  <c r="E248" i="14700"/>
  <c r="V239" i="14700"/>
  <c r="O239" i="14700"/>
  <c r="R239" i="14700"/>
  <c r="L239" i="14700"/>
  <c r="N239" i="14700"/>
  <c r="Q239" i="14700"/>
  <c r="P239" i="14700"/>
  <c r="U239" i="14700"/>
  <c r="W239" i="14700"/>
  <c r="M239" i="14700"/>
  <c r="T239" i="14700"/>
  <c r="S239" i="14700"/>
  <c r="L191" i="14700"/>
  <c r="N191" i="14700"/>
  <c r="F191" i="14700"/>
  <c r="I191" i="14700"/>
  <c r="O191" i="14700"/>
  <c r="M191" i="14700"/>
  <c r="Q191" i="14700"/>
  <c r="J191" i="14700"/>
  <c r="G191" i="14700"/>
  <c r="K191" i="14700"/>
  <c r="P191" i="14700"/>
  <c r="H191" i="14700"/>
  <c r="J188" i="14700"/>
  <c r="M188" i="14700"/>
  <c r="L188" i="14700"/>
  <c r="I188" i="14700"/>
  <c r="K188" i="14700"/>
  <c r="T188" i="14700"/>
  <c r="Q188" i="14700"/>
  <c r="R188" i="14700"/>
  <c r="N188" i="14700"/>
  <c r="O188" i="14700"/>
  <c r="P188" i="14700"/>
  <c r="S188" i="14700"/>
  <c r="H190" i="14700"/>
  <c r="K190" i="14700"/>
  <c r="I190" i="14700"/>
  <c r="N190" i="14700"/>
  <c r="P190" i="14700"/>
  <c r="J190" i="14700"/>
  <c r="L190" i="14700"/>
  <c r="R190" i="14700"/>
  <c r="Q190" i="14700"/>
  <c r="G190" i="14700"/>
  <c r="O190" i="14700"/>
  <c r="M190" i="14700"/>
  <c r="K195" i="14700"/>
  <c r="H195" i="14700"/>
  <c r="G195" i="14700"/>
  <c r="B195" i="14700"/>
  <c r="C195" i="14700"/>
  <c r="O195" i="14698" s="1"/>
  <c r="J195" i="14700"/>
  <c r="D195" i="14700"/>
  <c r="E195" i="14700"/>
  <c r="F195" i="14700"/>
  <c r="L195" i="14700"/>
  <c r="I195" i="14700"/>
  <c r="M195" i="14700"/>
  <c r="O186" i="14700"/>
  <c r="R186" i="14700"/>
  <c r="S186" i="14700"/>
  <c r="L186" i="14700"/>
  <c r="N186" i="14700"/>
  <c r="P186" i="14700"/>
  <c r="M186" i="14700"/>
  <c r="Q186" i="14700"/>
  <c r="T186" i="14700"/>
  <c r="U186" i="14700"/>
  <c r="V186" i="14700"/>
  <c r="K186" i="14700"/>
  <c r="O183" i="14700"/>
  <c r="Q183" i="14700"/>
  <c r="R183" i="14700"/>
  <c r="X183" i="14700"/>
  <c r="S183" i="14700"/>
  <c r="N183" i="14700"/>
  <c r="V183" i="14700"/>
  <c r="T183" i="14700"/>
  <c r="Y183" i="14700"/>
  <c r="P183" i="14700"/>
  <c r="U183" i="14700"/>
  <c r="W183" i="14700"/>
  <c r="O118" i="14700"/>
  <c r="G118" i="14700"/>
  <c r="K118" i="14700"/>
  <c r="J118" i="14700"/>
  <c r="Q118" i="14700"/>
  <c r="N118" i="14700"/>
  <c r="M118" i="14700"/>
  <c r="L118" i="14700"/>
  <c r="I118" i="14700"/>
  <c r="H118" i="14700"/>
  <c r="P118" i="14700"/>
  <c r="R118" i="14700"/>
  <c r="L85" i="14700"/>
  <c r="X74" i="14698" a="1"/>
  <c r="Y73" i="14698" a="1"/>
  <c r="M85" i="14700"/>
  <c r="N119" i="14700"/>
  <c r="G119" i="14700"/>
  <c r="L119" i="14700"/>
  <c r="P119" i="14700"/>
  <c r="Q119" i="14700"/>
  <c r="M119" i="14700"/>
  <c r="H119" i="14700"/>
  <c r="I119" i="14700"/>
  <c r="F119" i="14700"/>
  <c r="K119" i="14700"/>
  <c r="O119" i="14700"/>
  <c r="J119" i="14700"/>
  <c r="E85" i="14700"/>
  <c r="Q81" i="14698" a="1"/>
  <c r="K39" i="14700"/>
  <c r="L35" i="14700"/>
  <c r="J37" i="14700"/>
  <c r="L34" i="14700"/>
  <c r="K35" i="14700"/>
  <c r="M39" i="14700"/>
  <c r="M38" i="14700"/>
  <c r="L38" i="14700"/>
  <c r="G37" i="14700"/>
  <c r="J35" i="14700"/>
  <c r="I36" i="14700"/>
  <c r="D39" i="14700"/>
  <c r="K36" i="14700"/>
  <c r="H37" i="14700"/>
  <c r="K38" i="14700"/>
  <c r="L36" i="14700"/>
  <c r="M36" i="14700"/>
  <c r="K37" i="14700"/>
  <c r="J33" i="14700"/>
  <c r="F33" i="14700"/>
  <c r="K33" i="14700"/>
  <c r="D36" i="14700"/>
  <c r="D35" i="14700"/>
  <c r="F34" i="14700"/>
  <c r="E39" i="14700"/>
  <c r="I39" i="14700"/>
  <c r="M33" i="14700"/>
  <c r="E38" i="14700"/>
  <c r="C34" i="14700"/>
  <c r="F39" i="14700"/>
  <c r="G35" i="14700"/>
  <c r="C37" i="14700"/>
  <c r="J38" i="14700"/>
  <c r="G33" i="14700"/>
  <c r="E35" i="14700"/>
  <c r="E36" i="14700"/>
  <c r="C32" i="14700"/>
  <c r="D37" i="14700"/>
  <c r="D38" i="14700"/>
  <c r="F37" i="14700"/>
  <c r="H38" i="14700"/>
  <c r="G39" i="14700"/>
  <c r="B39" i="14700"/>
  <c r="C35" i="14700"/>
  <c r="M37" i="14700"/>
  <c r="H34" i="14700"/>
  <c r="B35" i="14700"/>
  <c r="H32" i="14700"/>
  <c r="F35" i="14700"/>
  <c r="H33" i="14700"/>
  <c r="F36" i="14700"/>
  <c r="G36" i="14700"/>
  <c r="C38" i="14700"/>
  <c r="C36" i="14700"/>
  <c r="E32" i="14700"/>
  <c r="B34" i="14700"/>
  <c r="M35" i="14700"/>
  <c r="G34" i="14700"/>
  <c r="C33" i="14700"/>
  <c r="B32" i="14700"/>
  <c r="I38" i="14700"/>
  <c r="F38" i="14700"/>
  <c r="I37" i="14700"/>
  <c r="B33" i="14700"/>
  <c r="E33" i="14700"/>
  <c r="L37" i="14700"/>
  <c r="H39" i="14700"/>
  <c r="H35" i="14700"/>
  <c r="E34" i="14700"/>
  <c r="B37" i="14700"/>
  <c r="L39" i="14700"/>
  <c r="K32" i="14700"/>
  <c r="D32" i="14700"/>
  <c r="F32" i="14700"/>
  <c r="J32" i="14700"/>
  <c r="L32" i="14700"/>
  <c r="D33" i="14700"/>
  <c r="B36" i="14700"/>
  <c r="G38" i="14700"/>
  <c r="G32" i="14700"/>
  <c r="M32" i="14700"/>
  <c r="I33" i="14700"/>
  <c r="B38" i="14700"/>
  <c r="K34" i="14700"/>
  <c r="E37" i="14700"/>
  <c r="H36" i="14700"/>
  <c r="L33" i="14700"/>
  <c r="I34" i="14700"/>
  <c r="J34" i="14700"/>
  <c r="J39" i="14700"/>
  <c r="D34" i="14700"/>
  <c r="C39" i="14700"/>
  <c r="I32" i="14700"/>
  <c r="I35" i="14700"/>
  <c r="J36" i="14700"/>
  <c r="M34" i="14700"/>
  <c r="D85" i="14700"/>
  <c r="P82" i="14698" a="1"/>
  <c r="U77" i="14698" a="1"/>
  <c r="I85" i="14700"/>
  <c r="H85" i="14700"/>
  <c r="T78" i="14698" a="1"/>
  <c r="N84" i="14698"/>
  <c r="N85" i="14698" s="1"/>
  <c r="B85" i="14700"/>
  <c r="V76" i="14698" a="1"/>
  <c r="J85" i="14700"/>
  <c r="K114" i="14700"/>
  <c r="N114" i="14700"/>
  <c r="O114" i="14700"/>
  <c r="S114" i="14700"/>
  <c r="M114" i="14700"/>
  <c r="R114" i="14700"/>
  <c r="P114" i="14700"/>
  <c r="Q114" i="14700"/>
  <c r="U114" i="14700"/>
  <c r="L114" i="14700"/>
  <c r="T114" i="14700"/>
  <c r="V114" i="14700"/>
  <c r="K116" i="14700"/>
  <c r="T116" i="14700"/>
  <c r="L116" i="14700"/>
  <c r="S116" i="14700"/>
  <c r="J116" i="14700"/>
  <c r="P116" i="14700"/>
  <c r="M116" i="14700"/>
  <c r="R116" i="14700"/>
  <c r="N116" i="14700"/>
  <c r="O116" i="14700"/>
  <c r="Q116" i="14700"/>
  <c r="I116" i="14700"/>
  <c r="K85" i="14700"/>
  <c r="W75" i="14698" a="1"/>
  <c r="Q154" i="14700"/>
  <c r="K154" i="14700"/>
  <c r="P154" i="14700"/>
  <c r="H154" i="14700"/>
  <c r="I154" i="14700"/>
  <c r="N154" i="14700"/>
  <c r="R154" i="14700"/>
  <c r="J154" i="14700"/>
  <c r="O154" i="14700"/>
  <c r="M154" i="14700"/>
  <c r="L154" i="14700"/>
  <c r="G154" i="14700"/>
  <c r="I156" i="14700"/>
  <c r="F156" i="14700"/>
  <c r="L156" i="14700"/>
  <c r="K156" i="14700"/>
  <c r="E156" i="14700"/>
  <c r="M156" i="14700"/>
  <c r="P156" i="14700"/>
  <c r="H156" i="14700"/>
  <c r="O156" i="14700"/>
  <c r="N156" i="14700"/>
  <c r="G156" i="14700"/>
  <c r="J156" i="14700"/>
  <c r="K152" i="14700"/>
  <c r="N152" i="14700"/>
  <c r="O152" i="14700"/>
  <c r="S152" i="14700"/>
  <c r="M152" i="14700"/>
  <c r="J152" i="14700"/>
  <c r="L152" i="14700"/>
  <c r="P152" i="14700"/>
  <c r="R152" i="14700"/>
  <c r="Q152" i="14700"/>
  <c r="T152" i="14700"/>
  <c r="I152" i="14700"/>
  <c r="T151" i="14700"/>
  <c r="O151" i="14700"/>
  <c r="L151" i="14700"/>
  <c r="R151" i="14700"/>
  <c r="S151" i="14700"/>
  <c r="J151" i="14700"/>
  <c r="N151" i="14700"/>
  <c r="P151" i="14700"/>
  <c r="Q151" i="14700"/>
  <c r="K151" i="14700"/>
  <c r="U151" i="14700"/>
  <c r="M151" i="14700"/>
  <c r="O155" i="14700"/>
  <c r="Q155" i="14700"/>
  <c r="M155" i="14700"/>
  <c r="H155" i="14700"/>
  <c r="P155" i="14700"/>
  <c r="N155" i="14700"/>
  <c r="I155" i="14700"/>
  <c r="K155" i="14700"/>
  <c r="L155" i="14700"/>
  <c r="J155" i="14700"/>
  <c r="F155" i="14700"/>
  <c r="G155" i="14700"/>
  <c r="S153" i="14700"/>
  <c r="O153" i="14700"/>
  <c r="P153" i="14700"/>
  <c r="I153" i="14700"/>
  <c r="N153" i="14700"/>
  <c r="Q153" i="14700"/>
  <c r="K153" i="14700"/>
  <c r="H153" i="14700"/>
  <c r="L153" i="14700"/>
  <c r="M153" i="14700"/>
  <c r="J153" i="14700"/>
  <c r="R153" i="14700"/>
  <c r="J158" i="14700"/>
  <c r="E158" i="14700"/>
  <c r="L158" i="14700"/>
  <c r="N158" i="14700"/>
  <c r="M158" i="14700"/>
  <c r="D158" i="14700"/>
  <c r="G158" i="14700"/>
  <c r="C158" i="14700"/>
  <c r="K158" i="14700"/>
  <c r="I158" i="14700"/>
  <c r="H158" i="14700"/>
  <c r="F158" i="14700"/>
  <c r="H82" i="14701" a="1"/>
  <c r="H82" i="14701" s="1"/>
  <c r="M77" i="14701" a="1"/>
  <c r="M77" i="14701" s="1"/>
  <c r="P74" i="14701" a="1"/>
  <c r="P74" i="14701" s="1"/>
  <c r="G83" i="14701" a="1"/>
  <c r="G83" i="14701" s="1"/>
  <c r="I81" i="14701" a="1"/>
  <c r="I81" i="14701" s="1"/>
  <c r="J80" i="14701" a="1"/>
  <c r="J80" i="14701" s="1"/>
  <c r="F28" i="14701"/>
  <c r="F84" i="14701" a="1"/>
  <c r="F84" i="14701" s="1"/>
  <c r="N76" i="14701" a="1"/>
  <c r="N76" i="14701" s="1"/>
  <c r="R72" i="14701" a="1"/>
  <c r="R72" i="14701" s="1"/>
  <c r="K79" i="14701" a="1"/>
  <c r="K79" i="14701" s="1"/>
  <c r="O75" i="14701" a="1"/>
  <c r="O75" i="14701" s="1"/>
  <c r="Q73" i="14701" a="1"/>
  <c r="Q73" i="14701" s="1"/>
  <c r="L78" i="14701" a="1"/>
  <c r="L78" i="14701" s="1"/>
  <c r="O73" i="14701" a="1"/>
  <c r="O73" i="14701" s="1"/>
  <c r="M75" i="14701" a="1"/>
  <c r="M75" i="14701" s="1"/>
  <c r="D28" i="14701"/>
  <c r="N74" i="14701" a="1"/>
  <c r="N74" i="14701" s="1"/>
  <c r="D84" i="14701" a="1"/>
  <c r="D84" i="14701" s="1"/>
  <c r="J78" i="14701" a="1"/>
  <c r="J78" i="14701" s="1"/>
  <c r="G81" i="14701" a="1"/>
  <c r="G81" i="14701" s="1"/>
  <c r="E83" i="14701" a="1"/>
  <c r="E83" i="14701" s="1"/>
  <c r="F82" i="14701" a="1"/>
  <c r="F82" i="14701" s="1"/>
  <c r="L76" i="14701" a="1"/>
  <c r="L76" i="14701" s="1"/>
  <c r="K77" i="14701" a="1"/>
  <c r="K77" i="14701" s="1"/>
  <c r="H80" i="14701" a="1"/>
  <c r="H80" i="14701" s="1"/>
  <c r="P72" i="14701" a="1"/>
  <c r="P72" i="14701" s="1"/>
  <c r="I79" i="14701" a="1"/>
  <c r="I79" i="14701" s="1"/>
  <c r="G244" i="14701" a="1"/>
  <c r="E246" i="14701" a="1"/>
  <c r="D247" i="14701" a="1"/>
  <c r="B249" i="14701" a="1"/>
  <c r="N237" i="14701" a="1"/>
  <c r="I242" i="14701" a="1"/>
  <c r="C248" i="14701" a="1"/>
  <c r="L239" i="14701" a="1"/>
  <c r="M238" i="14701" a="1"/>
  <c r="K240" i="14701" a="1"/>
  <c r="F245" i="14701" a="1"/>
  <c r="J241" i="14701" a="1"/>
  <c r="N27" i="14701"/>
  <c r="H243" i="14701" a="1"/>
  <c r="I224" i="14701" a="1"/>
  <c r="E228" i="14701" a="1"/>
  <c r="M220" i="14701" a="1"/>
  <c r="N219" i="14701" a="1"/>
  <c r="C230" i="14701" a="1"/>
  <c r="B231" i="14701" a="1"/>
  <c r="D229" i="14701" a="1"/>
  <c r="N26" i="14701"/>
  <c r="L221" i="14701" a="1"/>
  <c r="K222" i="14701" a="1"/>
  <c r="J223" i="14701" a="1"/>
  <c r="G226" i="14701" a="1"/>
  <c r="F227" i="14701" a="1"/>
  <c r="H225" i="14701" a="1"/>
  <c r="H171" i="14701" a="1"/>
  <c r="F173" i="14701" a="1"/>
  <c r="N165" i="14701" a="1"/>
  <c r="I170" i="14701" a="1"/>
  <c r="B177" i="14701" a="1"/>
  <c r="L167" i="14701" a="1"/>
  <c r="K168" i="14701" a="1"/>
  <c r="J169" i="14701" a="1"/>
  <c r="N23" i="14701"/>
  <c r="G172" i="14701" a="1"/>
  <c r="C176" i="14701" a="1"/>
  <c r="D175" i="14701" a="1"/>
  <c r="M166" i="14701" a="1"/>
  <c r="E174" i="14701" a="1"/>
  <c r="X72" i="14701" a="1"/>
  <c r="X72" i="14701" s="1"/>
  <c r="L28" i="14701"/>
  <c r="R78" i="14701" a="1"/>
  <c r="R78" i="14701" s="1"/>
  <c r="P80" i="14701" a="1"/>
  <c r="P80" i="14701" s="1"/>
  <c r="M83" i="14701" a="1"/>
  <c r="M83" i="14701" s="1"/>
  <c r="S77" i="14701" a="1"/>
  <c r="S77" i="14701" s="1"/>
  <c r="W73" i="14701" a="1"/>
  <c r="W73" i="14701" s="1"/>
  <c r="N82" i="14701" a="1"/>
  <c r="N82" i="14701" s="1"/>
  <c r="T76" i="14701" a="1"/>
  <c r="T76" i="14701" s="1"/>
  <c r="U75" i="14701" a="1"/>
  <c r="U75" i="14701" s="1"/>
  <c r="Q79" i="14701" a="1"/>
  <c r="Q79" i="14701" s="1"/>
  <c r="V74" i="14701" a="1"/>
  <c r="V74" i="14701" s="1"/>
  <c r="O81" i="14701" a="1"/>
  <c r="O81" i="14701" s="1"/>
  <c r="L84" i="14701" a="1"/>
  <c r="L84" i="14701" s="1"/>
  <c r="P73" i="14701" a="1"/>
  <c r="P73" i="14701" s="1"/>
  <c r="F83" i="14701" a="1"/>
  <c r="F83" i="14701" s="1"/>
  <c r="L77" i="14701" a="1"/>
  <c r="L77" i="14701" s="1"/>
  <c r="O74" i="14701" a="1"/>
  <c r="O74" i="14701" s="1"/>
  <c r="E28" i="14701"/>
  <c r="G82" i="14701" a="1"/>
  <c r="G82" i="14701" s="1"/>
  <c r="Q72" i="14701" a="1"/>
  <c r="Q72" i="14701" s="1"/>
  <c r="I80" i="14701" a="1"/>
  <c r="I80" i="14701" s="1"/>
  <c r="H81" i="14701" a="1"/>
  <c r="H81" i="14701" s="1"/>
  <c r="J79" i="14701" a="1"/>
  <c r="J79" i="14701" s="1"/>
  <c r="K78" i="14701" a="1"/>
  <c r="K78" i="14701" s="1"/>
  <c r="N75" i="14701" a="1"/>
  <c r="N75" i="14701" s="1"/>
  <c r="M76" i="14701" a="1"/>
  <c r="M76" i="14701" s="1"/>
  <c r="E84" i="14701" a="1"/>
  <c r="E84" i="14701" s="1"/>
  <c r="I83" i="14701" a="1"/>
  <c r="I83" i="14701" s="1"/>
  <c r="M79" i="14701" a="1"/>
  <c r="M79" i="14701" s="1"/>
  <c r="H28" i="14701"/>
  <c r="N78" i="14701" a="1"/>
  <c r="N78" i="14701" s="1"/>
  <c r="S73" i="14701" a="1"/>
  <c r="S73" i="14701" s="1"/>
  <c r="P76" i="14701" a="1"/>
  <c r="P76" i="14701" s="1"/>
  <c r="O77" i="14701" a="1"/>
  <c r="O77" i="14701" s="1"/>
  <c r="Q75" i="14701" a="1"/>
  <c r="Q75" i="14701" s="1"/>
  <c r="L80" i="14701" a="1"/>
  <c r="L80" i="14701" s="1"/>
  <c r="J82" i="14701" a="1"/>
  <c r="J82" i="14701" s="1"/>
  <c r="H84" i="14701" a="1"/>
  <c r="H84" i="14701" s="1"/>
  <c r="T72" i="14701" a="1"/>
  <c r="T72" i="14701" s="1"/>
  <c r="R74" i="14701" a="1"/>
  <c r="R74" i="14701" s="1"/>
  <c r="K81" i="14701" a="1"/>
  <c r="K81" i="14701" s="1"/>
  <c r="L185" i="14701" a="1"/>
  <c r="N24" i="14701"/>
  <c r="I188" i="14701" a="1"/>
  <c r="N183" i="14701" a="1"/>
  <c r="K186" i="14701" a="1"/>
  <c r="M184" i="14701" a="1"/>
  <c r="E192" i="14701" a="1"/>
  <c r="B195" i="14701" a="1"/>
  <c r="H189" i="14701" a="1"/>
  <c r="D193" i="14701" a="1"/>
  <c r="J187" i="14701" a="1"/>
  <c r="G190" i="14701" a="1"/>
  <c r="F191" i="14701" a="1"/>
  <c r="C194" i="14701" a="1"/>
  <c r="N22" i="14701"/>
  <c r="F155" i="14701" a="1"/>
  <c r="L149" i="14701" a="1"/>
  <c r="C158" i="14701" a="1"/>
  <c r="N147" i="14701" a="1"/>
  <c r="G154" i="14701" a="1"/>
  <c r="M148" i="14701" a="1"/>
  <c r="H153" i="14701" a="1"/>
  <c r="B159" i="14701" a="1"/>
  <c r="I152" i="14701" a="1"/>
  <c r="K150" i="14701" a="1"/>
  <c r="E156" i="14701" a="1"/>
  <c r="J151" i="14701" a="1"/>
  <c r="D157" i="14701" a="1"/>
  <c r="K80" i="14701" a="1"/>
  <c r="K80" i="14701" s="1"/>
  <c r="P75" i="14701" a="1"/>
  <c r="P75" i="14701" s="1"/>
  <c r="G28" i="14701"/>
  <c r="H83" i="14701" a="1"/>
  <c r="H83" i="14701" s="1"/>
  <c r="L79" i="14701" a="1"/>
  <c r="L79" i="14701" s="1"/>
  <c r="S72" i="14701" a="1"/>
  <c r="S72" i="14701" s="1"/>
  <c r="M78" i="14701" a="1"/>
  <c r="M78" i="14701" s="1"/>
  <c r="J81" i="14701" a="1"/>
  <c r="J81" i="14701" s="1"/>
  <c r="Q74" i="14701" a="1"/>
  <c r="Q74" i="14701" s="1"/>
  <c r="R73" i="14701" a="1"/>
  <c r="R73" i="14701" s="1"/>
  <c r="G84" i="14701" a="1"/>
  <c r="G84" i="14701" s="1"/>
  <c r="N77" i="14701" a="1"/>
  <c r="N77" i="14701" s="1"/>
  <c r="I82" i="14701" a="1"/>
  <c r="I82" i="14701" s="1"/>
  <c r="O76" i="14701" a="1"/>
  <c r="O76" i="14701" s="1"/>
  <c r="D37" i="14683"/>
  <c r="D42" i="14683"/>
  <c r="D34" i="14683"/>
  <c r="D41" i="14683"/>
  <c r="D40" i="14683"/>
  <c r="D36" i="14683"/>
  <c r="D39" i="14683"/>
  <c r="D38" i="14683"/>
  <c r="H65" i="14665"/>
  <c r="L3" i="14667"/>
  <c r="J3" i="14667"/>
  <c r="N3" i="14667"/>
  <c r="R104" i="14703"/>
  <c r="Y104" i="14703"/>
  <c r="U104" i="14703"/>
  <c r="V104" i="14703"/>
  <c r="P104" i="14703"/>
  <c r="Q104" i="14703"/>
  <c r="T104" i="14703"/>
  <c r="O104" i="14703"/>
  <c r="W104" i="14703"/>
  <c r="X104" i="14703"/>
  <c r="S104" i="14703"/>
  <c r="B161" i="14703" a="1"/>
  <c r="B48" i="14703" a="1"/>
  <c r="I60" i="14643"/>
  <c r="I57" i="14643"/>
  <c r="I58" i="14643"/>
  <c r="I53" i="14643"/>
  <c r="I56" i="14643"/>
  <c r="I59" i="14643"/>
  <c r="H61" i="14643"/>
  <c r="E20" i="14643" s="1"/>
  <c r="I55" i="14643"/>
  <c r="I54" i="14643"/>
  <c r="B125" i="14703" a="1"/>
  <c r="B46" i="14703" a="1"/>
  <c r="B49" i="14703" a="1"/>
  <c r="B197" i="14703" a="1"/>
  <c r="B50" i="14703" a="1"/>
  <c r="B233" i="14703" a="1"/>
  <c r="B52" i="14703" a="1"/>
  <c r="B53" i="14703" a="1"/>
  <c r="B251" i="14703" a="1"/>
  <c r="F61" i="14643"/>
  <c r="B143" i="14703" a="1"/>
  <c r="B47" i="14703" a="1"/>
  <c r="B215" i="14703" a="1"/>
  <c r="B51" i="14703" a="1"/>
  <c r="H53" i="14643" a="1"/>
  <c r="C57" i="14683"/>
  <c r="B179" i="14703" a="1"/>
  <c r="H40" i="14643" a="1"/>
  <c r="H47" i="14643" s="1"/>
  <c r="D17" i="14676"/>
  <c r="M17" i="14676"/>
  <c r="G17" i="14676"/>
  <c r="L17" i="14676"/>
  <c r="J17" i="14676"/>
  <c r="C17" i="14676"/>
  <c r="I17" i="14676"/>
  <c r="N17" i="14676"/>
  <c r="F17" i="14676"/>
  <c r="H17" i="14676"/>
  <c r="E17" i="14676"/>
  <c r="K17" i="14676"/>
  <c r="F33" i="14639"/>
  <c r="G34" i="14639"/>
  <c r="F38" i="14639"/>
  <c r="H37" i="14639"/>
  <c r="M36" i="14639"/>
  <c r="N36" i="14639"/>
  <c r="K33" i="14639"/>
  <c r="I34" i="14639"/>
  <c r="F37" i="14639"/>
  <c r="J31" i="14639"/>
  <c r="H36" i="14639"/>
  <c r="K35" i="14639"/>
  <c r="C31" i="14639"/>
  <c r="J33" i="14639"/>
  <c r="I35" i="14639"/>
  <c r="D31" i="14639"/>
  <c r="K34" i="14639"/>
  <c r="K31" i="14639"/>
  <c r="I32" i="14639"/>
  <c r="I40" i="14639" s="1"/>
  <c r="G36" i="14639"/>
  <c r="I37" i="14639"/>
  <c r="J36" i="14639"/>
  <c r="L35" i="14639"/>
  <c r="D32" i="14639"/>
  <c r="D40" i="14639" s="1"/>
  <c r="F36" i="14639"/>
  <c r="C32" i="14639"/>
  <c r="C40" i="14639" s="1"/>
  <c r="G35" i="14639"/>
  <c r="N37" i="14639"/>
  <c r="D34" i="14639"/>
  <c r="K36" i="14639"/>
  <c r="I33" i="14639"/>
  <c r="J38" i="14639"/>
  <c r="E35" i="14639"/>
  <c r="L37" i="14639"/>
  <c r="D36" i="14639"/>
  <c r="D35" i="14639"/>
  <c r="K37" i="14639"/>
  <c r="L38" i="14639"/>
  <c r="J35" i="14639"/>
  <c r="J34" i="14639"/>
  <c r="G31" i="14639"/>
  <c r="H32" i="14639"/>
  <c r="H40" i="14639" s="1"/>
  <c r="L33" i="14639"/>
  <c r="N31" i="14639"/>
  <c r="M32" i="14639"/>
  <c r="M40" i="14639" s="1"/>
  <c r="M33" i="14639"/>
  <c r="J37" i="14639"/>
  <c r="I38" i="14639"/>
  <c r="K38" i="14639"/>
  <c r="H33" i="14639"/>
  <c r="C35" i="14639"/>
  <c r="J32" i="14639"/>
  <c r="J40" i="14639" s="1"/>
  <c r="G38" i="14639"/>
  <c r="K32" i="14639"/>
  <c r="K40" i="14639" s="1"/>
  <c r="N35" i="14639"/>
  <c r="L32" i="14639"/>
  <c r="L40" i="14639" s="1"/>
  <c r="H34" i="14639"/>
  <c r="D37" i="14639"/>
  <c r="E38" i="14639"/>
  <c r="L31" i="14639"/>
  <c r="H35" i="14639"/>
  <c r="C34" i="14639"/>
  <c r="C38" i="14639"/>
  <c r="N33" i="14639"/>
  <c r="N32" i="14639"/>
  <c r="N40" i="14639" s="1"/>
  <c r="H31" i="14639"/>
  <c r="G33" i="14639"/>
  <c r="D38" i="14639"/>
  <c r="M38" i="14639"/>
  <c r="E31" i="14639"/>
  <c r="I31" i="14639"/>
  <c r="M31" i="14639"/>
  <c r="I36" i="14639"/>
  <c r="N38" i="14639"/>
  <c r="C33" i="14639"/>
  <c r="N34" i="14639"/>
  <c r="C36" i="14639"/>
  <c r="M37" i="14639"/>
  <c r="F32" i="14639"/>
  <c r="F40" i="14639" s="1"/>
  <c r="D33" i="14639"/>
  <c r="M35" i="14639"/>
  <c r="F31" i="14639"/>
  <c r="M34" i="14639"/>
  <c r="H38" i="14639"/>
  <c r="E37" i="14639"/>
  <c r="F34" i="14639"/>
  <c r="G32" i="14639"/>
  <c r="G40" i="14639" s="1"/>
  <c r="F35" i="14639"/>
  <c r="C37" i="14639"/>
  <c r="E36" i="14639"/>
  <c r="G37" i="14639"/>
  <c r="E33" i="14639"/>
  <c r="L36" i="14639"/>
  <c r="E34" i="14639"/>
  <c r="E32" i="14639"/>
  <c r="E40" i="14639" s="1"/>
  <c r="L34" i="14639"/>
  <c r="L7" i="14638"/>
  <c r="F13" i="14638"/>
  <c r="G14" i="14638"/>
  <c r="H8" i="14638"/>
  <c r="L10" i="14638"/>
  <c r="K12" i="14638"/>
  <c r="C11" i="14638"/>
  <c r="L8" i="14638"/>
  <c r="C9" i="14638"/>
  <c r="F14" i="14638"/>
  <c r="K11" i="14638"/>
  <c r="K10" i="14638"/>
  <c r="C10" i="14638"/>
  <c r="B12" i="14638"/>
  <c r="K14" i="14638"/>
  <c r="D14" i="14638"/>
  <c r="L14" i="14638"/>
  <c r="D8" i="14638"/>
  <c r="E7" i="14638"/>
  <c r="F8" i="14638"/>
  <c r="G7" i="14638"/>
  <c r="B11" i="14638"/>
  <c r="J12" i="14638"/>
  <c r="G8" i="14638"/>
  <c r="H12" i="14638"/>
  <c r="B8" i="14638"/>
  <c r="I13" i="14638"/>
  <c r="K9" i="14638"/>
  <c r="E10" i="14638"/>
  <c r="D11" i="14638"/>
  <c r="G11" i="14638"/>
  <c r="J11" i="14638"/>
  <c r="B14" i="14638"/>
  <c r="M10" i="14638"/>
  <c r="H13" i="14638"/>
  <c r="D10" i="14638"/>
  <c r="I9" i="14638"/>
  <c r="E14" i="14638"/>
  <c r="L9" i="14638"/>
  <c r="L13" i="14638"/>
  <c r="F10" i="14638"/>
  <c r="M9" i="14638"/>
  <c r="M11" i="14638"/>
  <c r="K8" i="14638"/>
  <c r="H7" i="14638"/>
  <c r="H14" i="14638"/>
  <c r="L11" i="14638"/>
  <c r="D7" i="14638"/>
  <c r="G13" i="14638"/>
  <c r="G10" i="14638"/>
  <c r="J10" i="14638"/>
  <c r="B7" i="14638"/>
  <c r="M14" i="14638"/>
  <c r="D13" i="14638"/>
  <c r="K13" i="14638"/>
  <c r="J7" i="14638"/>
  <c r="J8" i="14638"/>
  <c r="J14" i="14638"/>
  <c r="I11" i="14638"/>
  <c r="H9" i="14638"/>
  <c r="M8" i="14638"/>
  <c r="D9" i="14638"/>
  <c r="E11" i="14638"/>
  <c r="E9" i="14638"/>
  <c r="I10" i="14638"/>
  <c r="C14" i="14638"/>
  <c r="F11" i="14638"/>
  <c r="I7" i="14638"/>
  <c r="B10" i="14638"/>
  <c r="M7" i="14638"/>
  <c r="E12" i="14638"/>
  <c r="C13" i="14638"/>
  <c r="K7" i="14638"/>
  <c r="J13" i="14638"/>
  <c r="B13" i="14638"/>
  <c r="C12" i="14638"/>
  <c r="I8" i="14638"/>
  <c r="J9" i="14638"/>
  <c r="E13" i="14638"/>
  <c r="M13" i="14638"/>
  <c r="E8" i="14638"/>
  <c r="F12" i="14638"/>
  <c r="M12" i="14638"/>
  <c r="L12" i="14638"/>
  <c r="I14" i="14638"/>
  <c r="G9" i="14638"/>
  <c r="D12" i="14638"/>
  <c r="B9" i="14638"/>
  <c r="F7" i="14638"/>
  <c r="C8" i="14638"/>
  <c r="H11" i="14638"/>
  <c r="C7" i="14638"/>
  <c r="I12" i="14638"/>
  <c r="F9" i="14638"/>
  <c r="G12" i="14638"/>
  <c r="H10" i="14638"/>
  <c r="C33" i="14648"/>
  <c r="D33" i="14648"/>
  <c r="L33" i="14648"/>
  <c r="M33" i="14648"/>
  <c r="F33" i="14648"/>
  <c r="J33" i="14648"/>
  <c r="E33" i="14648"/>
  <c r="K33" i="14648"/>
  <c r="I33" i="14648"/>
  <c r="G33" i="14648"/>
  <c r="N33" i="14648"/>
  <c r="H33" i="14648"/>
  <c r="K7" i="14641"/>
  <c r="L7" i="14641"/>
  <c r="G7" i="14641"/>
  <c r="J7" i="14641"/>
  <c r="H7" i="14641"/>
  <c r="E7" i="14641"/>
  <c r="I7" i="14641"/>
  <c r="N7" i="14641"/>
  <c r="D7" i="14641"/>
  <c r="C7" i="14641"/>
  <c r="M7" i="14641"/>
  <c r="F7" i="14641"/>
  <c r="C18" i="14668"/>
  <c r="F19" i="14668"/>
  <c r="B23" i="14668"/>
  <c r="E17" i="14668"/>
  <c r="J24" i="14668"/>
  <c r="I19" i="14668"/>
  <c r="F23" i="14668"/>
  <c r="E18" i="14668"/>
  <c r="G23" i="14668"/>
  <c r="D22" i="14668"/>
  <c r="L20" i="14668"/>
  <c r="M17" i="14668"/>
  <c r="D19" i="14668"/>
  <c r="G24" i="14668"/>
  <c r="C24" i="14668"/>
  <c r="C20" i="14668"/>
  <c r="D21" i="14668"/>
  <c r="E22" i="14668"/>
  <c r="G21" i="14668"/>
  <c r="K21" i="14668"/>
  <c r="C21" i="14668"/>
  <c r="C17" i="14668"/>
  <c r="H20" i="14668"/>
  <c r="H24" i="14668"/>
  <c r="L24" i="14668"/>
  <c r="I18" i="14668"/>
  <c r="K20" i="14668"/>
  <c r="E19" i="14668"/>
  <c r="M24" i="14668"/>
  <c r="I23" i="14668"/>
  <c r="B17" i="14668"/>
  <c r="I21" i="14668"/>
  <c r="F17" i="14668"/>
  <c r="B20" i="14668"/>
  <c r="F18" i="14668"/>
  <c r="B19" i="14668"/>
  <c r="H19" i="14668"/>
  <c r="M18" i="14668"/>
  <c r="B18" i="14668"/>
  <c r="F20" i="14668"/>
  <c r="H22" i="14668"/>
  <c r="L19" i="14668"/>
  <c r="L21" i="14668"/>
  <c r="K23" i="14668"/>
  <c r="D20" i="14668"/>
  <c r="F22" i="14668"/>
  <c r="D24" i="14668"/>
  <c r="M23" i="14668"/>
  <c r="K24" i="14668"/>
  <c r="E23" i="14668"/>
  <c r="F21" i="14668"/>
  <c r="D17" i="14668"/>
  <c r="G20" i="14668"/>
  <c r="G18" i="14668"/>
  <c r="K22" i="14668"/>
  <c r="M21" i="14668"/>
  <c r="E20" i="14668"/>
  <c r="K18" i="14668"/>
  <c r="B21" i="14668"/>
  <c r="G19" i="14668"/>
  <c r="J17" i="14668"/>
  <c r="J18" i="14668"/>
  <c r="C22" i="14668"/>
  <c r="G22" i="14668"/>
  <c r="B24" i="14668"/>
  <c r="B22" i="14668"/>
  <c r="J23" i="14668"/>
  <c r="K17" i="14668"/>
  <c r="J20" i="14668"/>
  <c r="C19" i="14668"/>
  <c r="H17" i="14668"/>
  <c r="I22" i="14668"/>
  <c r="M19" i="14668"/>
  <c r="E24" i="14668"/>
  <c r="H21" i="14668"/>
  <c r="F24" i="14668"/>
  <c r="I24" i="14668"/>
  <c r="C23" i="14668"/>
  <c r="M22" i="14668"/>
  <c r="K19" i="14668"/>
  <c r="L23" i="14668"/>
  <c r="J21" i="14668"/>
  <c r="I17" i="14668"/>
  <c r="M20" i="14668"/>
  <c r="L18" i="14668"/>
  <c r="L17" i="14668"/>
  <c r="I20" i="14668"/>
  <c r="E21" i="14668"/>
  <c r="D23" i="14668"/>
  <c r="D18" i="14668"/>
  <c r="H18" i="14668"/>
  <c r="L22" i="14668"/>
  <c r="J22" i="14668"/>
  <c r="G17" i="14668"/>
  <c r="H23" i="14668"/>
  <c r="J19" i="14668"/>
  <c r="H39" i="14652"/>
  <c r="H40" i="14652"/>
  <c r="H34" i="14652"/>
  <c r="H38" i="14652"/>
  <c r="H37" i="14652"/>
  <c r="H36" i="14652"/>
  <c r="H35" i="14652"/>
  <c r="H33" i="14652"/>
  <c r="L17" i="14641"/>
  <c r="C17" i="14641"/>
  <c r="N17" i="14641"/>
  <c r="E17" i="14641"/>
  <c r="G17" i="14641"/>
  <c r="I17" i="14641"/>
  <c r="D17" i="14641"/>
  <c r="F17" i="14641"/>
  <c r="H17" i="14641"/>
  <c r="K17" i="14641"/>
  <c r="J17" i="14641"/>
  <c r="M17" i="14641"/>
  <c r="G36" i="14652"/>
  <c r="G34" i="14652"/>
  <c r="G38" i="14652"/>
  <c r="G33" i="14652"/>
  <c r="G35" i="14652"/>
  <c r="G40" i="14652"/>
  <c r="G39" i="14652"/>
  <c r="G37" i="14652"/>
  <c r="E6" i="14687"/>
  <c r="B4" i="14683"/>
  <c r="F1" i="14628"/>
  <c r="B6" i="14652"/>
  <c r="C30" i="14690"/>
  <c r="I1" i="8"/>
  <c r="A52" i="14647"/>
  <c r="E7" i="14681"/>
  <c r="E1" i="14624"/>
  <c r="C56" i="14690"/>
  <c r="B54" i="14707"/>
  <c r="K1" i="14703"/>
  <c r="E5" i="14708"/>
  <c r="A4" i="14647"/>
  <c r="E1" i="7"/>
  <c r="D28" i="7" s="1"/>
  <c r="B4" i="14617"/>
  <c r="A36" i="14617" s="1"/>
  <c r="A20" i="14692"/>
  <c r="C38" i="14643"/>
  <c r="A19" i="14694"/>
  <c r="B9" i="14707"/>
  <c r="E1" i="14623"/>
  <c r="E4" i="14653"/>
  <c r="A19" i="14695"/>
  <c r="F1" i="14625"/>
  <c r="D5" i="14690"/>
  <c r="C5" i="14645"/>
  <c r="G17" i="14625"/>
  <c r="D17" i="14625"/>
  <c r="N17" i="14625"/>
  <c r="J17" i="14625"/>
  <c r="L17" i="14625"/>
  <c r="M17" i="14625"/>
  <c r="K17" i="14625"/>
  <c r="I17" i="14625"/>
  <c r="H17" i="14625"/>
  <c r="C17" i="14625"/>
  <c r="F17" i="14625"/>
  <c r="E17" i="14625"/>
  <c r="J8" i="14675"/>
  <c r="G8" i="14675"/>
  <c r="F8" i="14675"/>
  <c r="C8" i="14675"/>
  <c r="K8" i="14675"/>
  <c r="H8" i="14675"/>
  <c r="M8" i="14675"/>
  <c r="D8" i="14675"/>
  <c r="L8" i="14675"/>
  <c r="N8" i="14675"/>
  <c r="I8" i="14675"/>
  <c r="E8" i="14675"/>
  <c r="L17" i="14633"/>
  <c r="K17" i="14633"/>
  <c r="I17" i="14633"/>
  <c r="F17" i="14633"/>
  <c r="J17" i="14633"/>
  <c r="H17" i="14633"/>
  <c r="E17" i="14633"/>
  <c r="C17" i="14633"/>
  <c r="D17" i="14633"/>
  <c r="M17" i="14633"/>
  <c r="N17" i="14633"/>
  <c r="G17" i="14633"/>
  <c r="F44" i="14643"/>
  <c r="F47" i="14643"/>
  <c r="F43" i="14643"/>
  <c r="F42" i="14643"/>
  <c r="F45" i="14643"/>
  <c r="F46" i="14643"/>
  <c r="F41" i="14643"/>
  <c r="F40" i="14643"/>
  <c r="L8" i="14674"/>
  <c r="J8" i="14674"/>
  <c r="C8" i="14674"/>
  <c r="H8" i="14674"/>
  <c r="N8" i="14674"/>
  <c r="I8" i="14674"/>
  <c r="F8" i="14674"/>
  <c r="E8" i="14674"/>
  <c r="G8" i="14674"/>
  <c r="K8" i="14674"/>
  <c r="M8" i="14674"/>
  <c r="D8" i="14674"/>
  <c r="N25" i="14637"/>
  <c r="B27" i="14681"/>
  <c r="N27" i="14681" s="1"/>
  <c r="E23" i="14657" s="1"/>
  <c r="B5" i="14640" a="1"/>
  <c r="E24" i="14707" a="1"/>
  <c r="E19" i="14683" a="1"/>
  <c r="C66" i="14643" a="1"/>
  <c r="B32" i="14637" a="1"/>
  <c r="F6" i="14633"/>
  <c r="E6" i="14633"/>
  <c r="N6" i="14633"/>
  <c r="L6" i="14633"/>
  <c r="M6" i="14633"/>
  <c r="I6" i="14633"/>
  <c r="J6" i="14633"/>
  <c r="D6" i="14633"/>
  <c r="H6" i="14633"/>
  <c r="K6" i="14633"/>
  <c r="G6" i="14633"/>
  <c r="C6" i="14633"/>
  <c r="B32" i="14645"/>
  <c r="N31" i="14645"/>
  <c r="E61" i="14707"/>
  <c r="E62" i="14707"/>
  <c r="E56" i="14707"/>
  <c r="E60" i="14707"/>
  <c r="E58" i="14707"/>
  <c r="E59" i="14707"/>
  <c r="E57" i="14707"/>
  <c r="E55" i="14707"/>
  <c r="J8" i="14652"/>
  <c r="J7" i="14652"/>
  <c r="J10" i="14652"/>
  <c r="J12" i="14652"/>
  <c r="J13" i="14652"/>
  <c r="J9" i="14652"/>
  <c r="J14" i="14652"/>
  <c r="J11" i="14652"/>
  <c r="C8" i="14639"/>
  <c r="E8" i="14639"/>
  <c r="G8" i="14639"/>
  <c r="J8" i="14639"/>
  <c r="K8" i="14639"/>
  <c r="D8" i="14639"/>
  <c r="H8" i="14639"/>
  <c r="I8" i="14639"/>
  <c r="L8" i="14639"/>
  <c r="N8" i="14639"/>
  <c r="M8" i="14639"/>
  <c r="F8" i="14639"/>
  <c r="B6" i="14678" a="1"/>
  <c r="C4" i="14674" a="1"/>
  <c r="B31" i="14653" a="1"/>
  <c r="C66" i="14648" a="1"/>
  <c r="B26" i="14681" a="1"/>
  <c r="C4" i="14639" a="1"/>
  <c r="C21" i="14648" a="1"/>
  <c r="B16" i="7" a="1"/>
  <c r="C28" i="14676" a="1"/>
  <c r="B7" i="14700" a="1"/>
  <c r="B57" i="14653" a="1"/>
  <c r="B45" i="14700" a="1"/>
  <c r="C38" i="14687" a="1"/>
  <c r="C4" i="14628" a="1"/>
  <c r="C28" i="14625" a="1"/>
  <c r="B31" i="14668" a="1"/>
  <c r="B4" i="7" a="1"/>
  <c r="C8" i="14687" a="1"/>
  <c r="B31" i="14637" a="1"/>
  <c r="B31" i="14630" a="1"/>
  <c r="B7" i="14704" a="1"/>
  <c r="C57" i="14687" a="1"/>
  <c r="B32" i="14636" a="1"/>
  <c r="B44" i="14653" a="1"/>
  <c r="B16" i="14668" a="1"/>
  <c r="B58" i="14700" a="1"/>
  <c r="C36" i="14648" a="1"/>
  <c r="C94" i="14648" a="1"/>
  <c r="C51" i="14648" a="1"/>
  <c r="B4" i="14624" a="1"/>
  <c r="B32" i="14629" a="1"/>
  <c r="B19" i="14703" a="1"/>
  <c r="B4" i="14631" a="1"/>
  <c r="B32" i="14672" a="1"/>
  <c r="B31" i="7" a="1"/>
  <c r="C4" i="14677" a="1"/>
  <c r="C28" i="14633" a="1"/>
  <c r="B4" i="14636" a="1"/>
  <c r="B34" i="14638" a="1"/>
  <c r="C4" i="14675" a="1"/>
  <c r="C30" i="14639" a="1"/>
  <c r="B31" i="14669" a="1"/>
  <c r="C84" i="14648" a="1"/>
  <c r="B16" i="14630" a="1"/>
  <c r="B4" i="14670" a="1"/>
  <c r="B19" i="14702" a="1"/>
  <c r="B18" i="14653" a="1"/>
  <c r="B4" i="14669" a="1"/>
  <c r="C19" i="14687" a="1"/>
  <c r="C18" i="14647"/>
  <c r="C66" i="14647" s="1" a="1"/>
  <c r="C18" i="14634" a="1"/>
  <c r="B45" i="14703" a="1"/>
  <c r="B19" i="14701" a="1"/>
  <c r="B45" i="14701" a="1"/>
  <c r="B7" i="14698" a="1"/>
  <c r="B31" i="14698" a="1"/>
  <c r="B7" i="14703" a="1"/>
  <c r="C99" i="14648" a="1"/>
  <c r="C65" i="14687" a="1"/>
  <c r="C84" i="14687" a="1"/>
  <c r="C4" i="14633" a="1"/>
  <c r="C30" i="14628" a="1"/>
  <c r="B31" i="14700" a="1"/>
  <c r="E5" i="14655" a="1"/>
  <c r="C46" i="14687" a="1"/>
  <c r="B34" i="14678" a="1"/>
  <c r="C30" i="14674" a="1"/>
  <c r="B8" i="14681" a="1"/>
  <c r="B32" i="14624" a="1"/>
  <c r="B16" i="14637" a="1"/>
  <c r="B17" i="14681" a="1"/>
  <c r="B4" i="14668" a="1"/>
  <c r="C28" i="14641" a="1"/>
  <c r="C4" i="14625" a="1"/>
  <c r="B4" i="14673" a="1"/>
  <c r="B35" i="14681" a="1"/>
  <c r="C30" i="14634" a="1"/>
  <c r="B4" i="14672" a="1"/>
  <c r="B31" i="14703" a="1"/>
  <c r="B58" i="14698" a="1"/>
  <c r="B71" i="14703" a="1"/>
  <c r="B45" i="14702" a="1"/>
  <c r="B4" i="14671" a="1"/>
  <c r="B4" i="14629" a="1"/>
  <c r="C27" i="14687" a="1"/>
  <c r="B19" i="14700" a="1"/>
  <c r="C18" i="14628" a="1"/>
  <c r="C4" i="14634" a="1"/>
  <c r="C30" i="14675" a="1"/>
  <c r="B6" i="14679" a="1"/>
  <c r="B19" i="14698" a="1"/>
  <c r="B52" i="14665" a="1"/>
  <c r="B6" i="14632" a="1"/>
  <c r="B7" i="14701" a="1"/>
  <c r="B4" i="14630" a="1"/>
  <c r="B6" i="14623" a="1"/>
  <c r="B58" i="14702" a="1"/>
  <c r="C4" i="14641" a="1"/>
  <c r="B32" i="14673" a="1"/>
  <c r="B34" i="14623" a="1"/>
  <c r="B31" i="14704" a="1"/>
  <c r="C18" i="14639" a="1"/>
  <c r="B7" i="14702" a="1"/>
  <c r="B6" i="14638" a="1"/>
  <c r="B45" i="14698" a="1"/>
  <c r="C28" i="14677" a="1"/>
  <c r="B62" i="14684" a="1"/>
  <c r="B58" i="14701" a="1"/>
  <c r="B4" i="14637" a="1"/>
  <c r="B44" i="14681" a="1"/>
  <c r="B70" i="14653" a="1"/>
  <c r="C18" i="14674" a="1"/>
  <c r="B16" i="14669" a="1"/>
  <c r="B45" i="14704" a="1"/>
  <c r="C89" i="14648" a="1"/>
  <c r="C76" i="14687" a="1"/>
  <c r="B34" i="14632" a="1"/>
  <c r="C4" i="14676" a="1"/>
  <c r="B4" i="14640" a="1"/>
  <c r="C95" i="14687" a="1"/>
  <c r="C6" i="14648" a="1"/>
  <c r="B4" i="8" a="1"/>
  <c r="B58" i="14704" a="1"/>
  <c r="B5" i="14653" a="1"/>
  <c r="B31" i="14701" a="1"/>
  <c r="B19" i="14704" a="1"/>
  <c r="C104" i="14648" a="1"/>
  <c r="C18" i="14675" a="1"/>
  <c r="B58" i="14703" a="1"/>
  <c r="B31" i="14702" a="1"/>
  <c r="B34" i="14679" a="1"/>
  <c r="J8" i="14628"/>
  <c r="L8" i="14628"/>
  <c r="N8" i="14628"/>
  <c r="K8" i="14628"/>
  <c r="C8" i="14628"/>
  <c r="M8" i="14628"/>
  <c r="I8" i="14628"/>
  <c r="G8" i="14628"/>
  <c r="D8" i="14628"/>
  <c r="F8" i="14628"/>
  <c r="H8" i="14628"/>
  <c r="E8" i="14628"/>
  <c r="I17" i="14677"/>
  <c r="N17" i="14677"/>
  <c r="D17" i="14677"/>
  <c r="J17" i="14677"/>
  <c r="G17" i="14677"/>
  <c r="F17" i="14677"/>
  <c r="K17" i="14677"/>
  <c r="L17" i="14677"/>
  <c r="M17" i="14677"/>
  <c r="E17" i="14677"/>
  <c r="H17" i="14677"/>
  <c r="C17" i="14677"/>
  <c r="D49" i="14683" a="1"/>
  <c r="B57" i="14683"/>
  <c r="J8" i="14634"/>
  <c r="H8" i="14634"/>
  <c r="F8" i="14634"/>
  <c r="E8" i="14634"/>
  <c r="M8" i="14634"/>
  <c r="C8" i="14634"/>
  <c r="G8" i="14634"/>
  <c r="K8" i="14634"/>
  <c r="L8" i="14634"/>
  <c r="D8" i="14634"/>
  <c r="N8" i="14634"/>
  <c r="I8" i="14634"/>
  <c r="I43" i="14643"/>
  <c r="H48" i="14643"/>
  <c r="D20" i="14643" s="1"/>
  <c r="I45" i="14643"/>
  <c r="I44" i="14643"/>
  <c r="I47" i="14643"/>
  <c r="I42" i="14643"/>
  <c r="I40" i="14643"/>
  <c r="I46" i="14643"/>
  <c r="I41" i="14643"/>
  <c r="A29" i="14682" l="1" a="1"/>
  <c r="A33" i="14629" a="1"/>
  <c r="A38" i="14629" s="1"/>
  <c r="A33" i="14672" a="1"/>
  <c r="A38" i="14672" s="1"/>
  <c r="A33" i="14624" a="1"/>
  <c r="A38" i="14624" s="1"/>
  <c r="A33" i="14636" a="1"/>
  <c r="A38" i="14636" s="1"/>
  <c r="A33" i="14673" a="1"/>
  <c r="A38" i="14673" s="1"/>
  <c r="A34" i="14682"/>
  <c r="G65" i="14665"/>
  <c r="N44" i="14653" s="1"/>
  <c r="E65" i="14665"/>
  <c r="Q18" i="14623" s="1"/>
  <c r="I15" i="14622"/>
  <c r="G11" i="14622"/>
  <c r="F103" i="14707"/>
  <c r="B106" i="14703"/>
  <c r="C26" i="11" s="1"/>
  <c r="G21" i="14625" s="1"/>
  <c r="O20" i="14625"/>
  <c r="B96" i="14707"/>
  <c r="A34" i="14617"/>
  <c r="I4" i="14687"/>
  <c r="B26" i="14682"/>
  <c r="B54" i="14682" s="1"/>
  <c r="E103" i="14707"/>
  <c r="E17" i="14648"/>
  <c r="M17" i="14648"/>
  <c r="F17" i="14648"/>
  <c r="I17" i="14648"/>
  <c r="N17" i="14648"/>
  <c r="D17" i="14648"/>
  <c r="G17" i="14648"/>
  <c r="C17" i="14648"/>
  <c r="K17" i="14648"/>
  <c r="H17" i="14648"/>
  <c r="J17" i="14648"/>
  <c r="L17" i="14648"/>
  <c r="E96" i="14707"/>
  <c r="N32" i="14648"/>
  <c r="D32" i="14648"/>
  <c r="H32" i="14648"/>
  <c r="M32" i="14648"/>
  <c r="C32" i="14648"/>
  <c r="F32" i="14648"/>
  <c r="G32" i="14648"/>
  <c r="L32" i="14648"/>
  <c r="I32" i="14648"/>
  <c r="K32" i="14648"/>
  <c r="J32" i="14648"/>
  <c r="E32" i="14648"/>
  <c r="L45" i="14692"/>
  <c r="J45" i="14692"/>
  <c r="M45" i="14692"/>
  <c r="E45" i="14692"/>
  <c r="D45" i="14692"/>
  <c r="G45" i="14692"/>
  <c r="F45" i="14692"/>
  <c r="I45" i="14692"/>
  <c r="H45" i="14692"/>
  <c r="C45" i="14692"/>
  <c r="K45" i="14692"/>
  <c r="B45" i="14692"/>
  <c r="E22" i="14692"/>
  <c r="B22" i="14692"/>
  <c r="H22" i="14692"/>
  <c r="I22" i="14692"/>
  <c r="M22" i="14692"/>
  <c r="G22" i="14692"/>
  <c r="L22" i="14692"/>
  <c r="D22" i="14692"/>
  <c r="C22" i="14692"/>
  <c r="K22" i="14692"/>
  <c r="J22" i="14692"/>
  <c r="F22" i="14692"/>
  <c r="E53" i="14692"/>
  <c r="K53" i="14692"/>
  <c r="H53" i="14692"/>
  <c r="I53" i="14692"/>
  <c r="J53" i="14692"/>
  <c r="L53" i="14692"/>
  <c r="D53" i="14692"/>
  <c r="C53" i="14692"/>
  <c r="B53" i="14692"/>
  <c r="M53" i="14692"/>
  <c r="F53" i="14692"/>
  <c r="G53" i="14692"/>
  <c r="K47" i="14648"/>
  <c r="E47" i="14648"/>
  <c r="C47" i="14648"/>
  <c r="M47" i="14648"/>
  <c r="D47" i="14648"/>
  <c r="H47" i="14648"/>
  <c r="F47" i="14648"/>
  <c r="J47" i="14648"/>
  <c r="I47" i="14648"/>
  <c r="G47" i="14648"/>
  <c r="L47" i="14648"/>
  <c r="N47" i="14648"/>
  <c r="D103" i="14707"/>
  <c r="M61" i="14692"/>
  <c r="J61" i="14692"/>
  <c r="B61" i="14692"/>
  <c r="H61" i="14692"/>
  <c r="D61" i="14692"/>
  <c r="E61" i="14692"/>
  <c r="G61" i="14692"/>
  <c r="L61" i="14692"/>
  <c r="C61" i="14692"/>
  <c r="K61" i="14692"/>
  <c r="F61" i="14692"/>
  <c r="I61" i="14692"/>
  <c r="D96" i="14707"/>
  <c r="F96" i="14707"/>
  <c r="H37" i="14692"/>
  <c r="I37" i="14692"/>
  <c r="F37" i="14692"/>
  <c r="M37" i="14692"/>
  <c r="E37" i="14692"/>
  <c r="L37" i="14692"/>
  <c r="C37" i="14692"/>
  <c r="D37" i="14692"/>
  <c r="G37" i="14692"/>
  <c r="K37" i="14692"/>
  <c r="J37" i="14692"/>
  <c r="B37" i="14692"/>
  <c r="D38" i="14667"/>
  <c r="D33" i="14667" s="1"/>
  <c r="D27" i="14706"/>
  <c r="D35" i="14706" s="1"/>
  <c r="G22" i="14626"/>
  <c r="O20" i="14633"/>
  <c r="O20" i="14641"/>
  <c r="L77" i="14648"/>
  <c r="G77" i="14648"/>
  <c r="E77" i="14648"/>
  <c r="I77" i="14648"/>
  <c r="C77" i="14648"/>
  <c r="J77" i="14648"/>
  <c r="H77" i="14648"/>
  <c r="F77" i="14648"/>
  <c r="N77" i="14648"/>
  <c r="K77" i="14648"/>
  <c r="D77" i="14648"/>
  <c r="M77" i="14648"/>
  <c r="C96" i="14707"/>
  <c r="D18" i="11"/>
  <c r="G18" i="14626" s="1"/>
  <c r="G17" i="14626" s="1"/>
  <c r="C17" i="11"/>
  <c r="D17" i="11" s="1"/>
  <c r="F29" i="14692"/>
  <c r="C29" i="14692"/>
  <c r="I29" i="14692"/>
  <c r="J29" i="14692"/>
  <c r="E29" i="14692"/>
  <c r="B29" i="14692"/>
  <c r="L29" i="14692"/>
  <c r="H29" i="14692"/>
  <c r="D29" i="14692"/>
  <c r="K29" i="14692"/>
  <c r="M29" i="14692"/>
  <c r="G29" i="14692"/>
  <c r="O20" i="14676"/>
  <c r="C62" i="14648"/>
  <c r="I62" i="14648"/>
  <c r="G62" i="14648"/>
  <c r="N62" i="14648"/>
  <c r="J62" i="14648"/>
  <c r="M62" i="14648"/>
  <c r="E62" i="14648"/>
  <c r="L62" i="14648"/>
  <c r="D62" i="14648"/>
  <c r="H62" i="14648"/>
  <c r="F62" i="14648"/>
  <c r="K62" i="14648"/>
  <c r="O20" i="14677"/>
  <c r="O40" i="14639"/>
  <c r="F65" i="14665"/>
  <c r="E6" i="14617"/>
  <c r="E5" i="14617"/>
  <c r="N38" i="14700"/>
  <c r="O85" i="14704"/>
  <c r="S85" i="14704"/>
  <c r="X85" i="14704"/>
  <c r="M157" i="14701"/>
  <c r="N157" i="14701"/>
  <c r="E157" i="14701"/>
  <c r="K157" i="14701"/>
  <c r="G157" i="14701"/>
  <c r="I157" i="14701"/>
  <c r="H157" i="14701"/>
  <c r="F157" i="14701"/>
  <c r="J157" i="14701"/>
  <c r="L157" i="14701"/>
  <c r="O157" i="14701"/>
  <c r="D157" i="14701"/>
  <c r="K156" i="14701"/>
  <c r="I156" i="14701"/>
  <c r="E156" i="14701"/>
  <c r="G156" i="14701"/>
  <c r="H156" i="14701"/>
  <c r="F156" i="14701"/>
  <c r="P156" i="14701"/>
  <c r="O156" i="14701"/>
  <c r="N156" i="14701"/>
  <c r="L156" i="14701"/>
  <c r="J156" i="14701"/>
  <c r="M156" i="14701"/>
  <c r="N152" i="14701"/>
  <c r="O152" i="14701"/>
  <c r="M152" i="14701"/>
  <c r="S152" i="14701"/>
  <c r="T152" i="14701"/>
  <c r="Q152" i="14701"/>
  <c r="J152" i="14701"/>
  <c r="K152" i="14701"/>
  <c r="R152" i="14701"/>
  <c r="P152" i="14701"/>
  <c r="I152" i="14701"/>
  <c r="L152" i="14701"/>
  <c r="L153" i="14701"/>
  <c r="S153" i="14701"/>
  <c r="J153" i="14701"/>
  <c r="H153" i="14701"/>
  <c r="Q153" i="14701"/>
  <c r="P153" i="14701"/>
  <c r="R153" i="14701"/>
  <c r="O153" i="14701"/>
  <c r="M153" i="14701"/>
  <c r="I153" i="14701"/>
  <c r="N153" i="14701"/>
  <c r="K153" i="14701"/>
  <c r="M154" i="14701"/>
  <c r="R154" i="14701"/>
  <c r="K154" i="14701"/>
  <c r="L154" i="14701"/>
  <c r="G154" i="14701"/>
  <c r="O154" i="14701"/>
  <c r="I154" i="14701"/>
  <c r="Q154" i="14701"/>
  <c r="J154" i="14701"/>
  <c r="H154" i="14701"/>
  <c r="P154" i="14701"/>
  <c r="N154" i="14701"/>
  <c r="M158" i="14701"/>
  <c r="E158" i="14701"/>
  <c r="F158" i="14701"/>
  <c r="K158" i="14701"/>
  <c r="G158" i="14701"/>
  <c r="D158" i="14701"/>
  <c r="C158" i="14701"/>
  <c r="J158" i="14701"/>
  <c r="L158" i="14701"/>
  <c r="I158" i="14701"/>
  <c r="H158" i="14701"/>
  <c r="N158" i="14701"/>
  <c r="G155" i="14701"/>
  <c r="O155" i="14701"/>
  <c r="P155" i="14701"/>
  <c r="F155" i="14701"/>
  <c r="J155" i="14701"/>
  <c r="M155" i="14701"/>
  <c r="Q155" i="14701"/>
  <c r="I155" i="14701"/>
  <c r="K155" i="14701"/>
  <c r="L155" i="14701"/>
  <c r="H155" i="14701"/>
  <c r="N155" i="14701"/>
  <c r="M194" i="14701"/>
  <c r="H194" i="14701"/>
  <c r="I194" i="14701"/>
  <c r="G194" i="14701"/>
  <c r="F194" i="14701"/>
  <c r="E194" i="14701"/>
  <c r="C194" i="14701"/>
  <c r="D194" i="14701"/>
  <c r="L194" i="14701"/>
  <c r="K194" i="14701"/>
  <c r="N194" i="14701"/>
  <c r="J194" i="14701"/>
  <c r="H190" i="14701"/>
  <c r="K190" i="14701"/>
  <c r="G190" i="14701"/>
  <c r="M190" i="14701"/>
  <c r="I190" i="14701"/>
  <c r="P190" i="14701"/>
  <c r="J190" i="14701"/>
  <c r="O190" i="14701"/>
  <c r="Q190" i="14701"/>
  <c r="L190" i="14701"/>
  <c r="R190" i="14701"/>
  <c r="N190" i="14701"/>
  <c r="E193" i="14701"/>
  <c r="D193" i="14701"/>
  <c r="L193" i="14701"/>
  <c r="M193" i="14701"/>
  <c r="G193" i="14701"/>
  <c r="I193" i="14701"/>
  <c r="K193" i="14701"/>
  <c r="N193" i="14701"/>
  <c r="F193" i="14701"/>
  <c r="H193" i="14701"/>
  <c r="J193" i="14701"/>
  <c r="O193" i="14701"/>
  <c r="C195" i="14701"/>
  <c r="O195" i="14700" s="1"/>
  <c r="G195" i="14701"/>
  <c r="J195" i="14701"/>
  <c r="B195" i="14701"/>
  <c r="L195" i="14701"/>
  <c r="H195" i="14701"/>
  <c r="M195" i="14701"/>
  <c r="I195" i="14701"/>
  <c r="F195" i="14701"/>
  <c r="E195" i="14701"/>
  <c r="D195" i="14701"/>
  <c r="K195" i="14701"/>
  <c r="U184" i="14701"/>
  <c r="W184" i="14701"/>
  <c r="M184" i="14701"/>
  <c r="P184" i="14701"/>
  <c r="R184" i="14701"/>
  <c r="X184" i="14701"/>
  <c r="Q184" i="14701"/>
  <c r="O184" i="14701"/>
  <c r="T184" i="14701"/>
  <c r="V184" i="14701"/>
  <c r="N184" i="14701"/>
  <c r="S184" i="14701"/>
  <c r="T183" i="14701"/>
  <c r="S183" i="14701"/>
  <c r="Y183" i="14701"/>
  <c r="N183" i="14701"/>
  <c r="O183" i="14701"/>
  <c r="V183" i="14701"/>
  <c r="Q183" i="14701"/>
  <c r="P183" i="14701"/>
  <c r="X183" i="14701"/>
  <c r="U183" i="14701"/>
  <c r="W183" i="14701"/>
  <c r="R183" i="14701"/>
  <c r="O174" i="14701"/>
  <c r="E174" i="14701"/>
  <c r="H174" i="14701"/>
  <c r="K174" i="14701"/>
  <c r="J174" i="14701"/>
  <c r="P174" i="14701"/>
  <c r="F174" i="14701"/>
  <c r="M174" i="14701"/>
  <c r="L174" i="14701"/>
  <c r="I174" i="14701"/>
  <c r="G174" i="14701"/>
  <c r="N174" i="14701"/>
  <c r="L175" i="14701"/>
  <c r="O175" i="14701"/>
  <c r="G175" i="14701"/>
  <c r="N175" i="14701"/>
  <c r="H175" i="14701"/>
  <c r="M175" i="14701"/>
  <c r="D175" i="14701"/>
  <c r="K175" i="14701"/>
  <c r="F175" i="14701"/>
  <c r="I175" i="14701"/>
  <c r="E175" i="14701"/>
  <c r="J175" i="14701"/>
  <c r="R172" i="14701"/>
  <c r="I172" i="14701"/>
  <c r="L172" i="14701"/>
  <c r="H172" i="14701"/>
  <c r="K172" i="14701"/>
  <c r="M172" i="14701"/>
  <c r="J172" i="14701"/>
  <c r="Q172" i="14701"/>
  <c r="P172" i="14701"/>
  <c r="G172" i="14701"/>
  <c r="N172" i="14701"/>
  <c r="O172" i="14701"/>
  <c r="M169" i="14701"/>
  <c r="L169" i="14701"/>
  <c r="S169" i="14701"/>
  <c r="N169" i="14701"/>
  <c r="K169" i="14701"/>
  <c r="T169" i="14701"/>
  <c r="O169" i="14701"/>
  <c r="R169" i="14701"/>
  <c r="Q169" i="14701"/>
  <c r="U169" i="14701"/>
  <c r="J169" i="14701"/>
  <c r="P169" i="14701"/>
  <c r="P167" i="14701"/>
  <c r="R167" i="14701"/>
  <c r="L167" i="14701"/>
  <c r="Q167" i="14701"/>
  <c r="W167" i="14701"/>
  <c r="V167" i="14701"/>
  <c r="M167" i="14701"/>
  <c r="U167" i="14701"/>
  <c r="O167" i="14701"/>
  <c r="T167" i="14701"/>
  <c r="N167" i="14701"/>
  <c r="S167" i="14701"/>
  <c r="Q170" i="14701"/>
  <c r="T170" i="14701"/>
  <c r="M170" i="14701"/>
  <c r="L170" i="14701"/>
  <c r="S170" i="14701"/>
  <c r="I170" i="14701"/>
  <c r="K170" i="14701"/>
  <c r="O170" i="14701"/>
  <c r="R170" i="14701"/>
  <c r="P170" i="14701"/>
  <c r="N170" i="14701"/>
  <c r="J170" i="14701"/>
  <c r="J173" i="14701"/>
  <c r="I173" i="14701"/>
  <c r="H173" i="14701"/>
  <c r="K173" i="14701"/>
  <c r="G173" i="14701"/>
  <c r="O173" i="14701"/>
  <c r="L173" i="14701"/>
  <c r="F173" i="14701"/>
  <c r="P173" i="14701"/>
  <c r="Q173" i="14701"/>
  <c r="N173" i="14701"/>
  <c r="M173" i="14701"/>
  <c r="H225" i="14701"/>
  <c r="K225" i="14701"/>
  <c r="Q225" i="14701"/>
  <c r="N225" i="14701"/>
  <c r="O225" i="14701"/>
  <c r="P225" i="14701"/>
  <c r="M225" i="14701"/>
  <c r="I225" i="14701"/>
  <c r="R225" i="14701"/>
  <c r="J225" i="14701"/>
  <c r="S225" i="14701"/>
  <c r="L225" i="14701"/>
  <c r="P226" i="14701"/>
  <c r="L226" i="14701"/>
  <c r="N226" i="14701"/>
  <c r="M226" i="14701"/>
  <c r="I226" i="14701"/>
  <c r="J226" i="14701"/>
  <c r="K226" i="14701"/>
  <c r="G226" i="14701"/>
  <c r="R226" i="14701"/>
  <c r="H226" i="14701"/>
  <c r="O226" i="14701"/>
  <c r="Q226" i="14701"/>
  <c r="K222" i="14701"/>
  <c r="Q222" i="14701"/>
  <c r="M222" i="14701"/>
  <c r="S222" i="14701"/>
  <c r="V222" i="14701"/>
  <c r="L222" i="14701"/>
  <c r="P222" i="14701"/>
  <c r="U222" i="14701"/>
  <c r="T222" i="14701"/>
  <c r="O222" i="14701"/>
  <c r="N222" i="14701"/>
  <c r="R222" i="14701"/>
  <c r="H231" i="14701"/>
  <c r="E231" i="14701"/>
  <c r="K231" i="14701"/>
  <c r="C231" i="14701"/>
  <c r="O231" i="14700" s="1"/>
  <c r="J231" i="14701"/>
  <c r="I231" i="14701"/>
  <c r="D231" i="14701"/>
  <c r="G231" i="14701"/>
  <c r="M231" i="14701"/>
  <c r="F231" i="14701"/>
  <c r="L231" i="14701"/>
  <c r="B231" i="14701"/>
  <c r="N219" i="14701"/>
  <c r="Y219" i="14701"/>
  <c r="V219" i="14701"/>
  <c r="R219" i="14701"/>
  <c r="X219" i="14701"/>
  <c r="Q219" i="14701"/>
  <c r="O219" i="14701"/>
  <c r="W219" i="14701"/>
  <c r="U219" i="14701"/>
  <c r="S219" i="14701"/>
  <c r="P219" i="14701"/>
  <c r="T219" i="14701"/>
  <c r="F228" i="14701"/>
  <c r="G228" i="14701"/>
  <c r="O228" i="14701"/>
  <c r="I228" i="14701"/>
  <c r="K228" i="14701"/>
  <c r="P228" i="14701"/>
  <c r="M228" i="14701"/>
  <c r="E228" i="14701"/>
  <c r="L228" i="14701"/>
  <c r="J228" i="14701"/>
  <c r="N228" i="14701"/>
  <c r="H228" i="14701"/>
  <c r="H243" i="14701"/>
  <c r="Q243" i="14701"/>
  <c r="S243" i="14701"/>
  <c r="J243" i="14701"/>
  <c r="M243" i="14701"/>
  <c r="L243" i="14701"/>
  <c r="R243" i="14701"/>
  <c r="I243" i="14701"/>
  <c r="O243" i="14701"/>
  <c r="K243" i="14701"/>
  <c r="N243" i="14701"/>
  <c r="P243" i="14701"/>
  <c r="N241" i="14701"/>
  <c r="P241" i="14701"/>
  <c r="J241" i="14701"/>
  <c r="R241" i="14701"/>
  <c r="T241" i="14701"/>
  <c r="O241" i="14701"/>
  <c r="Q241" i="14701"/>
  <c r="L241" i="14701"/>
  <c r="S241" i="14701"/>
  <c r="U241" i="14701"/>
  <c r="K241" i="14701"/>
  <c r="M241" i="14701"/>
  <c r="P240" i="14701"/>
  <c r="M240" i="14701"/>
  <c r="U240" i="14701"/>
  <c r="T240" i="14701"/>
  <c r="Q240" i="14701"/>
  <c r="L240" i="14701"/>
  <c r="K240" i="14701"/>
  <c r="S240" i="14701"/>
  <c r="R240" i="14701"/>
  <c r="O240" i="14701"/>
  <c r="V240" i="14701"/>
  <c r="N240" i="14701"/>
  <c r="P239" i="14701"/>
  <c r="U239" i="14701"/>
  <c r="N239" i="14701"/>
  <c r="S239" i="14701"/>
  <c r="Q239" i="14701"/>
  <c r="L239" i="14701"/>
  <c r="T239" i="14701"/>
  <c r="M239" i="14701"/>
  <c r="R239" i="14701"/>
  <c r="W239" i="14701"/>
  <c r="V239" i="14701"/>
  <c r="O239" i="14701"/>
  <c r="S242" i="14701"/>
  <c r="Q242" i="14701"/>
  <c r="M242" i="14701"/>
  <c r="J242" i="14701"/>
  <c r="R242" i="14701"/>
  <c r="P242" i="14701"/>
  <c r="N242" i="14701"/>
  <c r="K242" i="14701"/>
  <c r="O242" i="14701"/>
  <c r="L242" i="14701"/>
  <c r="T242" i="14701"/>
  <c r="I242" i="14701"/>
  <c r="G249" i="14701"/>
  <c r="H249" i="14701"/>
  <c r="D249" i="14701"/>
  <c r="J249" i="14701"/>
  <c r="B249" i="14701"/>
  <c r="M249" i="14701"/>
  <c r="F249" i="14701"/>
  <c r="K249" i="14701"/>
  <c r="I249" i="14701"/>
  <c r="C249" i="14701"/>
  <c r="O249" i="14700" s="1"/>
  <c r="L249" i="14701"/>
  <c r="E249" i="14701"/>
  <c r="H246" i="14701"/>
  <c r="N246" i="14701"/>
  <c r="P246" i="14701"/>
  <c r="I246" i="14701"/>
  <c r="L246" i="14701"/>
  <c r="M246" i="14701"/>
  <c r="E246" i="14701"/>
  <c r="G246" i="14701"/>
  <c r="K246" i="14701"/>
  <c r="J246" i="14701"/>
  <c r="O246" i="14701"/>
  <c r="F246" i="14701"/>
  <c r="O158" i="14698"/>
  <c r="O160" i="14698" s="1"/>
  <c r="C160" i="14700"/>
  <c r="H160" i="14700"/>
  <c r="T153" i="14698" a="1"/>
  <c r="V151" i="14698" a="1"/>
  <c r="J160" i="14700"/>
  <c r="I160" i="14700"/>
  <c r="U152" i="14698" a="1"/>
  <c r="S154" i="14698" a="1"/>
  <c r="G160" i="14700"/>
  <c r="W81" i="14698"/>
  <c r="W77" i="14698"/>
  <c r="W83" i="14698"/>
  <c r="W82" i="14698"/>
  <c r="W76" i="14698"/>
  <c r="W80" i="14698"/>
  <c r="W79" i="14698"/>
  <c r="W84" i="14698"/>
  <c r="W78" i="14698"/>
  <c r="W75" i="14698"/>
  <c r="I124" i="14700"/>
  <c r="U116" i="14698" a="1"/>
  <c r="B87" i="14700"/>
  <c r="D42" i="14622"/>
  <c r="T78" i="14698"/>
  <c r="T84" i="14698"/>
  <c r="T79" i="14698"/>
  <c r="T82" i="14698"/>
  <c r="T80" i="14698"/>
  <c r="T81" i="14698"/>
  <c r="T83" i="14698"/>
  <c r="P83" i="14698"/>
  <c r="P84" i="14698"/>
  <c r="P82" i="14698"/>
  <c r="M97" i="14700" a="1"/>
  <c r="M97" i="14700" s="1"/>
  <c r="I101" i="14700" a="1"/>
  <c r="I101" i="14700" s="1"/>
  <c r="G103" i="14700" a="1"/>
  <c r="G103" i="14700" s="1"/>
  <c r="H102" i="14700" a="1"/>
  <c r="H102" i="14700" s="1"/>
  <c r="O95" i="14700" a="1"/>
  <c r="O95" i="14700" s="1"/>
  <c r="S91" i="14700" a="1"/>
  <c r="S91" i="14700" s="1"/>
  <c r="P94" i="14700" a="1"/>
  <c r="P94" i="14700" s="1"/>
  <c r="K99" i="14700" a="1"/>
  <c r="K99" i="14700" s="1"/>
  <c r="N96" i="14700" a="1"/>
  <c r="N96" i="14700" s="1"/>
  <c r="Q93" i="14700" a="1"/>
  <c r="Q93" i="14700" s="1"/>
  <c r="G40" i="14700"/>
  <c r="R92" i="14700" a="1"/>
  <c r="R92" i="14700" s="1"/>
  <c r="J100" i="14700" a="1"/>
  <c r="J100" i="14700" s="1"/>
  <c r="L98" i="14700" a="1"/>
  <c r="L98" i="14700" s="1"/>
  <c r="N36" i="14700"/>
  <c r="O100" i="14700" a="1"/>
  <c r="O100" i="14700" s="1"/>
  <c r="X91" i="14700" a="1"/>
  <c r="X91" i="14700" s="1"/>
  <c r="W92" i="14700" a="1"/>
  <c r="W92" i="14700" s="1"/>
  <c r="Q98" i="14700" a="1"/>
  <c r="Q98" i="14700" s="1"/>
  <c r="L40" i="14700"/>
  <c r="L103" i="14700" a="1"/>
  <c r="L103" i="14700" s="1"/>
  <c r="V93" i="14700" a="1"/>
  <c r="V93" i="14700" s="1"/>
  <c r="T95" i="14700" a="1"/>
  <c r="T95" i="14700" s="1"/>
  <c r="P99" i="14700" a="1"/>
  <c r="P99" i="14700" s="1"/>
  <c r="R97" i="14700" a="1"/>
  <c r="R97" i="14700" s="1"/>
  <c r="N101" i="14700" a="1"/>
  <c r="N101" i="14700" s="1"/>
  <c r="U94" i="14700" a="1"/>
  <c r="U94" i="14700" s="1"/>
  <c r="M102" i="14700" a="1"/>
  <c r="M102" i="14700" s="1"/>
  <c r="S96" i="14700" a="1"/>
  <c r="S96" i="14700" s="1"/>
  <c r="F103" i="14700" a="1"/>
  <c r="F103" i="14700" s="1"/>
  <c r="P93" i="14700" a="1"/>
  <c r="P93" i="14700" s="1"/>
  <c r="K98" i="14700" a="1"/>
  <c r="K98" i="14700" s="1"/>
  <c r="J99" i="14700" a="1"/>
  <c r="J99" i="14700" s="1"/>
  <c r="I100" i="14700" a="1"/>
  <c r="I100" i="14700" s="1"/>
  <c r="G102" i="14700" a="1"/>
  <c r="G102" i="14700" s="1"/>
  <c r="H101" i="14700" a="1"/>
  <c r="H101" i="14700" s="1"/>
  <c r="L97" i="14700" a="1"/>
  <c r="L97" i="14700" s="1"/>
  <c r="M96" i="14700" a="1"/>
  <c r="M96" i="14700" s="1"/>
  <c r="F40" i="14700"/>
  <c r="O94" i="14700" a="1"/>
  <c r="O94" i="14700" s="1"/>
  <c r="N95" i="14700" a="1"/>
  <c r="N95" i="14700" s="1"/>
  <c r="R91" i="14700" a="1"/>
  <c r="R91" i="14700" s="1"/>
  <c r="Q92" i="14700" a="1"/>
  <c r="Q92" i="14700" s="1"/>
  <c r="P98" i="14700" a="1"/>
  <c r="P98" i="14700" s="1"/>
  <c r="L102" i="14700" a="1"/>
  <c r="L102" i="14700" s="1"/>
  <c r="W91" i="14700" a="1"/>
  <c r="W91" i="14700" s="1"/>
  <c r="N100" i="14700" a="1"/>
  <c r="N100" i="14700" s="1"/>
  <c r="U93" i="14700" a="1"/>
  <c r="U93" i="14700" s="1"/>
  <c r="Q97" i="14700" a="1"/>
  <c r="Q97" i="14700" s="1"/>
  <c r="V92" i="14700" a="1"/>
  <c r="V92" i="14700" s="1"/>
  <c r="O99" i="14700" a="1"/>
  <c r="O99" i="14700" s="1"/>
  <c r="M101" i="14700" a="1"/>
  <c r="M101" i="14700" s="1"/>
  <c r="R96" i="14700" a="1"/>
  <c r="R96" i="14700" s="1"/>
  <c r="K103" i="14700" a="1"/>
  <c r="K103" i="14700" s="1"/>
  <c r="S95" i="14700" a="1"/>
  <c r="S95" i="14700" s="1"/>
  <c r="T94" i="14700" a="1"/>
  <c r="T94" i="14700" s="1"/>
  <c r="K40" i="14700"/>
  <c r="N37" i="14700"/>
  <c r="N33" i="14700"/>
  <c r="F99" i="14700" a="1"/>
  <c r="F99" i="14700" s="1"/>
  <c r="G98" i="14700" a="1"/>
  <c r="G98" i="14700" s="1"/>
  <c r="H97" i="14700" a="1"/>
  <c r="H97" i="14700" s="1"/>
  <c r="D101" i="14700" a="1"/>
  <c r="D101" i="14700" s="1"/>
  <c r="K94" i="14700" a="1"/>
  <c r="K94" i="14700" s="1"/>
  <c r="N91" i="14700" a="1"/>
  <c r="N91" i="14700" s="1"/>
  <c r="C102" i="14700" a="1"/>
  <c r="C102" i="14700" s="1"/>
  <c r="B103" i="14700" a="1"/>
  <c r="B103" i="14700" s="1"/>
  <c r="E100" i="14700" a="1"/>
  <c r="E100" i="14700" s="1"/>
  <c r="N32" i="14700"/>
  <c r="M92" i="14700" a="1"/>
  <c r="M92" i="14700" s="1"/>
  <c r="J95" i="14700" a="1"/>
  <c r="J95" i="14700" s="1"/>
  <c r="I96" i="14700" a="1"/>
  <c r="I96" i="14700" s="1"/>
  <c r="L93" i="14700" a="1"/>
  <c r="L93" i="14700" s="1"/>
  <c r="B40" i="14700"/>
  <c r="N34" i="14700"/>
  <c r="O96" i="14700" a="1"/>
  <c r="O96" i="14700" s="1"/>
  <c r="R93" i="14700" a="1"/>
  <c r="R93" i="14700" s="1"/>
  <c r="H103" i="14700" a="1"/>
  <c r="H103" i="14700" s="1"/>
  <c r="Q94" i="14700" a="1"/>
  <c r="Q94" i="14700" s="1"/>
  <c r="H40" i="14700"/>
  <c r="N97" i="14700" a="1"/>
  <c r="N97" i="14700" s="1"/>
  <c r="T91" i="14700" a="1"/>
  <c r="T91" i="14700" s="1"/>
  <c r="L99" i="14700" a="1"/>
  <c r="L99" i="14700" s="1"/>
  <c r="S92" i="14700" a="1"/>
  <c r="S92" i="14700" s="1"/>
  <c r="J101" i="14700" a="1"/>
  <c r="J101" i="14700" s="1"/>
  <c r="K100" i="14700" a="1"/>
  <c r="K100" i="14700" s="1"/>
  <c r="P95" i="14700" a="1"/>
  <c r="P95" i="14700" s="1"/>
  <c r="M98" i="14700" a="1"/>
  <c r="M98" i="14700" s="1"/>
  <c r="I102" i="14700" a="1"/>
  <c r="I102" i="14700" s="1"/>
  <c r="Q81" i="14698"/>
  <c r="Q84" i="14698"/>
  <c r="Q82" i="14698"/>
  <c r="Q83" i="14698"/>
  <c r="X84" i="14698"/>
  <c r="X77" i="14698"/>
  <c r="X75" i="14698"/>
  <c r="X76" i="14698"/>
  <c r="X78" i="14698"/>
  <c r="X80" i="14698"/>
  <c r="X74" i="14698"/>
  <c r="X81" i="14698"/>
  <c r="X83" i="14698"/>
  <c r="X82" i="14698"/>
  <c r="X79" i="14698"/>
  <c r="G124" i="14700"/>
  <c r="S118" i="14698" a="1"/>
  <c r="W186" i="14698" a="1"/>
  <c r="K196" i="14700"/>
  <c r="B196" i="14700"/>
  <c r="N195" i="14698"/>
  <c r="N196" i="14698" s="1"/>
  <c r="G196" i="14700"/>
  <c r="S190" i="14698" a="1"/>
  <c r="I196" i="14700"/>
  <c r="U188" i="14698" a="1"/>
  <c r="L250" i="14700"/>
  <c r="X239" i="14698" a="1"/>
  <c r="H250" i="14700"/>
  <c r="T243" i="14698" a="1"/>
  <c r="J142" i="14700"/>
  <c r="V133" i="14698" a="1"/>
  <c r="Y130" i="14698" a="1"/>
  <c r="M142" i="14700"/>
  <c r="C142" i="14700"/>
  <c r="O140" i="14698"/>
  <c r="O142" i="14698" s="1"/>
  <c r="I142" i="14700"/>
  <c r="U134" i="14698" a="1"/>
  <c r="G208" i="14702" a="1"/>
  <c r="N25" i="14702"/>
  <c r="E210" i="14702" a="1"/>
  <c r="D211" i="14702" a="1"/>
  <c r="L203" i="14702" a="1"/>
  <c r="F209" i="14702" a="1"/>
  <c r="I206" i="14702" a="1"/>
  <c r="M202" i="14702" a="1"/>
  <c r="H207" i="14702" a="1"/>
  <c r="B213" i="14702" a="1"/>
  <c r="K204" i="14702" a="1"/>
  <c r="C212" i="14702" a="1"/>
  <c r="N201" i="14702" a="1"/>
  <c r="J205" i="14702" a="1"/>
  <c r="C28" i="14702"/>
  <c r="L75" i="14702" a="1"/>
  <c r="L75" i="14702" s="1"/>
  <c r="N73" i="14702" a="1"/>
  <c r="N73" i="14702" s="1"/>
  <c r="O72" i="14702" a="1"/>
  <c r="O72" i="14702" s="1"/>
  <c r="G80" i="14702" a="1"/>
  <c r="G80" i="14702" s="1"/>
  <c r="K76" i="14702" a="1"/>
  <c r="K76" i="14702" s="1"/>
  <c r="D83" i="14702" a="1"/>
  <c r="D83" i="14702" s="1"/>
  <c r="M74" i="14702" a="1"/>
  <c r="M74" i="14702" s="1"/>
  <c r="J77" i="14702" a="1"/>
  <c r="J77" i="14702" s="1"/>
  <c r="H79" i="14702" a="1"/>
  <c r="H79" i="14702" s="1"/>
  <c r="E82" i="14702" a="1"/>
  <c r="E82" i="14702" s="1"/>
  <c r="F81" i="14702" a="1"/>
  <c r="F81" i="14702" s="1"/>
  <c r="C84" i="14702" a="1"/>
  <c r="C84" i="14702" s="1"/>
  <c r="I78" i="14702" a="1"/>
  <c r="I78" i="14702" s="1"/>
  <c r="G136" i="14702" a="1"/>
  <c r="I134" i="14702" a="1"/>
  <c r="K132" i="14702" a="1"/>
  <c r="J133" i="14702" a="1"/>
  <c r="E138" i="14702" a="1"/>
  <c r="N21" i="14702"/>
  <c r="L131" i="14702" a="1"/>
  <c r="D139" i="14702" a="1"/>
  <c r="B141" i="14702" a="1"/>
  <c r="M130" i="14702" a="1"/>
  <c r="C140" i="14702" a="1"/>
  <c r="F137" i="14702" a="1"/>
  <c r="H135" i="14702" a="1"/>
  <c r="N129" i="14702" a="1"/>
  <c r="J223" i="14702" a="1"/>
  <c r="L221" i="14702" a="1"/>
  <c r="M220" i="14702" a="1"/>
  <c r="N26" i="14702"/>
  <c r="F227" i="14702" a="1"/>
  <c r="K222" i="14702" a="1"/>
  <c r="B231" i="14702" a="1"/>
  <c r="H225" i="14702" a="1"/>
  <c r="N219" i="14702" a="1"/>
  <c r="I224" i="14702" a="1"/>
  <c r="E228" i="14702" a="1"/>
  <c r="G226" i="14702" a="1"/>
  <c r="D229" i="14702" a="1"/>
  <c r="C230" i="14702" a="1"/>
  <c r="F173" i="14702" a="1"/>
  <c r="N165" i="14702" a="1"/>
  <c r="L167" i="14702" a="1"/>
  <c r="N23" i="14702"/>
  <c r="K168" i="14702" a="1"/>
  <c r="C176" i="14702" a="1"/>
  <c r="D175" i="14702" a="1"/>
  <c r="I170" i="14702" a="1"/>
  <c r="J169" i="14702" a="1"/>
  <c r="M166" i="14702" a="1"/>
  <c r="E174" i="14702" a="1"/>
  <c r="G172" i="14702" a="1"/>
  <c r="H171" i="14702" a="1"/>
  <c r="B177" i="14702" a="1"/>
  <c r="L84" i="14702" a="1"/>
  <c r="L84" i="14702" s="1"/>
  <c r="O81" i="14702" a="1"/>
  <c r="O81" i="14702" s="1"/>
  <c r="Q79" i="14702" a="1"/>
  <c r="Q79" i="14702" s="1"/>
  <c r="L28" i="14702"/>
  <c r="T76" i="14702" a="1"/>
  <c r="T76" i="14702" s="1"/>
  <c r="U75" i="14702" a="1"/>
  <c r="U75" i="14702" s="1"/>
  <c r="S77" i="14702" a="1"/>
  <c r="S77" i="14702" s="1"/>
  <c r="R78" i="14702" a="1"/>
  <c r="R78" i="14702" s="1"/>
  <c r="V74" i="14702" a="1"/>
  <c r="V74" i="14702" s="1"/>
  <c r="M83" i="14702" a="1"/>
  <c r="M83" i="14702" s="1"/>
  <c r="P80" i="14702" a="1"/>
  <c r="P80" i="14702" s="1"/>
  <c r="X72" i="14702" a="1"/>
  <c r="X72" i="14702" s="1"/>
  <c r="W73" i="14702" a="1"/>
  <c r="W73" i="14702" s="1"/>
  <c r="N82" i="14702" a="1"/>
  <c r="N82" i="14702" s="1"/>
  <c r="H83" i="14702" a="1"/>
  <c r="H83" i="14702" s="1"/>
  <c r="K80" i="14702" a="1"/>
  <c r="K80" i="14702" s="1"/>
  <c r="G84" i="14702" a="1"/>
  <c r="G84" i="14702" s="1"/>
  <c r="O76" i="14702" a="1"/>
  <c r="O76" i="14702" s="1"/>
  <c r="J81" i="14702" a="1"/>
  <c r="J81" i="14702" s="1"/>
  <c r="Q74" i="14702" a="1"/>
  <c r="Q74" i="14702" s="1"/>
  <c r="R73" i="14702" a="1"/>
  <c r="R73" i="14702" s="1"/>
  <c r="G28" i="14702"/>
  <c r="S72" i="14702" a="1"/>
  <c r="S72" i="14702" s="1"/>
  <c r="N77" i="14702" a="1"/>
  <c r="N77" i="14702" s="1"/>
  <c r="I82" i="14702" a="1"/>
  <c r="I82" i="14702" s="1"/>
  <c r="P75" i="14702" a="1"/>
  <c r="P75" i="14702" s="1"/>
  <c r="M78" i="14702" a="1"/>
  <c r="M78" i="14702" s="1"/>
  <c r="L79" i="14702" a="1"/>
  <c r="L79" i="14702" s="1"/>
  <c r="D193" i="14702" a="1"/>
  <c r="N183" i="14702" a="1"/>
  <c r="F191" i="14702" a="1"/>
  <c r="L185" i="14702" a="1"/>
  <c r="E192" i="14702" a="1"/>
  <c r="G190" i="14702" a="1"/>
  <c r="J187" i="14702" a="1"/>
  <c r="I188" i="14702" a="1"/>
  <c r="B195" i="14702" a="1"/>
  <c r="K186" i="14702" a="1"/>
  <c r="N24" i="14702"/>
  <c r="M184" i="14702" a="1"/>
  <c r="C194" i="14702" a="1"/>
  <c r="H189" i="14702" a="1"/>
  <c r="X201" i="14704"/>
  <c r="Y201" i="14704"/>
  <c r="Y214" i="14704" s="1"/>
  <c r="N201" i="14704"/>
  <c r="Q201" i="14704"/>
  <c r="W201" i="14704"/>
  <c r="S201" i="14704"/>
  <c r="O201" i="14704"/>
  <c r="V201" i="14704"/>
  <c r="R201" i="14704"/>
  <c r="U201" i="14704"/>
  <c r="T201" i="14704"/>
  <c r="P201" i="14704"/>
  <c r="U204" i="14704"/>
  <c r="N204" i="14704"/>
  <c r="L204" i="14704"/>
  <c r="M204" i="14704"/>
  <c r="P204" i="14704"/>
  <c r="V204" i="14704"/>
  <c r="O204" i="14704"/>
  <c r="S204" i="14704"/>
  <c r="Q204" i="14704"/>
  <c r="R204" i="14704"/>
  <c r="K204" i="14704"/>
  <c r="T204" i="14704"/>
  <c r="O209" i="14704"/>
  <c r="I209" i="14704"/>
  <c r="H209" i="14704"/>
  <c r="L209" i="14704"/>
  <c r="K209" i="14704"/>
  <c r="Q209" i="14704"/>
  <c r="F209" i="14704"/>
  <c r="J209" i="14704"/>
  <c r="N209" i="14704"/>
  <c r="G209" i="14704"/>
  <c r="M209" i="14704"/>
  <c r="P209" i="14704"/>
  <c r="J212" i="14704"/>
  <c r="N212" i="14704"/>
  <c r="E212" i="14704"/>
  <c r="G212" i="14704"/>
  <c r="C212" i="14704"/>
  <c r="K212" i="14704"/>
  <c r="L212" i="14704"/>
  <c r="F212" i="14704"/>
  <c r="M212" i="14704"/>
  <c r="D212" i="14704"/>
  <c r="H212" i="14704"/>
  <c r="I212" i="14704"/>
  <c r="L211" i="14704"/>
  <c r="K211" i="14704"/>
  <c r="H211" i="14704"/>
  <c r="O211" i="14704"/>
  <c r="E211" i="14704"/>
  <c r="D211" i="14704"/>
  <c r="F211" i="14704"/>
  <c r="M211" i="14704"/>
  <c r="N211" i="14704"/>
  <c r="J211" i="14704"/>
  <c r="I211" i="14704"/>
  <c r="G211" i="14704"/>
  <c r="S205" i="14704"/>
  <c r="J205" i="14704"/>
  <c r="T205" i="14704"/>
  <c r="L205" i="14704"/>
  <c r="O205" i="14704"/>
  <c r="K205" i="14704"/>
  <c r="M205" i="14704"/>
  <c r="U205" i="14704"/>
  <c r="Q205" i="14704"/>
  <c r="N205" i="14704"/>
  <c r="R205" i="14704"/>
  <c r="P205" i="14704"/>
  <c r="P228" i="14704"/>
  <c r="M228" i="14704"/>
  <c r="I228" i="14704"/>
  <c r="G228" i="14704"/>
  <c r="J228" i="14704"/>
  <c r="O228" i="14704"/>
  <c r="L228" i="14704"/>
  <c r="K228" i="14704"/>
  <c r="N228" i="14704"/>
  <c r="E228" i="14704"/>
  <c r="H228" i="14704"/>
  <c r="F228" i="14704"/>
  <c r="O221" i="14704"/>
  <c r="R221" i="14704"/>
  <c r="P221" i="14704"/>
  <c r="U221" i="14704"/>
  <c r="W221" i="14704"/>
  <c r="N221" i="14704"/>
  <c r="L221" i="14704"/>
  <c r="V221" i="14704"/>
  <c r="S221" i="14704"/>
  <c r="T221" i="14704"/>
  <c r="M221" i="14704"/>
  <c r="Q221" i="14704"/>
  <c r="H225" i="14704"/>
  <c r="P225" i="14704"/>
  <c r="S225" i="14704"/>
  <c r="O225" i="14704"/>
  <c r="I225" i="14704"/>
  <c r="R225" i="14704"/>
  <c r="M225" i="14704"/>
  <c r="L225" i="14704"/>
  <c r="K225" i="14704"/>
  <c r="J225" i="14704"/>
  <c r="Q225" i="14704"/>
  <c r="N225" i="14704"/>
  <c r="Y219" i="14704"/>
  <c r="Y232" i="14704" s="1"/>
  <c r="V219" i="14704"/>
  <c r="R219" i="14704"/>
  <c r="W219" i="14704"/>
  <c r="T219" i="14704"/>
  <c r="Q219" i="14704"/>
  <c r="O219" i="14704"/>
  <c r="N219" i="14704"/>
  <c r="X219" i="14704"/>
  <c r="U219" i="14704"/>
  <c r="P219" i="14704"/>
  <c r="S219" i="14704"/>
  <c r="W220" i="14704"/>
  <c r="T220" i="14704"/>
  <c r="M220" i="14704"/>
  <c r="P220" i="14704"/>
  <c r="Q220" i="14704"/>
  <c r="S220" i="14704"/>
  <c r="N220" i="14704"/>
  <c r="U220" i="14704"/>
  <c r="V220" i="14704"/>
  <c r="R220" i="14704"/>
  <c r="X220" i="14704"/>
  <c r="O220" i="14704"/>
  <c r="Q223" i="14704"/>
  <c r="U223" i="14704"/>
  <c r="J223" i="14704"/>
  <c r="R223" i="14704"/>
  <c r="L223" i="14704"/>
  <c r="T223" i="14704"/>
  <c r="N223" i="14704"/>
  <c r="P223" i="14704"/>
  <c r="M223" i="14704"/>
  <c r="K223" i="14704"/>
  <c r="O223" i="14704"/>
  <c r="S223" i="14704"/>
  <c r="K231" i="14704"/>
  <c r="C231" i="14704"/>
  <c r="O231" i="14702" s="1"/>
  <c r="G231" i="14704"/>
  <c r="D231" i="14704"/>
  <c r="H231" i="14704"/>
  <c r="B231" i="14704"/>
  <c r="I231" i="14704"/>
  <c r="E231" i="14704"/>
  <c r="M231" i="14704"/>
  <c r="L231" i="14704"/>
  <c r="F231" i="14704"/>
  <c r="J231" i="14704"/>
  <c r="U85" i="14704"/>
  <c r="G141" i="14704"/>
  <c r="K141" i="14704"/>
  <c r="I141" i="14704"/>
  <c r="H141" i="14704"/>
  <c r="L141" i="14704"/>
  <c r="D141" i="14704"/>
  <c r="C141" i="14704"/>
  <c r="O141" i="14702" s="1"/>
  <c r="B141" i="14704"/>
  <c r="E141" i="14704"/>
  <c r="M141" i="14704"/>
  <c r="J141" i="14704"/>
  <c r="F141" i="14704"/>
  <c r="V132" i="14704"/>
  <c r="O132" i="14704"/>
  <c r="T132" i="14704"/>
  <c r="R132" i="14704"/>
  <c r="L132" i="14704"/>
  <c r="U132" i="14704"/>
  <c r="S132" i="14704"/>
  <c r="M132" i="14704"/>
  <c r="K132" i="14704"/>
  <c r="N132" i="14704"/>
  <c r="P132" i="14704"/>
  <c r="Q132" i="14704"/>
  <c r="S129" i="14704"/>
  <c r="T129" i="14704"/>
  <c r="P129" i="14704"/>
  <c r="R129" i="14704"/>
  <c r="Y129" i="14704"/>
  <c r="Y142" i="14704" s="1"/>
  <c r="V129" i="14704"/>
  <c r="U129" i="14704"/>
  <c r="N129" i="14704"/>
  <c r="O129" i="14704"/>
  <c r="Q129" i="14704"/>
  <c r="W129" i="14704"/>
  <c r="X129" i="14704"/>
  <c r="H136" i="14704"/>
  <c r="P136" i="14704"/>
  <c r="G136" i="14704"/>
  <c r="I136" i="14704"/>
  <c r="L136" i="14704"/>
  <c r="M136" i="14704"/>
  <c r="R136" i="14704"/>
  <c r="Q136" i="14704"/>
  <c r="N136" i="14704"/>
  <c r="O136" i="14704"/>
  <c r="J136" i="14704"/>
  <c r="K136" i="14704"/>
  <c r="N139" i="14704"/>
  <c r="H139" i="14704"/>
  <c r="O139" i="14704"/>
  <c r="M139" i="14704"/>
  <c r="G139" i="14704"/>
  <c r="I139" i="14704"/>
  <c r="L139" i="14704"/>
  <c r="J139" i="14704"/>
  <c r="K139" i="14704"/>
  <c r="E139" i="14704"/>
  <c r="D139" i="14704"/>
  <c r="F139" i="14704"/>
  <c r="F140" i="14704"/>
  <c r="E140" i="14704"/>
  <c r="L140" i="14704"/>
  <c r="H140" i="14704"/>
  <c r="N140" i="14704"/>
  <c r="M140" i="14704"/>
  <c r="K140" i="14704"/>
  <c r="I140" i="14704"/>
  <c r="C140" i="14704"/>
  <c r="D140" i="14704"/>
  <c r="J140" i="14704"/>
  <c r="G140" i="14704"/>
  <c r="J151" i="14704"/>
  <c r="M151" i="14704"/>
  <c r="S151" i="14704"/>
  <c r="O151" i="14704"/>
  <c r="R151" i="14704"/>
  <c r="Q151" i="14704"/>
  <c r="P151" i="14704"/>
  <c r="K151" i="14704"/>
  <c r="T151" i="14704"/>
  <c r="L151" i="14704"/>
  <c r="U151" i="14704"/>
  <c r="N151" i="14704"/>
  <c r="D159" i="14704"/>
  <c r="B159" i="14704"/>
  <c r="M159" i="14704"/>
  <c r="C159" i="14704"/>
  <c r="O159" i="14702" s="1"/>
  <c r="J159" i="14704"/>
  <c r="K159" i="14704"/>
  <c r="G159" i="14704"/>
  <c r="H159" i="14704"/>
  <c r="F159" i="14704"/>
  <c r="L159" i="14704"/>
  <c r="I159" i="14704"/>
  <c r="E159" i="14704"/>
  <c r="S147" i="14704"/>
  <c r="W147" i="14704"/>
  <c r="O147" i="14704"/>
  <c r="P147" i="14704"/>
  <c r="Y147" i="14704"/>
  <c r="Y160" i="14704" s="1"/>
  <c r="Q147" i="14704"/>
  <c r="T147" i="14704"/>
  <c r="R147" i="14704"/>
  <c r="N147" i="14704"/>
  <c r="U147" i="14704"/>
  <c r="V147" i="14704"/>
  <c r="X147" i="14704"/>
  <c r="F156" i="14704"/>
  <c r="I156" i="14704"/>
  <c r="O156" i="14704"/>
  <c r="K156" i="14704"/>
  <c r="L156" i="14704"/>
  <c r="G156" i="14704"/>
  <c r="J156" i="14704"/>
  <c r="P156" i="14704"/>
  <c r="E156" i="14704"/>
  <c r="M156" i="14704"/>
  <c r="H156" i="14704"/>
  <c r="N156" i="14704"/>
  <c r="X148" i="14704"/>
  <c r="S148" i="14704"/>
  <c r="U148" i="14704"/>
  <c r="P148" i="14704"/>
  <c r="N148" i="14704"/>
  <c r="O148" i="14704"/>
  <c r="V148" i="14704"/>
  <c r="Q148" i="14704"/>
  <c r="R148" i="14704"/>
  <c r="M148" i="14704"/>
  <c r="T148" i="14704"/>
  <c r="W148" i="14704"/>
  <c r="I158" i="14704"/>
  <c r="K158" i="14704"/>
  <c r="G158" i="14704"/>
  <c r="E158" i="14704"/>
  <c r="F158" i="14704"/>
  <c r="H158" i="14704"/>
  <c r="C158" i="14704"/>
  <c r="J158" i="14704"/>
  <c r="D158" i="14704"/>
  <c r="L158" i="14704"/>
  <c r="M158" i="14704"/>
  <c r="N158" i="14704"/>
  <c r="Y73" i="14702" a="1"/>
  <c r="M85" i="14704"/>
  <c r="N85" i="14704"/>
  <c r="R80" i="14702" a="1"/>
  <c r="F85" i="14704"/>
  <c r="W75" i="14702" a="1"/>
  <c r="K85" i="14704"/>
  <c r="O114" i="14704"/>
  <c r="K114" i="14704"/>
  <c r="U114" i="14704"/>
  <c r="T114" i="14704"/>
  <c r="N114" i="14704"/>
  <c r="S114" i="14704"/>
  <c r="P114" i="14704"/>
  <c r="L114" i="14704"/>
  <c r="R114" i="14704"/>
  <c r="Q114" i="14704"/>
  <c r="V114" i="14704"/>
  <c r="M114" i="14704"/>
  <c r="L122" i="14704"/>
  <c r="K122" i="14704"/>
  <c r="N122" i="14704"/>
  <c r="C122" i="14704"/>
  <c r="J122" i="14704"/>
  <c r="H122" i="14704"/>
  <c r="F122" i="14704"/>
  <c r="M122" i="14704"/>
  <c r="I122" i="14704"/>
  <c r="E122" i="14704"/>
  <c r="G122" i="14704"/>
  <c r="D122" i="14704"/>
  <c r="Q81" i="14702" a="1"/>
  <c r="E85" i="14704"/>
  <c r="N28" i="14704"/>
  <c r="J121" i="14704"/>
  <c r="M121" i="14704"/>
  <c r="O121" i="14704"/>
  <c r="N121" i="14704"/>
  <c r="G121" i="14704"/>
  <c r="H121" i="14704"/>
  <c r="L121" i="14704"/>
  <c r="F121" i="14704"/>
  <c r="K121" i="14704"/>
  <c r="D121" i="14704"/>
  <c r="I121" i="14704"/>
  <c r="E121" i="14704"/>
  <c r="L119" i="14704"/>
  <c r="Q119" i="14704"/>
  <c r="J119" i="14704"/>
  <c r="P119" i="14704"/>
  <c r="O119" i="14704"/>
  <c r="M119" i="14704"/>
  <c r="I119" i="14704"/>
  <c r="H119" i="14704"/>
  <c r="F119" i="14704"/>
  <c r="N119" i="14704"/>
  <c r="G119" i="14704"/>
  <c r="K119" i="14704"/>
  <c r="T78" i="14702" a="1"/>
  <c r="H85" i="14704"/>
  <c r="L85" i="14704"/>
  <c r="X74" i="14702" a="1"/>
  <c r="V76" i="14702" a="1"/>
  <c r="J85" i="14704"/>
  <c r="Y166" i="14698" a="1"/>
  <c r="M178" i="14700"/>
  <c r="J178" i="14700"/>
  <c r="V169" i="14698" a="1"/>
  <c r="Y220" i="14698" a="1"/>
  <c r="M232" i="14700"/>
  <c r="W222" i="14698" a="1"/>
  <c r="K232" i="14700"/>
  <c r="E232" i="14700"/>
  <c r="Q228" i="14698" a="1"/>
  <c r="F232" i="14700"/>
  <c r="R227" i="14698" a="1"/>
  <c r="F214" i="14700"/>
  <c r="R209" i="14698" a="1"/>
  <c r="J214" i="14700"/>
  <c r="V205" i="14698" a="1"/>
  <c r="N213" i="14698"/>
  <c r="N214" i="14698" s="1"/>
  <c r="B214" i="14700"/>
  <c r="M214" i="14700"/>
  <c r="Y202" i="14698" a="1"/>
  <c r="R133" i="14701"/>
  <c r="S133" i="14701"/>
  <c r="K133" i="14701"/>
  <c r="T133" i="14701"/>
  <c r="U133" i="14701"/>
  <c r="M133" i="14701"/>
  <c r="Q133" i="14701"/>
  <c r="P133" i="14701"/>
  <c r="J133" i="14701"/>
  <c r="O133" i="14701"/>
  <c r="N133" i="14701"/>
  <c r="L133" i="14701"/>
  <c r="R136" i="14701"/>
  <c r="P136" i="14701"/>
  <c r="G136" i="14701"/>
  <c r="K136" i="14701"/>
  <c r="L136" i="14701"/>
  <c r="H136" i="14701"/>
  <c r="O136" i="14701"/>
  <c r="Q136" i="14701"/>
  <c r="J136" i="14701"/>
  <c r="M136" i="14701"/>
  <c r="I136" i="14701"/>
  <c r="N136" i="14701"/>
  <c r="K137" i="14701"/>
  <c r="I137" i="14701"/>
  <c r="N137" i="14701"/>
  <c r="Q137" i="14701"/>
  <c r="O137" i="14701"/>
  <c r="J137" i="14701"/>
  <c r="M137" i="14701"/>
  <c r="G137" i="14701"/>
  <c r="H137" i="14701"/>
  <c r="P137" i="14701"/>
  <c r="L137" i="14701"/>
  <c r="F137" i="14701"/>
  <c r="T132" i="14701"/>
  <c r="M132" i="14701"/>
  <c r="V132" i="14701"/>
  <c r="P132" i="14701"/>
  <c r="O132" i="14701"/>
  <c r="R132" i="14701"/>
  <c r="Q132" i="14701"/>
  <c r="L132" i="14701"/>
  <c r="N132" i="14701"/>
  <c r="U132" i="14701"/>
  <c r="S132" i="14701"/>
  <c r="K132" i="14701"/>
  <c r="P129" i="14701"/>
  <c r="T129" i="14701"/>
  <c r="V129" i="14701"/>
  <c r="R129" i="14701"/>
  <c r="O129" i="14701"/>
  <c r="Y129" i="14701"/>
  <c r="N129" i="14701"/>
  <c r="U129" i="14701"/>
  <c r="Q129" i="14701"/>
  <c r="W129" i="14701"/>
  <c r="S129" i="14701"/>
  <c r="X129" i="14701"/>
  <c r="F140" i="14701"/>
  <c r="I140" i="14701"/>
  <c r="D140" i="14701"/>
  <c r="H140" i="14701"/>
  <c r="E140" i="14701"/>
  <c r="M140" i="14701"/>
  <c r="K140" i="14701"/>
  <c r="G140" i="14701"/>
  <c r="N140" i="14701"/>
  <c r="J140" i="14701"/>
  <c r="C140" i="14701"/>
  <c r="L140" i="14701"/>
  <c r="N204" i="14701"/>
  <c r="R204" i="14701"/>
  <c r="K204" i="14701"/>
  <c r="T204" i="14701"/>
  <c r="O204" i="14701"/>
  <c r="V204" i="14701"/>
  <c r="P204" i="14701"/>
  <c r="U204" i="14701"/>
  <c r="S204" i="14701"/>
  <c r="L204" i="14701"/>
  <c r="Q204" i="14701"/>
  <c r="M204" i="14701"/>
  <c r="O207" i="14701"/>
  <c r="Q207" i="14701"/>
  <c r="H207" i="14701"/>
  <c r="J207" i="14701"/>
  <c r="S207" i="14701"/>
  <c r="P207" i="14701"/>
  <c r="L207" i="14701"/>
  <c r="K207" i="14701"/>
  <c r="R207" i="14701"/>
  <c r="M207" i="14701"/>
  <c r="N207" i="14701"/>
  <c r="I207" i="14701"/>
  <c r="I208" i="14701"/>
  <c r="R208" i="14701"/>
  <c r="N208" i="14701"/>
  <c r="P208" i="14701"/>
  <c r="M208" i="14701"/>
  <c r="G208" i="14701"/>
  <c r="H208" i="14701"/>
  <c r="J208" i="14701"/>
  <c r="Q208" i="14701"/>
  <c r="O208" i="14701"/>
  <c r="L208" i="14701"/>
  <c r="K208" i="14701"/>
  <c r="Y201" i="14701"/>
  <c r="T201" i="14701"/>
  <c r="X201" i="14701"/>
  <c r="V201" i="14701"/>
  <c r="P201" i="14701"/>
  <c r="S201" i="14701"/>
  <c r="O201" i="14701"/>
  <c r="N201" i="14701"/>
  <c r="W201" i="14701"/>
  <c r="R201" i="14701"/>
  <c r="Q201" i="14701"/>
  <c r="U201" i="14701"/>
  <c r="L211" i="14701"/>
  <c r="M211" i="14701"/>
  <c r="H211" i="14701"/>
  <c r="E211" i="14701"/>
  <c r="F211" i="14701"/>
  <c r="N211" i="14701"/>
  <c r="J211" i="14701"/>
  <c r="G211" i="14701"/>
  <c r="K211" i="14701"/>
  <c r="O211" i="14701"/>
  <c r="I211" i="14701"/>
  <c r="D211" i="14701"/>
  <c r="G212" i="14701"/>
  <c r="J212" i="14701"/>
  <c r="C212" i="14701"/>
  <c r="M212" i="14701"/>
  <c r="K212" i="14701"/>
  <c r="H212" i="14701"/>
  <c r="D212" i="14701"/>
  <c r="N212" i="14701"/>
  <c r="L212" i="14701"/>
  <c r="F212" i="14701"/>
  <c r="E212" i="14701"/>
  <c r="I212" i="14701"/>
  <c r="H209" i="14701"/>
  <c r="F209" i="14701"/>
  <c r="N209" i="14701"/>
  <c r="I209" i="14701"/>
  <c r="P209" i="14701"/>
  <c r="G209" i="14701"/>
  <c r="O209" i="14701"/>
  <c r="J209" i="14701"/>
  <c r="M209" i="14701"/>
  <c r="L209" i="14701"/>
  <c r="Q209" i="14701"/>
  <c r="K209" i="14701"/>
  <c r="M123" i="14701"/>
  <c r="K123" i="14701"/>
  <c r="F123" i="14701"/>
  <c r="G123" i="14701"/>
  <c r="C123" i="14701"/>
  <c r="O123" i="14700" s="1"/>
  <c r="H123" i="14701"/>
  <c r="E123" i="14701"/>
  <c r="I123" i="14701"/>
  <c r="L123" i="14701"/>
  <c r="D123" i="14701"/>
  <c r="B123" i="14701"/>
  <c r="J123" i="14701"/>
  <c r="B85" i="14701"/>
  <c r="N84" i="14700"/>
  <c r="N85" i="14700" s="1"/>
  <c r="D85" i="14701"/>
  <c r="P82" i="14700" a="1"/>
  <c r="X74" i="14700" a="1"/>
  <c r="L85" i="14701"/>
  <c r="F37" i="14701"/>
  <c r="K38" i="14701"/>
  <c r="M33" i="14701"/>
  <c r="I36" i="14701"/>
  <c r="L34" i="14701"/>
  <c r="J38" i="14701"/>
  <c r="H35" i="14701"/>
  <c r="G34" i="14701"/>
  <c r="D37" i="14701"/>
  <c r="C35" i="14701"/>
  <c r="D35" i="14701"/>
  <c r="M36" i="14701"/>
  <c r="K36" i="14701"/>
  <c r="C32" i="14701"/>
  <c r="M35" i="14701"/>
  <c r="E32" i="14701"/>
  <c r="B38" i="14701"/>
  <c r="K35" i="14701"/>
  <c r="E36" i="14701"/>
  <c r="G39" i="14701"/>
  <c r="B37" i="14701"/>
  <c r="L32" i="14701"/>
  <c r="B34" i="14701"/>
  <c r="H39" i="14701"/>
  <c r="E33" i="14701"/>
  <c r="H36" i="14701"/>
  <c r="B32" i="14701"/>
  <c r="J33" i="14701"/>
  <c r="C39" i="14701"/>
  <c r="I35" i="14701"/>
  <c r="M38" i="14701"/>
  <c r="C34" i="14701"/>
  <c r="B35" i="14701"/>
  <c r="K33" i="14701"/>
  <c r="L35" i="14701"/>
  <c r="J39" i="14701"/>
  <c r="G35" i="14701"/>
  <c r="K37" i="14701"/>
  <c r="E34" i="14701"/>
  <c r="G36" i="14701"/>
  <c r="J36" i="14701"/>
  <c r="L33" i="14701"/>
  <c r="I37" i="14701"/>
  <c r="G33" i="14701"/>
  <c r="F36" i="14701"/>
  <c r="G37" i="14701"/>
  <c r="D33" i="14701"/>
  <c r="D36" i="14701"/>
  <c r="F32" i="14701"/>
  <c r="I34" i="14701"/>
  <c r="F33" i="14701"/>
  <c r="B39" i="14701"/>
  <c r="F34" i="14701"/>
  <c r="D32" i="14701"/>
  <c r="J35" i="14701"/>
  <c r="L37" i="14701"/>
  <c r="I38" i="14701"/>
  <c r="F38" i="14701"/>
  <c r="B33" i="14701"/>
  <c r="M37" i="14701"/>
  <c r="H32" i="14701"/>
  <c r="H38" i="14701"/>
  <c r="H34" i="14701"/>
  <c r="F35" i="14701"/>
  <c r="M32" i="14701"/>
  <c r="J34" i="14701"/>
  <c r="F39" i="14701"/>
  <c r="J37" i="14701"/>
  <c r="I33" i="14701"/>
  <c r="B36" i="14701"/>
  <c r="D38" i="14701"/>
  <c r="L38" i="14701"/>
  <c r="C36" i="14701"/>
  <c r="M34" i="14701"/>
  <c r="E37" i="14701"/>
  <c r="H37" i="14701"/>
  <c r="C38" i="14701"/>
  <c r="I32" i="14701"/>
  <c r="G32" i="14701"/>
  <c r="E39" i="14701"/>
  <c r="L36" i="14701"/>
  <c r="D34" i="14701"/>
  <c r="E35" i="14701"/>
  <c r="C37" i="14701"/>
  <c r="M39" i="14701"/>
  <c r="E38" i="14701"/>
  <c r="K34" i="14701"/>
  <c r="D39" i="14701"/>
  <c r="I39" i="14701"/>
  <c r="K32" i="14701"/>
  <c r="K39" i="14701"/>
  <c r="C33" i="14701"/>
  <c r="G38" i="14701"/>
  <c r="L39" i="14701"/>
  <c r="H33" i="14701"/>
  <c r="J32" i="14701"/>
  <c r="E122" i="14701"/>
  <c r="G122" i="14701"/>
  <c r="N122" i="14701"/>
  <c r="D122" i="14701"/>
  <c r="J122" i="14701"/>
  <c r="I122" i="14701"/>
  <c r="F122" i="14701"/>
  <c r="C122" i="14701"/>
  <c r="M122" i="14701"/>
  <c r="H122" i="14701"/>
  <c r="L122" i="14701"/>
  <c r="K122" i="14701"/>
  <c r="I118" i="14701"/>
  <c r="O118" i="14701"/>
  <c r="H118" i="14701"/>
  <c r="P118" i="14701"/>
  <c r="K118" i="14701"/>
  <c r="Q118" i="14701"/>
  <c r="L118" i="14701"/>
  <c r="J118" i="14701"/>
  <c r="M118" i="14701"/>
  <c r="G118" i="14701"/>
  <c r="R118" i="14701"/>
  <c r="N118" i="14701"/>
  <c r="S116" i="14701"/>
  <c r="Q116" i="14701"/>
  <c r="O116" i="14701"/>
  <c r="J116" i="14701"/>
  <c r="K116" i="14701"/>
  <c r="R116" i="14701"/>
  <c r="P116" i="14701"/>
  <c r="L116" i="14701"/>
  <c r="T116" i="14701"/>
  <c r="I116" i="14701"/>
  <c r="M116" i="14701"/>
  <c r="N116" i="14701"/>
  <c r="H120" i="14701"/>
  <c r="M120" i="14701"/>
  <c r="I120" i="14701"/>
  <c r="P120" i="14701"/>
  <c r="L120" i="14701"/>
  <c r="F120" i="14701"/>
  <c r="J120" i="14701"/>
  <c r="G120" i="14701"/>
  <c r="K120" i="14701"/>
  <c r="E120" i="14701"/>
  <c r="O120" i="14701"/>
  <c r="N120" i="14701"/>
  <c r="Q81" i="14700" a="1"/>
  <c r="E85" i="14701"/>
  <c r="N121" i="14701"/>
  <c r="K121" i="14701"/>
  <c r="J121" i="14701"/>
  <c r="G121" i="14701"/>
  <c r="I121" i="14701"/>
  <c r="M121" i="14701"/>
  <c r="F121" i="14701"/>
  <c r="E121" i="14701"/>
  <c r="L121" i="14701"/>
  <c r="D121" i="14701"/>
  <c r="O121" i="14701"/>
  <c r="H121" i="14701"/>
  <c r="R115" i="14701"/>
  <c r="S115" i="14701"/>
  <c r="J115" i="14701"/>
  <c r="M115" i="14701"/>
  <c r="N115" i="14701"/>
  <c r="P115" i="14701"/>
  <c r="T115" i="14701"/>
  <c r="Q115" i="14701"/>
  <c r="U115" i="14701"/>
  <c r="L115" i="14701"/>
  <c r="K115" i="14701"/>
  <c r="O115" i="14701"/>
  <c r="W113" i="14701"/>
  <c r="R113" i="14701"/>
  <c r="P113" i="14701"/>
  <c r="O113" i="14701"/>
  <c r="U113" i="14701"/>
  <c r="M113" i="14701"/>
  <c r="T113" i="14701"/>
  <c r="V113" i="14701"/>
  <c r="N113" i="14701"/>
  <c r="L113" i="14701"/>
  <c r="Q113" i="14701"/>
  <c r="S113" i="14701"/>
  <c r="G34" i="14683" a="1"/>
  <c r="E79" i="14643" a="1"/>
  <c r="S79" i="14700" a="1"/>
  <c r="G85" i="14701"/>
  <c r="J12" i="14707"/>
  <c r="J15" i="14707"/>
  <c r="J16" i="14707"/>
  <c r="J18" i="14707"/>
  <c r="J13" i="14707"/>
  <c r="J17" i="14707"/>
  <c r="J14" i="14707"/>
  <c r="J11" i="14707"/>
  <c r="Y148" i="14698" a="1"/>
  <c r="M160" i="14700"/>
  <c r="W150" i="14698" a="1"/>
  <c r="K160" i="14700"/>
  <c r="D160" i="14700"/>
  <c r="P157" i="14698" a="1"/>
  <c r="O84" i="14698"/>
  <c r="O83" i="14698"/>
  <c r="E34" i="14683"/>
  <c r="E36" i="14683"/>
  <c r="E39" i="14683"/>
  <c r="E41" i="14683"/>
  <c r="E35" i="14683"/>
  <c r="E37" i="14683"/>
  <c r="E40" i="14683"/>
  <c r="E38" i="14683"/>
  <c r="S82" i="14698"/>
  <c r="S83" i="14698"/>
  <c r="S81" i="14698"/>
  <c r="S84" i="14698"/>
  <c r="S79" i="14698"/>
  <c r="S80" i="14698"/>
  <c r="R80" i="14698"/>
  <c r="R83" i="14698"/>
  <c r="R81" i="14698"/>
  <c r="R84" i="14698"/>
  <c r="R82" i="14698"/>
  <c r="C124" i="14700"/>
  <c r="O122" i="14698"/>
  <c r="O124" i="14698" s="1"/>
  <c r="P193" i="14698" a="1"/>
  <c r="D196" i="14700"/>
  <c r="X185" i="14698" a="1"/>
  <c r="L196" i="14700"/>
  <c r="Q192" i="14698" a="1"/>
  <c r="E196" i="14700"/>
  <c r="T189" i="14698" a="1"/>
  <c r="H196" i="14700"/>
  <c r="E250" i="14700"/>
  <c r="Q246" i="14698" a="1"/>
  <c r="N249" i="14698"/>
  <c r="N250" i="14698" s="1"/>
  <c r="B250" i="14700"/>
  <c r="W240" i="14698" a="1"/>
  <c r="K250" i="14700"/>
  <c r="M250" i="14700"/>
  <c r="Y238" i="14698" a="1"/>
  <c r="U242" i="14698" a="1"/>
  <c r="I250" i="14700"/>
  <c r="X131" i="14698" a="1"/>
  <c r="L142" i="14700"/>
  <c r="J247" i="14704"/>
  <c r="H247" i="14704"/>
  <c r="M247" i="14704"/>
  <c r="O247" i="14704"/>
  <c r="E247" i="14704"/>
  <c r="F247" i="14704"/>
  <c r="K247" i="14704"/>
  <c r="N247" i="14704"/>
  <c r="I247" i="14704"/>
  <c r="G247" i="14704"/>
  <c r="L247" i="14704"/>
  <c r="D247" i="14704"/>
  <c r="I245" i="14704"/>
  <c r="K245" i="14704"/>
  <c r="N245" i="14704"/>
  <c r="P245" i="14704"/>
  <c r="G245" i="14704"/>
  <c r="J245" i="14704"/>
  <c r="O245" i="14704"/>
  <c r="Q245" i="14704"/>
  <c r="F245" i="14704"/>
  <c r="L245" i="14704"/>
  <c r="H245" i="14704"/>
  <c r="M245" i="14704"/>
  <c r="J241" i="14704"/>
  <c r="Q241" i="14704"/>
  <c r="N241" i="14704"/>
  <c r="R241" i="14704"/>
  <c r="P241" i="14704"/>
  <c r="L241" i="14704"/>
  <c r="T241" i="14704"/>
  <c r="M241" i="14704"/>
  <c r="O241" i="14704"/>
  <c r="U241" i="14704"/>
  <c r="S241" i="14704"/>
  <c r="K241" i="14704"/>
  <c r="O237" i="14704"/>
  <c r="Y237" i="14704"/>
  <c r="Y250" i="14704" s="1"/>
  <c r="S237" i="14704"/>
  <c r="Q237" i="14704"/>
  <c r="R237" i="14704"/>
  <c r="V237" i="14704"/>
  <c r="T237" i="14704"/>
  <c r="U237" i="14704"/>
  <c r="N237" i="14704"/>
  <c r="W237" i="14704"/>
  <c r="P237" i="14704"/>
  <c r="X237" i="14704"/>
  <c r="O240" i="14704"/>
  <c r="U240" i="14704"/>
  <c r="N240" i="14704"/>
  <c r="T240" i="14704"/>
  <c r="L240" i="14704"/>
  <c r="V240" i="14704"/>
  <c r="K240" i="14704"/>
  <c r="R240" i="14704"/>
  <c r="S240" i="14704"/>
  <c r="P240" i="14704"/>
  <c r="Q240" i="14704"/>
  <c r="M240" i="14704"/>
  <c r="M239" i="14704"/>
  <c r="U239" i="14704"/>
  <c r="P239" i="14704"/>
  <c r="N239" i="14704"/>
  <c r="V239" i="14704"/>
  <c r="W239" i="14704"/>
  <c r="T239" i="14704"/>
  <c r="L239" i="14704"/>
  <c r="R239" i="14704"/>
  <c r="Q239" i="14704"/>
  <c r="O239" i="14704"/>
  <c r="S239" i="14704"/>
  <c r="P85" i="14704"/>
  <c r="P191" i="14704"/>
  <c r="G191" i="14704"/>
  <c r="L191" i="14704"/>
  <c r="J191" i="14704"/>
  <c r="K191" i="14704"/>
  <c r="F191" i="14704"/>
  <c r="I191" i="14704"/>
  <c r="O191" i="14704"/>
  <c r="N191" i="14704"/>
  <c r="Q191" i="14704"/>
  <c r="M191" i="14704"/>
  <c r="H191" i="14704"/>
  <c r="P186" i="14704"/>
  <c r="U186" i="14704"/>
  <c r="T186" i="14704"/>
  <c r="Q186" i="14704"/>
  <c r="O186" i="14704"/>
  <c r="N186" i="14704"/>
  <c r="S186" i="14704"/>
  <c r="L186" i="14704"/>
  <c r="V186" i="14704"/>
  <c r="M186" i="14704"/>
  <c r="K186" i="14704"/>
  <c r="R186" i="14704"/>
  <c r="U184" i="14704"/>
  <c r="M184" i="14704"/>
  <c r="X184" i="14704"/>
  <c r="R184" i="14704"/>
  <c r="S184" i="14704"/>
  <c r="W184" i="14704"/>
  <c r="O184" i="14704"/>
  <c r="T184" i="14704"/>
  <c r="N184" i="14704"/>
  <c r="V184" i="14704"/>
  <c r="Q184" i="14704"/>
  <c r="P184" i="14704"/>
  <c r="N188" i="14704"/>
  <c r="M188" i="14704"/>
  <c r="J188" i="14704"/>
  <c r="K188" i="14704"/>
  <c r="L188" i="14704"/>
  <c r="R188" i="14704"/>
  <c r="S188" i="14704"/>
  <c r="Q188" i="14704"/>
  <c r="T188" i="14704"/>
  <c r="P188" i="14704"/>
  <c r="O188" i="14704"/>
  <c r="I188" i="14704"/>
  <c r="O192" i="14704"/>
  <c r="J192" i="14704"/>
  <c r="I192" i="14704"/>
  <c r="L192" i="14704"/>
  <c r="H192" i="14704"/>
  <c r="F192" i="14704"/>
  <c r="E192" i="14704"/>
  <c r="M192" i="14704"/>
  <c r="K192" i="14704"/>
  <c r="G192" i="14704"/>
  <c r="N192" i="14704"/>
  <c r="P192" i="14704"/>
  <c r="H193" i="14704"/>
  <c r="J193" i="14704"/>
  <c r="N193" i="14704"/>
  <c r="G193" i="14704"/>
  <c r="I193" i="14704"/>
  <c r="F193" i="14704"/>
  <c r="L193" i="14704"/>
  <c r="O193" i="14704"/>
  <c r="D193" i="14704"/>
  <c r="M193" i="14704"/>
  <c r="K193" i="14704"/>
  <c r="E193" i="14704"/>
  <c r="L174" i="14704"/>
  <c r="K174" i="14704"/>
  <c r="I174" i="14704"/>
  <c r="O174" i="14704"/>
  <c r="N174" i="14704"/>
  <c r="E174" i="14704"/>
  <c r="H174" i="14704"/>
  <c r="G174" i="14704"/>
  <c r="J174" i="14704"/>
  <c r="F174" i="14704"/>
  <c r="M174" i="14704"/>
  <c r="P174" i="14704"/>
  <c r="R170" i="14704"/>
  <c r="J170" i="14704"/>
  <c r="P170" i="14704"/>
  <c r="Q170" i="14704"/>
  <c r="S170" i="14704"/>
  <c r="M170" i="14704"/>
  <c r="O170" i="14704"/>
  <c r="T170" i="14704"/>
  <c r="L170" i="14704"/>
  <c r="N170" i="14704"/>
  <c r="K170" i="14704"/>
  <c r="I170" i="14704"/>
  <c r="V166" i="14704"/>
  <c r="U166" i="14704"/>
  <c r="X166" i="14704"/>
  <c r="N166" i="14704"/>
  <c r="Q166" i="14704"/>
  <c r="T166" i="14704"/>
  <c r="R166" i="14704"/>
  <c r="W166" i="14704"/>
  <c r="P166" i="14704"/>
  <c r="S166" i="14704"/>
  <c r="M166" i="14704"/>
  <c r="O166" i="14704"/>
  <c r="S168" i="14704"/>
  <c r="L168" i="14704"/>
  <c r="R168" i="14704"/>
  <c r="M168" i="14704"/>
  <c r="V168" i="14704"/>
  <c r="T168" i="14704"/>
  <c r="U168" i="14704"/>
  <c r="Q168" i="14704"/>
  <c r="P168" i="14704"/>
  <c r="K168" i="14704"/>
  <c r="O168" i="14704"/>
  <c r="N168" i="14704"/>
  <c r="M171" i="14704"/>
  <c r="R171" i="14704"/>
  <c r="I171" i="14704"/>
  <c r="K171" i="14704"/>
  <c r="L171" i="14704"/>
  <c r="P171" i="14704"/>
  <c r="J171" i="14704"/>
  <c r="Q171" i="14704"/>
  <c r="H171" i="14704"/>
  <c r="S171" i="14704"/>
  <c r="N171" i="14704"/>
  <c r="O171" i="14704"/>
  <c r="H175" i="14704"/>
  <c r="D175" i="14704"/>
  <c r="J175" i="14704"/>
  <c r="M175" i="14704"/>
  <c r="E175" i="14704"/>
  <c r="L175" i="14704"/>
  <c r="O175" i="14704"/>
  <c r="F175" i="14704"/>
  <c r="N175" i="14704"/>
  <c r="K175" i="14704"/>
  <c r="G175" i="14704"/>
  <c r="I175" i="14704"/>
  <c r="V85" i="14704"/>
  <c r="R173" i="14698" a="1"/>
  <c r="F178" i="14700"/>
  <c r="K178" i="14700"/>
  <c r="W168" i="14698" a="1"/>
  <c r="H178" i="14700"/>
  <c r="T171" i="14698" a="1"/>
  <c r="C178" i="14700"/>
  <c r="O176" i="14698"/>
  <c r="O178" i="14698" s="1"/>
  <c r="V223" i="14698" a="1"/>
  <c r="J232" i="14700"/>
  <c r="T225" i="14698" a="1"/>
  <c r="H232" i="14700"/>
  <c r="O230" i="14698"/>
  <c r="O232" i="14698" s="1"/>
  <c r="C232" i="14700"/>
  <c r="H214" i="14700"/>
  <c r="T207" i="14698" a="1"/>
  <c r="G214" i="14700"/>
  <c r="S208" i="14698" a="1"/>
  <c r="O212" i="14698"/>
  <c r="O214" i="14698" s="1"/>
  <c r="C214" i="14700"/>
  <c r="P211" i="14698" a="1"/>
  <c r="D214" i="14700"/>
  <c r="Q151" i="14701"/>
  <c r="O151" i="14701"/>
  <c r="S151" i="14701"/>
  <c r="P151" i="14701"/>
  <c r="T151" i="14701"/>
  <c r="M151" i="14701"/>
  <c r="L151" i="14701"/>
  <c r="J151" i="14701"/>
  <c r="U151" i="14701"/>
  <c r="K151" i="14701"/>
  <c r="R151" i="14701"/>
  <c r="N151" i="14701"/>
  <c r="T150" i="14701"/>
  <c r="N150" i="14701"/>
  <c r="S150" i="14701"/>
  <c r="R150" i="14701"/>
  <c r="K150" i="14701"/>
  <c r="U150" i="14701"/>
  <c r="L150" i="14701"/>
  <c r="V150" i="14701"/>
  <c r="O150" i="14701"/>
  <c r="M150" i="14701"/>
  <c r="P150" i="14701"/>
  <c r="Q150" i="14701"/>
  <c r="H159" i="14701"/>
  <c r="L159" i="14701"/>
  <c r="C159" i="14701"/>
  <c r="O159" i="14700" s="1"/>
  <c r="M159" i="14701"/>
  <c r="F159" i="14701"/>
  <c r="K159" i="14701"/>
  <c r="E159" i="14701"/>
  <c r="J159" i="14701"/>
  <c r="I159" i="14701"/>
  <c r="D159" i="14701"/>
  <c r="B159" i="14701"/>
  <c r="G159" i="14701"/>
  <c r="R148" i="14701"/>
  <c r="Q148" i="14701"/>
  <c r="U148" i="14701"/>
  <c r="W148" i="14701"/>
  <c r="N148" i="14701"/>
  <c r="M148" i="14701"/>
  <c r="S148" i="14701"/>
  <c r="X148" i="14701"/>
  <c r="T148" i="14701"/>
  <c r="P148" i="14701"/>
  <c r="O148" i="14701"/>
  <c r="V148" i="14701"/>
  <c r="U147" i="14701"/>
  <c r="R147" i="14701"/>
  <c r="Q147" i="14701"/>
  <c r="V147" i="14701"/>
  <c r="O147" i="14701"/>
  <c r="N147" i="14701"/>
  <c r="P147" i="14701"/>
  <c r="W147" i="14701"/>
  <c r="T147" i="14701"/>
  <c r="X147" i="14701"/>
  <c r="S147" i="14701"/>
  <c r="Y147" i="14701"/>
  <c r="R149" i="14701"/>
  <c r="N149" i="14701"/>
  <c r="S149" i="14701"/>
  <c r="Q149" i="14701"/>
  <c r="P149" i="14701"/>
  <c r="T149" i="14701"/>
  <c r="L149" i="14701"/>
  <c r="V149" i="14701"/>
  <c r="W149" i="14701"/>
  <c r="M149" i="14701"/>
  <c r="O149" i="14701"/>
  <c r="U149" i="14701"/>
  <c r="N191" i="14701"/>
  <c r="M191" i="14701"/>
  <c r="I191" i="14701"/>
  <c r="J191" i="14701"/>
  <c r="G191" i="14701"/>
  <c r="K191" i="14701"/>
  <c r="L191" i="14701"/>
  <c r="O191" i="14701"/>
  <c r="P191" i="14701"/>
  <c r="Q191" i="14701"/>
  <c r="H191" i="14701"/>
  <c r="F191" i="14701"/>
  <c r="N187" i="14701"/>
  <c r="U187" i="14701"/>
  <c r="M187" i="14701"/>
  <c r="J187" i="14701"/>
  <c r="O187" i="14701"/>
  <c r="P187" i="14701"/>
  <c r="L187" i="14701"/>
  <c r="Q187" i="14701"/>
  <c r="K187" i="14701"/>
  <c r="T187" i="14701"/>
  <c r="R187" i="14701"/>
  <c r="S187" i="14701"/>
  <c r="P189" i="14701"/>
  <c r="Q189" i="14701"/>
  <c r="O189" i="14701"/>
  <c r="L189" i="14701"/>
  <c r="J189" i="14701"/>
  <c r="M189" i="14701"/>
  <c r="S189" i="14701"/>
  <c r="I189" i="14701"/>
  <c r="R189" i="14701"/>
  <c r="K189" i="14701"/>
  <c r="H189" i="14701"/>
  <c r="N189" i="14701"/>
  <c r="H192" i="14701"/>
  <c r="I192" i="14701"/>
  <c r="M192" i="14701"/>
  <c r="E192" i="14701"/>
  <c r="K192" i="14701"/>
  <c r="L192" i="14701"/>
  <c r="N192" i="14701"/>
  <c r="G192" i="14701"/>
  <c r="O192" i="14701"/>
  <c r="F192" i="14701"/>
  <c r="P192" i="14701"/>
  <c r="J192" i="14701"/>
  <c r="T186" i="14701"/>
  <c r="N186" i="14701"/>
  <c r="K186" i="14701"/>
  <c r="P186" i="14701"/>
  <c r="O186" i="14701"/>
  <c r="Q186" i="14701"/>
  <c r="R186" i="14701"/>
  <c r="S186" i="14701"/>
  <c r="V186" i="14701"/>
  <c r="U186" i="14701"/>
  <c r="L186" i="14701"/>
  <c r="M186" i="14701"/>
  <c r="J188" i="14701"/>
  <c r="I188" i="14701"/>
  <c r="M188" i="14701"/>
  <c r="Q188" i="14701"/>
  <c r="R188" i="14701"/>
  <c r="K188" i="14701"/>
  <c r="P188" i="14701"/>
  <c r="S188" i="14701"/>
  <c r="L188" i="14701"/>
  <c r="N188" i="14701"/>
  <c r="O188" i="14701"/>
  <c r="T188" i="14701"/>
  <c r="L185" i="14701"/>
  <c r="W185" i="14701"/>
  <c r="M185" i="14701"/>
  <c r="T185" i="14701"/>
  <c r="N185" i="14701"/>
  <c r="R185" i="14701"/>
  <c r="P185" i="14701"/>
  <c r="V185" i="14701"/>
  <c r="O185" i="14701"/>
  <c r="Q185" i="14701"/>
  <c r="S185" i="14701"/>
  <c r="U185" i="14701"/>
  <c r="P166" i="14701"/>
  <c r="M166" i="14701"/>
  <c r="X166" i="14701"/>
  <c r="T166" i="14701"/>
  <c r="Q166" i="14701"/>
  <c r="U166" i="14701"/>
  <c r="V166" i="14701"/>
  <c r="S166" i="14701"/>
  <c r="N166" i="14701"/>
  <c r="O166" i="14701"/>
  <c r="R166" i="14701"/>
  <c r="W166" i="14701"/>
  <c r="E176" i="14701"/>
  <c r="C176" i="14701"/>
  <c r="F176" i="14701"/>
  <c r="M176" i="14701"/>
  <c r="G176" i="14701"/>
  <c r="N176" i="14701"/>
  <c r="J176" i="14701"/>
  <c r="L176" i="14701"/>
  <c r="I176" i="14701"/>
  <c r="K176" i="14701"/>
  <c r="H176" i="14701"/>
  <c r="D176" i="14701"/>
  <c r="S168" i="14701"/>
  <c r="N168" i="14701"/>
  <c r="U168" i="14701"/>
  <c r="M168" i="14701"/>
  <c r="V168" i="14701"/>
  <c r="K168" i="14701"/>
  <c r="Q168" i="14701"/>
  <c r="T168" i="14701"/>
  <c r="P168" i="14701"/>
  <c r="L168" i="14701"/>
  <c r="R168" i="14701"/>
  <c r="O168" i="14701"/>
  <c r="G177" i="14701"/>
  <c r="D177" i="14701"/>
  <c r="H177" i="14701"/>
  <c r="E177" i="14701"/>
  <c r="I177" i="14701"/>
  <c r="M177" i="14701"/>
  <c r="K177" i="14701"/>
  <c r="L177" i="14701"/>
  <c r="C177" i="14701"/>
  <c r="O177" i="14700" s="1"/>
  <c r="J177" i="14701"/>
  <c r="F177" i="14701"/>
  <c r="B177" i="14701"/>
  <c r="P165" i="14701"/>
  <c r="O165" i="14701"/>
  <c r="W165" i="14701"/>
  <c r="Y165" i="14701"/>
  <c r="V165" i="14701"/>
  <c r="U165" i="14701"/>
  <c r="T165" i="14701"/>
  <c r="X165" i="14701"/>
  <c r="S165" i="14701"/>
  <c r="N165" i="14701"/>
  <c r="Q165" i="14701"/>
  <c r="R165" i="14701"/>
  <c r="R171" i="14701"/>
  <c r="H171" i="14701"/>
  <c r="P171" i="14701"/>
  <c r="I171" i="14701"/>
  <c r="O171" i="14701"/>
  <c r="L171" i="14701"/>
  <c r="Q171" i="14701"/>
  <c r="K171" i="14701"/>
  <c r="N171" i="14701"/>
  <c r="S171" i="14701"/>
  <c r="M171" i="14701"/>
  <c r="J171" i="14701"/>
  <c r="P227" i="14701"/>
  <c r="H227" i="14701"/>
  <c r="L227" i="14701"/>
  <c r="Q227" i="14701"/>
  <c r="O227" i="14701"/>
  <c r="J227" i="14701"/>
  <c r="F227" i="14701"/>
  <c r="G227" i="14701"/>
  <c r="I227" i="14701"/>
  <c r="K227" i="14701"/>
  <c r="N227" i="14701"/>
  <c r="M227" i="14701"/>
  <c r="P223" i="14701"/>
  <c r="R223" i="14701"/>
  <c r="O223" i="14701"/>
  <c r="Q223" i="14701"/>
  <c r="L223" i="14701"/>
  <c r="M223" i="14701"/>
  <c r="N223" i="14701"/>
  <c r="J223" i="14701"/>
  <c r="U223" i="14701"/>
  <c r="S223" i="14701"/>
  <c r="K223" i="14701"/>
  <c r="T223" i="14701"/>
  <c r="O221" i="14701"/>
  <c r="T221" i="14701"/>
  <c r="L221" i="14701"/>
  <c r="V221" i="14701"/>
  <c r="S221" i="14701"/>
  <c r="N221" i="14701"/>
  <c r="W221" i="14701"/>
  <c r="Q221" i="14701"/>
  <c r="U221" i="14701"/>
  <c r="M221" i="14701"/>
  <c r="R221" i="14701"/>
  <c r="P221" i="14701"/>
  <c r="J229" i="14701"/>
  <c r="K229" i="14701"/>
  <c r="L229" i="14701"/>
  <c r="M229" i="14701"/>
  <c r="F229" i="14701"/>
  <c r="G229" i="14701"/>
  <c r="N229" i="14701"/>
  <c r="E229" i="14701"/>
  <c r="D229" i="14701"/>
  <c r="I229" i="14701"/>
  <c r="O229" i="14701"/>
  <c r="H229" i="14701"/>
  <c r="M230" i="14701"/>
  <c r="G230" i="14701"/>
  <c r="F230" i="14701"/>
  <c r="K230" i="14701"/>
  <c r="N230" i="14701"/>
  <c r="E230" i="14701"/>
  <c r="L230" i="14701"/>
  <c r="D230" i="14701"/>
  <c r="J230" i="14701"/>
  <c r="I230" i="14701"/>
  <c r="H230" i="14701"/>
  <c r="C230" i="14701"/>
  <c r="S220" i="14701"/>
  <c r="M220" i="14701"/>
  <c r="W220" i="14701"/>
  <c r="Q220" i="14701"/>
  <c r="R220" i="14701"/>
  <c r="O220" i="14701"/>
  <c r="T220" i="14701"/>
  <c r="X220" i="14701"/>
  <c r="V220" i="14701"/>
  <c r="N220" i="14701"/>
  <c r="P220" i="14701"/>
  <c r="U220" i="14701"/>
  <c r="R224" i="14701"/>
  <c r="L224" i="14701"/>
  <c r="O224" i="14701"/>
  <c r="N224" i="14701"/>
  <c r="T224" i="14701"/>
  <c r="M224" i="14701"/>
  <c r="J224" i="14701"/>
  <c r="P224" i="14701"/>
  <c r="S224" i="14701"/>
  <c r="K224" i="14701"/>
  <c r="I224" i="14701"/>
  <c r="Q224" i="14701"/>
  <c r="F245" i="14701"/>
  <c r="Q245" i="14701"/>
  <c r="J245" i="14701"/>
  <c r="H245" i="14701"/>
  <c r="G245" i="14701"/>
  <c r="N245" i="14701"/>
  <c r="L245" i="14701"/>
  <c r="P245" i="14701"/>
  <c r="K245" i="14701"/>
  <c r="I245" i="14701"/>
  <c r="O245" i="14701"/>
  <c r="M245" i="14701"/>
  <c r="U238" i="14701"/>
  <c r="N238" i="14701"/>
  <c r="S238" i="14701"/>
  <c r="W238" i="14701"/>
  <c r="P238" i="14701"/>
  <c r="R238" i="14701"/>
  <c r="X238" i="14701"/>
  <c r="M238" i="14701"/>
  <c r="O238" i="14701"/>
  <c r="Q238" i="14701"/>
  <c r="T238" i="14701"/>
  <c r="V238" i="14701"/>
  <c r="K248" i="14701"/>
  <c r="G248" i="14701"/>
  <c r="J248" i="14701"/>
  <c r="D248" i="14701"/>
  <c r="E248" i="14701"/>
  <c r="L248" i="14701"/>
  <c r="F248" i="14701"/>
  <c r="I248" i="14701"/>
  <c r="H248" i="14701"/>
  <c r="M248" i="14701"/>
  <c r="C248" i="14701"/>
  <c r="N248" i="14701"/>
  <c r="S237" i="14701"/>
  <c r="N237" i="14701"/>
  <c r="U237" i="14701"/>
  <c r="R237" i="14701"/>
  <c r="O237" i="14701"/>
  <c r="X237" i="14701"/>
  <c r="Q237" i="14701"/>
  <c r="P237" i="14701"/>
  <c r="W237" i="14701"/>
  <c r="V237" i="14701"/>
  <c r="T237" i="14701"/>
  <c r="Y237" i="14701"/>
  <c r="L247" i="14701"/>
  <c r="G247" i="14701"/>
  <c r="M247" i="14701"/>
  <c r="J247" i="14701"/>
  <c r="H247" i="14701"/>
  <c r="E247" i="14701"/>
  <c r="D247" i="14701"/>
  <c r="K247" i="14701"/>
  <c r="I247" i="14701"/>
  <c r="O247" i="14701"/>
  <c r="F247" i="14701"/>
  <c r="N247" i="14701"/>
  <c r="M244" i="14701"/>
  <c r="R244" i="14701"/>
  <c r="O244" i="14701"/>
  <c r="L244" i="14701"/>
  <c r="G244" i="14701"/>
  <c r="Q244" i="14701"/>
  <c r="H244" i="14701"/>
  <c r="I244" i="14701"/>
  <c r="P244" i="14701"/>
  <c r="N244" i="14701"/>
  <c r="K244" i="14701"/>
  <c r="J244" i="14701"/>
  <c r="R155" i="14698" a="1"/>
  <c r="F160" i="14700"/>
  <c r="E160" i="14700"/>
  <c r="Q156" i="14698" a="1"/>
  <c r="W114" i="14698" a="1"/>
  <c r="K124" i="14700"/>
  <c r="V83" i="14698"/>
  <c r="V78" i="14698"/>
  <c r="V76" i="14698"/>
  <c r="V77" i="14698"/>
  <c r="V80" i="14698"/>
  <c r="V84" i="14698"/>
  <c r="V79" i="14698"/>
  <c r="V81" i="14698"/>
  <c r="V82" i="14698"/>
  <c r="U82" i="14698"/>
  <c r="U84" i="14698"/>
  <c r="U80" i="14698"/>
  <c r="U77" i="14698"/>
  <c r="U79" i="14698"/>
  <c r="U83" i="14698"/>
  <c r="U81" i="14698"/>
  <c r="U78" i="14698"/>
  <c r="U91" i="14700" a="1"/>
  <c r="U91" i="14700" s="1"/>
  <c r="P96" i="14700" a="1"/>
  <c r="P96" i="14700" s="1"/>
  <c r="K101" i="14700" a="1"/>
  <c r="K101" i="14700" s="1"/>
  <c r="I40" i="14700"/>
  <c r="J102" i="14700" a="1"/>
  <c r="J102" i="14700" s="1"/>
  <c r="I103" i="14700" a="1"/>
  <c r="I103" i="14700" s="1"/>
  <c r="O97" i="14700" a="1"/>
  <c r="O97" i="14700" s="1"/>
  <c r="Q95" i="14700" a="1"/>
  <c r="Q95" i="14700" s="1"/>
  <c r="L100" i="14700" a="1"/>
  <c r="L100" i="14700" s="1"/>
  <c r="N98" i="14700" a="1"/>
  <c r="N98" i="14700" s="1"/>
  <c r="R94" i="14700" a="1"/>
  <c r="R94" i="14700" s="1"/>
  <c r="M99" i="14700" a="1"/>
  <c r="M99" i="14700" s="1"/>
  <c r="T92" i="14700" a="1"/>
  <c r="T92" i="14700" s="1"/>
  <c r="S93" i="14700" a="1"/>
  <c r="S93" i="14700" s="1"/>
  <c r="S97" i="14700" a="1"/>
  <c r="S97" i="14700" s="1"/>
  <c r="T96" i="14700" a="1"/>
  <c r="T96" i="14700" s="1"/>
  <c r="U95" i="14700" a="1"/>
  <c r="U95" i="14700" s="1"/>
  <c r="X92" i="14700" a="1"/>
  <c r="X92" i="14700" s="1"/>
  <c r="Q99" i="14700" a="1"/>
  <c r="Q99" i="14700" s="1"/>
  <c r="M103" i="14700" a="1"/>
  <c r="M103" i="14700" s="1"/>
  <c r="O101" i="14700" a="1"/>
  <c r="O101" i="14700" s="1"/>
  <c r="W93" i="14700" a="1"/>
  <c r="W93" i="14700" s="1"/>
  <c r="M40" i="14700"/>
  <c r="P100" i="14700" a="1"/>
  <c r="P100" i="14700" s="1"/>
  <c r="N102" i="14700" a="1"/>
  <c r="N102" i="14700" s="1"/>
  <c r="R98" i="14700" a="1"/>
  <c r="R98" i="14700" s="1"/>
  <c r="Y91" i="14700" a="1"/>
  <c r="Y91" i="14700" s="1"/>
  <c r="V94" i="14700" a="1"/>
  <c r="V94" i="14700" s="1"/>
  <c r="O98" i="14700" a="1"/>
  <c r="O98" i="14700" s="1"/>
  <c r="J40" i="14700"/>
  <c r="U92" i="14700" a="1"/>
  <c r="U92" i="14700" s="1"/>
  <c r="M100" i="14700" a="1"/>
  <c r="M100" i="14700" s="1"/>
  <c r="J103" i="14700" a="1"/>
  <c r="J103" i="14700" s="1"/>
  <c r="T93" i="14700" a="1"/>
  <c r="T93" i="14700" s="1"/>
  <c r="L101" i="14700" a="1"/>
  <c r="L101" i="14700" s="1"/>
  <c r="P97" i="14700" a="1"/>
  <c r="P97" i="14700" s="1"/>
  <c r="V91" i="14700" a="1"/>
  <c r="V91" i="14700" s="1"/>
  <c r="R95" i="14700" a="1"/>
  <c r="R95" i="14700" s="1"/>
  <c r="S94" i="14700" a="1"/>
  <c r="S94" i="14700" s="1"/>
  <c r="Q96" i="14700" a="1"/>
  <c r="Q96" i="14700" s="1"/>
  <c r="N99" i="14700" a="1"/>
  <c r="N99" i="14700" s="1"/>
  <c r="K102" i="14700" a="1"/>
  <c r="K102" i="14700" s="1"/>
  <c r="I98" i="14700" a="1"/>
  <c r="I98" i="14700" s="1"/>
  <c r="H99" i="14700" a="1"/>
  <c r="H99" i="14700" s="1"/>
  <c r="O92" i="14700" a="1"/>
  <c r="O92" i="14700" s="1"/>
  <c r="E102" i="14700" a="1"/>
  <c r="E102" i="14700" s="1"/>
  <c r="D103" i="14700" a="1"/>
  <c r="D103" i="14700" s="1"/>
  <c r="P91" i="14700" a="1"/>
  <c r="P91" i="14700" s="1"/>
  <c r="F101" i="14700" a="1"/>
  <c r="F101" i="14700" s="1"/>
  <c r="D40" i="14700"/>
  <c r="J97" i="14700" a="1"/>
  <c r="J97" i="14700" s="1"/>
  <c r="M94" i="14700" a="1"/>
  <c r="M94" i="14700" s="1"/>
  <c r="N93" i="14700" a="1"/>
  <c r="N93" i="14700" s="1"/>
  <c r="K96" i="14700" a="1"/>
  <c r="K96" i="14700" s="1"/>
  <c r="L95" i="14700" a="1"/>
  <c r="L95" i="14700" s="1"/>
  <c r="G100" i="14700" a="1"/>
  <c r="G100" i="14700" s="1"/>
  <c r="Q91" i="14700" a="1"/>
  <c r="Q91" i="14700" s="1"/>
  <c r="E40" i="14700"/>
  <c r="O93" i="14700" a="1"/>
  <c r="O93" i="14700" s="1"/>
  <c r="J98" i="14700" a="1"/>
  <c r="J98" i="14700" s="1"/>
  <c r="I99" i="14700" a="1"/>
  <c r="I99" i="14700" s="1"/>
  <c r="G101" i="14700" a="1"/>
  <c r="G101" i="14700" s="1"/>
  <c r="M95" i="14700" a="1"/>
  <c r="M95" i="14700" s="1"/>
  <c r="L96" i="14700" a="1"/>
  <c r="L96" i="14700" s="1"/>
  <c r="N94" i="14700" a="1"/>
  <c r="N94" i="14700" s="1"/>
  <c r="K97" i="14700" a="1"/>
  <c r="K97" i="14700" s="1"/>
  <c r="H100" i="14700" a="1"/>
  <c r="H100" i="14700" s="1"/>
  <c r="P92" i="14700" a="1"/>
  <c r="P92" i="14700" s="1"/>
  <c r="E103" i="14700" a="1"/>
  <c r="E103" i="14700" s="1"/>
  <c r="F102" i="14700" a="1"/>
  <c r="F102" i="14700" s="1"/>
  <c r="N35" i="14700"/>
  <c r="N39" i="14700"/>
  <c r="O91" i="14700" a="1"/>
  <c r="O91" i="14700" s="1"/>
  <c r="J96" i="14700" a="1"/>
  <c r="J96" i="14700" s="1"/>
  <c r="N92" i="14700" a="1"/>
  <c r="N92" i="14700" s="1"/>
  <c r="L94" i="14700" a="1"/>
  <c r="L94" i="14700" s="1"/>
  <c r="I97" i="14700" a="1"/>
  <c r="I97" i="14700" s="1"/>
  <c r="E101" i="14700" a="1"/>
  <c r="E101" i="14700" s="1"/>
  <c r="D102" i="14700" a="1"/>
  <c r="D102" i="14700" s="1"/>
  <c r="C103" i="14700" a="1"/>
  <c r="C103" i="14700" s="1"/>
  <c r="O103" i="14698" s="1"/>
  <c r="H98" i="14700" a="1"/>
  <c r="H98" i="14700" s="1"/>
  <c r="C40" i="14700"/>
  <c r="F100" i="14700" a="1"/>
  <c r="F100" i="14700" s="1"/>
  <c r="M93" i="14700" a="1"/>
  <c r="M93" i="14700" s="1"/>
  <c r="G99" i="14700" a="1"/>
  <c r="G99" i="14700" s="1"/>
  <c r="K95" i="14700" a="1"/>
  <c r="K95" i="14700" s="1"/>
  <c r="R119" i="14698" a="1"/>
  <c r="F124" i="14700"/>
  <c r="Y74" i="14698"/>
  <c r="Y80" i="14698"/>
  <c r="Y76" i="14698"/>
  <c r="Y75" i="14698"/>
  <c r="Y78" i="14698"/>
  <c r="Y82" i="14698"/>
  <c r="Y84" i="14698"/>
  <c r="Y77" i="14698"/>
  <c r="Y81" i="14698"/>
  <c r="Y79" i="14698"/>
  <c r="Y83" i="14698"/>
  <c r="Y73" i="14698"/>
  <c r="F196" i="14700"/>
  <c r="R191" i="14698" a="1"/>
  <c r="O248" i="14698"/>
  <c r="O250" i="14698" s="1"/>
  <c r="C250" i="14700"/>
  <c r="V241" i="14698" a="1"/>
  <c r="J250" i="14700"/>
  <c r="F250" i="14700"/>
  <c r="R245" i="14698" a="1"/>
  <c r="P139" i="14698" a="1"/>
  <c r="D142" i="14700"/>
  <c r="H142" i="14700"/>
  <c r="T135" i="14698" a="1"/>
  <c r="Q138" i="14698" a="1"/>
  <c r="E142" i="14700"/>
  <c r="V72" i="14702" a="1"/>
  <c r="V72" i="14702" s="1"/>
  <c r="S75" i="14702" a="1"/>
  <c r="S75" i="14702" s="1"/>
  <c r="Q77" i="14702" a="1"/>
  <c r="Q77" i="14702" s="1"/>
  <c r="M81" i="14702" a="1"/>
  <c r="M81" i="14702" s="1"/>
  <c r="T74" i="14702" a="1"/>
  <c r="T74" i="14702" s="1"/>
  <c r="R76" i="14702" a="1"/>
  <c r="R76" i="14702" s="1"/>
  <c r="N80" i="14702" a="1"/>
  <c r="N80" i="14702" s="1"/>
  <c r="U73" i="14702" a="1"/>
  <c r="U73" i="14702" s="1"/>
  <c r="J84" i="14702" a="1"/>
  <c r="J84" i="14702" s="1"/>
  <c r="L82" i="14702" a="1"/>
  <c r="L82" i="14702" s="1"/>
  <c r="K83" i="14702" a="1"/>
  <c r="K83" i="14702" s="1"/>
  <c r="P78" i="14702" a="1"/>
  <c r="P78" i="14702" s="1"/>
  <c r="J28" i="14702"/>
  <c r="O79" i="14702" a="1"/>
  <c r="O79" i="14702" s="1"/>
  <c r="B159" i="14702" a="1"/>
  <c r="L149" i="14702" a="1"/>
  <c r="G154" i="14702" a="1"/>
  <c r="F155" i="14702" a="1"/>
  <c r="K150" i="14702" a="1"/>
  <c r="M148" i="14702" a="1"/>
  <c r="J151" i="14702" a="1"/>
  <c r="H153" i="14702" a="1"/>
  <c r="C158" i="14702" a="1"/>
  <c r="N22" i="14702"/>
  <c r="E156" i="14702" a="1"/>
  <c r="I152" i="14702" a="1"/>
  <c r="D157" i="14702" a="1"/>
  <c r="N147" i="14702" a="1"/>
  <c r="I242" i="14702" a="1"/>
  <c r="N27" i="14702"/>
  <c r="J241" i="14702" a="1"/>
  <c r="N237" i="14702" a="1"/>
  <c r="E246" i="14702" a="1"/>
  <c r="D247" i="14702" a="1"/>
  <c r="K240" i="14702" a="1"/>
  <c r="B249" i="14702" a="1"/>
  <c r="M238" i="14702" a="1"/>
  <c r="H243" i="14702" a="1"/>
  <c r="L239" i="14702" a="1"/>
  <c r="F245" i="14702" a="1"/>
  <c r="G244" i="14702" a="1"/>
  <c r="C248" i="14702" a="1"/>
  <c r="R72" i="14702" a="1"/>
  <c r="R72" i="14702" s="1"/>
  <c r="G83" i="14702" a="1"/>
  <c r="G83" i="14702" s="1"/>
  <c r="N76" i="14702" a="1"/>
  <c r="N76" i="14702" s="1"/>
  <c r="J80" i="14702" a="1"/>
  <c r="J80" i="14702" s="1"/>
  <c r="I81" i="14702" a="1"/>
  <c r="I81" i="14702" s="1"/>
  <c r="K79" i="14702" a="1"/>
  <c r="K79" i="14702" s="1"/>
  <c r="M77" i="14702" a="1"/>
  <c r="M77" i="14702" s="1"/>
  <c r="O75" i="14702" a="1"/>
  <c r="O75" i="14702" s="1"/>
  <c r="L78" i="14702" a="1"/>
  <c r="L78" i="14702" s="1"/>
  <c r="Q73" i="14702" a="1"/>
  <c r="Q73" i="14702" s="1"/>
  <c r="P74" i="14702" a="1"/>
  <c r="P74" i="14702" s="1"/>
  <c r="H82" i="14702" a="1"/>
  <c r="H82" i="14702" s="1"/>
  <c r="F84" i="14702" a="1"/>
  <c r="F84" i="14702" s="1"/>
  <c r="F28" i="14702"/>
  <c r="I28" i="14702"/>
  <c r="O78" i="14702" a="1"/>
  <c r="O78" i="14702" s="1"/>
  <c r="I84" i="14702" a="1"/>
  <c r="I84" i="14702" s="1"/>
  <c r="R75" i="14702" a="1"/>
  <c r="R75" i="14702" s="1"/>
  <c r="Q76" i="14702" a="1"/>
  <c r="Q76" i="14702" s="1"/>
  <c r="T73" i="14702" a="1"/>
  <c r="T73" i="14702" s="1"/>
  <c r="P77" i="14702" a="1"/>
  <c r="P77" i="14702" s="1"/>
  <c r="K82" i="14702" a="1"/>
  <c r="K82" i="14702" s="1"/>
  <c r="U72" i="14702" a="1"/>
  <c r="U72" i="14702" s="1"/>
  <c r="N79" i="14702" a="1"/>
  <c r="N79" i="14702" s="1"/>
  <c r="S74" i="14702" a="1"/>
  <c r="S74" i="14702" s="1"/>
  <c r="L81" i="14702" a="1"/>
  <c r="L81" i="14702" s="1"/>
  <c r="J83" i="14702" a="1"/>
  <c r="J83" i="14702" s="1"/>
  <c r="M80" i="14702" a="1"/>
  <c r="M80" i="14702" s="1"/>
  <c r="R79" i="14702" a="1"/>
  <c r="R79" i="14702" s="1"/>
  <c r="M28" i="14702"/>
  <c r="P81" i="14702" a="1"/>
  <c r="P81" i="14702" s="1"/>
  <c r="O82" i="14702" a="1"/>
  <c r="O82" i="14702" s="1"/>
  <c r="Q80" i="14702" a="1"/>
  <c r="Q80" i="14702" s="1"/>
  <c r="Y72" i="14702" a="1"/>
  <c r="Y72" i="14702" s="1"/>
  <c r="U76" i="14702" a="1"/>
  <c r="U76" i="14702" s="1"/>
  <c r="X73" i="14702" a="1"/>
  <c r="X73" i="14702" s="1"/>
  <c r="S78" i="14702" a="1"/>
  <c r="S78" i="14702" s="1"/>
  <c r="V75" i="14702" a="1"/>
  <c r="V75" i="14702" s="1"/>
  <c r="N83" i="14702" a="1"/>
  <c r="N83" i="14702" s="1"/>
  <c r="M84" i="14702" a="1"/>
  <c r="M84" i="14702" s="1"/>
  <c r="W74" i="14702" a="1"/>
  <c r="W74" i="14702" s="1"/>
  <c r="T77" i="14702" a="1"/>
  <c r="T77" i="14702" s="1"/>
  <c r="J82" i="14702" a="1"/>
  <c r="J82" i="14702" s="1"/>
  <c r="T72" i="14702" a="1"/>
  <c r="T72" i="14702" s="1"/>
  <c r="L80" i="14702" a="1"/>
  <c r="L80" i="14702" s="1"/>
  <c r="Q75" i="14702" a="1"/>
  <c r="Q75" i="14702" s="1"/>
  <c r="P76" i="14702" a="1"/>
  <c r="P76" i="14702" s="1"/>
  <c r="H28" i="14702"/>
  <c r="K81" i="14702" a="1"/>
  <c r="K81" i="14702" s="1"/>
  <c r="I83" i="14702" a="1"/>
  <c r="I83" i="14702" s="1"/>
  <c r="N78" i="14702" a="1"/>
  <c r="N78" i="14702" s="1"/>
  <c r="M79" i="14702" a="1"/>
  <c r="M79" i="14702" s="1"/>
  <c r="O77" i="14702" a="1"/>
  <c r="O77" i="14702" s="1"/>
  <c r="H84" i="14702" a="1"/>
  <c r="H84" i="14702" s="1"/>
  <c r="S73" i="14702" a="1"/>
  <c r="S73" i="14702" s="1"/>
  <c r="R74" i="14702" a="1"/>
  <c r="R74" i="14702" s="1"/>
  <c r="N75" i="14702" a="1"/>
  <c r="N75" i="14702" s="1"/>
  <c r="P73" i="14702" a="1"/>
  <c r="P73" i="14702" s="1"/>
  <c r="H81" i="14702" a="1"/>
  <c r="H81" i="14702" s="1"/>
  <c r="L77" i="14702" a="1"/>
  <c r="L77" i="14702" s="1"/>
  <c r="G82" i="14702" a="1"/>
  <c r="G82" i="14702" s="1"/>
  <c r="M76" i="14702" a="1"/>
  <c r="M76" i="14702" s="1"/>
  <c r="E28" i="14702"/>
  <c r="K78" i="14702" a="1"/>
  <c r="K78" i="14702" s="1"/>
  <c r="O74" i="14702" a="1"/>
  <c r="O74" i="14702" s="1"/>
  <c r="Q72" i="14702" a="1"/>
  <c r="Q72" i="14702" s="1"/>
  <c r="I80" i="14702" a="1"/>
  <c r="I80" i="14702" s="1"/>
  <c r="J79" i="14702" a="1"/>
  <c r="J79" i="14702" s="1"/>
  <c r="F83" i="14702" a="1"/>
  <c r="F83" i="14702" s="1"/>
  <c r="E84" i="14702" a="1"/>
  <c r="E84" i="14702" s="1"/>
  <c r="G81" i="14702" a="1"/>
  <c r="G81" i="14702" s="1"/>
  <c r="K77" i="14702" a="1"/>
  <c r="K77" i="14702" s="1"/>
  <c r="D84" i="14702" a="1"/>
  <c r="D84" i="14702" s="1"/>
  <c r="O73" i="14702" a="1"/>
  <c r="O73" i="14702" s="1"/>
  <c r="L76" i="14702" a="1"/>
  <c r="L76" i="14702" s="1"/>
  <c r="F82" i="14702" a="1"/>
  <c r="F82" i="14702" s="1"/>
  <c r="D28" i="14702"/>
  <c r="I79" i="14702" a="1"/>
  <c r="I79" i="14702" s="1"/>
  <c r="E83" i="14702" a="1"/>
  <c r="E83" i="14702" s="1"/>
  <c r="J78" i="14702" a="1"/>
  <c r="J78" i="14702" s="1"/>
  <c r="N74" i="14702" a="1"/>
  <c r="N74" i="14702" s="1"/>
  <c r="M75" i="14702" a="1"/>
  <c r="M75" i="14702" s="1"/>
  <c r="P72" i="14702" a="1"/>
  <c r="P72" i="14702" s="1"/>
  <c r="H80" i="14702" a="1"/>
  <c r="H80" i="14702" s="1"/>
  <c r="E81" i="14702" a="1"/>
  <c r="E81" i="14702" s="1"/>
  <c r="C122" i="14702" a="1"/>
  <c r="D82" i="14702" a="1"/>
  <c r="D82" i="14702" s="1"/>
  <c r="N111" i="14702" a="1"/>
  <c r="F119" i="14702" a="1"/>
  <c r="J115" i="14702" a="1"/>
  <c r="E120" i="14702" a="1"/>
  <c r="M112" i="14702" a="1"/>
  <c r="C83" i="14702" a="1"/>
  <c r="C83" i="14702" s="1"/>
  <c r="G118" i="14702" a="1"/>
  <c r="L74" i="14702" a="1"/>
  <c r="L74" i="14702" s="1"/>
  <c r="J76" i="14702" a="1"/>
  <c r="J76" i="14702" s="1"/>
  <c r="H117" i="14702" a="1"/>
  <c r="F80" i="14702" a="1"/>
  <c r="F80" i="14702" s="1"/>
  <c r="N20" i="14702"/>
  <c r="K75" i="14702" a="1"/>
  <c r="K75" i="14702" s="1"/>
  <c r="N72" i="14702" a="1"/>
  <c r="N72" i="14702" s="1"/>
  <c r="I77" i="14702" a="1"/>
  <c r="I77" i="14702" s="1"/>
  <c r="B28" i="14702"/>
  <c r="H78" i="14702" a="1"/>
  <c r="H78" i="14702" s="1"/>
  <c r="B123" i="14702" a="1"/>
  <c r="B32" i="14702" a="1"/>
  <c r="G79" i="14702" a="1"/>
  <c r="G79" i="14702" s="1"/>
  <c r="K114" i="14702" a="1"/>
  <c r="D121" i="14702" a="1"/>
  <c r="B84" i="14702" a="1"/>
  <c r="B84" i="14702" s="1"/>
  <c r="M73" i="14702" a="1"/>
  <c r="M73" i="14702" s="1"/>
  <c r="I116" i="14702" a="1"/>
  <c r="L113" i="14702" a="1"/>
  <c r="S76" i="14702" a="1"/>
  <c r="S76" i="14702" s="1"/>
  <c r="K84" i="14702" a="1"/>
  <c r="K84" i="14702" s="1"/>
  <c r="T75" i="14702" a="1"/>
  <c r="T75" i="14702" s="1"/>
  <c r="M82" i="14702" a="1"/>
  <c r="M82" i="14702" s="1"/>
  <c r="W72" i="14702" a="1"/>
  <c r="W72" i="14702" s="1"/>
  <c r="L83" i="14702" a="1"/>
  <c r="L83" i="14702" s="1"/>
  <c r="V73" i="14702" a="1"/>
  <c r="V73" i="14702" s="1"/>
  <c r="N81" i="14702" a="1"/>
  <c r="N81" i="14702" s="1"/>
  <c r="K28" i="14702"/>
  <c r="P79" i="14702" a="1"/>
  <c r="P79" i="14702" s="1"/>
  <c r="O80" i="14702" a="1"/>
  <c r="O80" i="14702" s="1"/>
  <c r="R77" i="14702" a="1"/>
  <c r="R77" i="14702" s="1"/>
  <c r="Q78" i="14702" a="1"/>
  <c r="Q78" i="14702" s="1"/>
  <c r="U74" i="14702" a="1"/>
  <c r="U74" i="14702" s="1"/>
  <c r="N206" i="14704"/>
  <c r="K206" i="14704"/>
  <c r="T206" i="14704"/>
  <c r="S206" i="14704"/>
  <c r="Q206" i="14704"/>
  <c r="O206" i="14704"/>
  <c r="R206" i="14704"/>
  <c r="I206" i="14704"/>
  <c r="M206" i="14704"/>
  <c r="J206" i="14704"/>
  <c r="P206" i="14704"/>
  <c r="L206" i="14704"/>
  <c r="R203" i="14704"/>
  <c r="O203" i="14704"/>
  <c r="N203" i="14704"/>
  <c r="M203" i="14704"/>
  <c r="P203" i="14704"/>
  <c r="T203" i="14704"/>
  <c r="L203" i="14704"/>
  <c r="U203" i="14704"/>
  <c r="S203" i="14704"/>
  <c r="W203" i="14704"/>
  <c r="Q203" i="14704"/>
  <c r="V203" i="14704"/>
  <c r="J207" i="14704"/>
  <c r="M207" i="14704"/>
  <c r="I207" i="14704"/>
  <c r="S207" i="14704"/>
  <c r="N207" i="14704"/>
  <c r="Q207" i="14704"/>
  <c r="K207" i="14704"/>
  <c r="L207" i="14704"/>
  <c r="O207" i="14704"/>
  <c r="H207" i="14704"/>
  <c r="P207" i="14704"/>
  <c r="R207" i="14704"/>
  <c r="B213" i="14704"/>
  <c r="C213" i="14704"/>
  <c r="O213" i="14702" s="1"/>
  <c r="D213" i="14704"/>
  <c r="L213" i="14704"/>
  <c r="G213" i="14704"/>
  <c r="E213" i="14704"/>
  <c r="J213" i="14704"/>
  <c r="I213" i="14704"/>
  <c r="H213" i="14704"/>
  <c r="F213" i="14704"/>
  <c r="M213" i="14704"/>
  <c r="K213" i="14704"/>
  <c r="L210" i="14704"/>
  <c r="I210" i="14704"/>
  <c r="E210" i="14704"/>
  <c r="H210" i="14704"/>
  <c r="P210" i="14704"/>
  <c r="M210" i="14704"/>
  <c r="N210" i="14704"/>
  <c r="F210" i="14704"/>
  <c r="K210" i="14704"/>
  <c r="G210" i="14704"/>
  <c r="O210" i="14704"/>
  <c r="J210" i="14704"/>
  <c r="H208" i="14704"/>
  <c r="Q208" i="14704"/>
  <c r="I208" i="14704"/>
  <c r="N208" i="14704"/>
  <c r="P208" i="14704"/>
  <c r="O208" i="14704"/>
  <c r="M208" i="14704"/>
  <c r="J208" i="14704"/>
  <c r="K208" i="14704"/>
  <c r="G208" i="14704"/>
  <c r="R208" i="14704"/>
  <c r="L208" i="14704"/>
  <c r="N202" i="14704"/>
  <c r="Q202" i="14704"/>
  <c r="W202" i="14704"/>
  <c r="S202" i="14704"/>
  <c r="U202" i="14704"/>
  <c r="M202" i="14704"/>
  <c r="T202" i="14704"/>
  <c r="O202" i="14704"/>
  <c r="X202" i="14704"/>
  <c r="V202" i="14704"/>
  <c r="R202" i="14704"/>
  <c r="P202" i="14704"/>
  <c r="M229" i="14704"/>
  <c r="J229" i="14704"/>
  <c r="E229" i="14704"/>
  <c r="F229" i="14704"/>
  <c r="I229" i="14704"/>
  <c r="L229" i="14704"/>
  <c r="D229" i="14704"/>
  <c r="O229" i="14704"/>
  <c r="N229" i="14704"/>
  <c r="H229" i="14704"/>
  <c r="K229" i="14704"/>
  <c r="G229" i="14704"/>
  <c r="Q226" i="14704"/>
  <c r="H226" i="14704"/>
  <c r="P226" i="14704"/>
  <c r="G226" i="14704"/>
  <c r="R226" i="14704"/>
  <c r="O226" i="14704"/>
  <c r="J226" i="14704"/>
  <c r="L226" i="14704"/>
  <c r="M226" i="14704"/>
  <c r="N226" i="14704"/>
  <c r="I226" i="14704"/>
  <c r="K226" i="14704"/>
  <c r="L227" i="14704"/>
  <c r="O227" i="14704"/>
  <c r="N227" i="14704"/>
  <c r="H227" i="14704"/>
  <c r="F227" i="14704"/>
  <c r="J227" i="14704"/>
  <c r="P227" i="14704"/>
  <c r="Q227" i="14704"/>
  <c r="G227" i="14704"/>
  <c r="K227" i="14704"/>
  <c r="I227" i="14704"/>
  <c r="M227" i="14704"/>
  <c r="C230" i="14704"/>
  <c r="D230" i="14704"/>
  <c r="K230" i="14704"/>
  <c r="I230" i="14704"/>
  <c r="G230" i="14704"/>
  <c r="L230" i="14704"/>
  <c r="H230" i="14704"/>
  <c r="M230" i="14704"/>
  <c r="F230" i="14704"/>
  <c r="E230" i="14704"/>
  <c r="J230" i="14704"/>
  <c r="N230" i="14704"/>
  <c r="S224" i="14704"/>
  <c r="N224" i="14704"/>
  <c r="L224" i="14704"/>
  <c r="Q224" i="14704"/>
  <c r="K224" i="14704"/>
  <c r="J224" i="14704"/>
  <c r="P224" i="14704"/>
  <c r="O224" i="14704"/>
  <c r="T224" i="14704"/>
  <c r="R224" i="14704"/>
  <c r="I224" i="14704"/>
  <c r="M224" i="14704"/>
  <c r="V222" i="14704"/>
  <c r="K222" i="14704"/>
  <c r="T222" i="14704"/>
  <c r="O222" i="14704"/>
  <c r="Q222" i="14704"/>
  <c r="N222" i="14704"/>
  <c r="M222" i="14704"/>
  <c r="S222" i="14704"/>
  <c r="L222" i="14704"/>
  <c r="R222" i="14704"/>
  <c r="U222" i="14704"/>
  <c r="P222" i="14704"/>
  <c r="T133" i="14704"/>
  <c r="U133" i="14704"/>
  <c r="P133" i="14704"/>
  <c r="L133" i="14704"/>
  <c r="J133" i="14704"/>
  <c r="O133" i="14704"/>
  <c r="Q133" i="14704"/>
  <c r="K133" i="14704"/>
  <c r="N133" i="14704"/>
  <c r="M133" i="14704"/>
  <c r="R133" i="14704"/>
  <c r="S133" i="14704"/>
  <c r="F137" i="14704"/>
  <c r="P137" i="14704"/>
  <c r="J137" i="14704"/>
  <c r="L137" i="14704"/>
  <c r="K137" i="14704"/>
  <c r="Q137" i="14704"/>
  <c r="O137" i="14704"/>
  <c r="G137" i="14704"/>
  <c r="H137" i="14704"/>
  <c r="M137" i="14704"/>
  <c r="N137" i="14704"/>
  <c r="I137" i="14704"/>
  <c r="X130" i="14704"/>
  <c r="Q130" i="14704"/>
  <c r="W130" i="14704"/>
  <c r="P130" i="14704"/>
  <c r="N130" i="14704"/>
  <c r="M130" i="14704"/>
  <c r="S130" i="14704"/>
  <c r="V130" i="14704"/>
  <c r="O130" i="14704"/>
  <c r="U130" i="14704"/>
  <c r="R130" i="14704"/>
  <c r="T130" i="14704"/>
  <c r="K134" i="14704"/>
  <c r="O134" i="14704"/>
  <c r="J134" i="14704"/>
  <c r="Q134" i="14704"/>
  <c r="T134" i="14704"/>
  <c r="M134" i="14704"/>
  <c r="L134" i="14704"/>
  <c r="S134" i="14704"/>
  <c r="I134" i="14704"/>
  <c r="R134" i="14704"/>
  <c r="N134" i="14704"/>
  <c r="P134" i="14704"/>
  <c r="L138" i="14704"/>
  <c r="G138" i="14704"/>
  <c r="M138" i="14704"/>
  <c r="F138" i="14704"/>
  <c r="P138" i="14704"/>
  <c r="E138" i="14704"/>
  <c r="H138" i="14704"/>
  <c r="I138" i="14704"/>
  <c r="J138" i="14704"/>
  <c r="K138" i="14704"/>
  <c r="O138" i="14704"/>
  <c r="N138" i="14704"/>
  <c r="R135" i="14704"/>
  <c r="P135" i="14704"/>
  <c r="N135" i="14704"/>
  <c r="H135" i="14704"/>
  <c r="I135" i="14704"/>
  <c r="J135" i="14704"/>
  <c r="O135" i="14704"/>
  <c r="S135" i="14704"/>
  <c r="Q135" i="14704"/>
  <c r="L135" i="14704"/>
  <c r="K135" i="14704"/>
  <c r="M135" i="14704"/>
  <c r="L131" i="14704"/>
  <c r="W131" i="14704"/>
  <c r="M131" i="14704"/>
  <c r="V131" i="14704"/>
  <c r="R131" i="14704"/>
  <c r="O131" i="14704"/>
  <c r="Q131" i="14704"/>
  <c r="S131" i="14704"/>
  <c r="N131" i="14704"/>
  <c r="P131" i="14704"/>
  <c r="U131" i="14704"/>
  <c r="T131" i="14704"/>
  <c r="T152" i="14704"/>
  <c r="I152" i="14704"/>
  <c r="R152" i="14704"/>
  <c r="L152" i="14704"/>
  <c r="S152" i="14704"/>
  <c r="K152" i="14704"/>
  <c r="J152" i="14704"/>
  <c r="Q152" i="14704"/>
  <c r="O152" i="14704"/>
  <c r="N152" i="14704"/>
  <c r="P152" i="14704"/>
  <c r="M152" i="14704"/>
  <c r="R150" i="14704"/>
  <c r="T150" i="14704"/>
  <c r="S150" i="14704"/>
  <c r="P150" i="14704"/>
  <c r="K150" i="14704"/>
  <c r="Q150" i="14704"/>
  <c r="O150" i="14704"/>
  <c r="U150" i="14704"/>
  <c r="L150" i="14704"/>
  <c r="N150" i="14704"/>
  <c r="V150" i="14704"/>
  <c r="M150" i="14704"/>
  <c r="H153" i="14704"/>
  <c r="S153" i="14704"/>
  <c r="K153" i="14704"/>
  <c r="R153" i="14704"/>
  <c r="N153" i="14704"/>
  <c r="Q153" i="14704"/>
  <c r="L153" i="14704"/>
  <c r="P153" i="14704"/>
  <c r="O153" i="14704"/>
  <c r="M153" i="14704"/>
  <c r="J153" i="14704"/>
  <c r="I153" i="14704"/>
  <c r="K157" i="14704"/>
  <c r="M157" i="14704"/>
  <c r="L157" i="14704"/>
  <c r="D157" i="14704"/>
  <c r="H157" i="14704"/>
  <c r="O157" i="14704"/>
  <c r="N157" i="14704"/>
  <c r="G157" i="14704"/>
  <c r="I157" i="14704"/>
  <c r="F157" i="14704"/>
  <c r="J157" i="14704"/>
  <c r="E157" i="14704"/>
  <c r="T149" i="14704"/>
  <c r="O149" i="14704"/>
  <c r="L149" i="14704"/>
  <c r="V149" i="14704"/>
  <c r="M149" i="14704"/>
  <c r="S149" i="14704"/>
  <c r="P149" i="14704"/>
  <c r="U149" i="14704"/>
  <c r="W149" i="14704"/>
  <c r="Q149" i="14704"/>
  <c r="R149" i="14704"/>
  <c r="N149" i="14704"/>
  <c r="N155" i="14704"/>
  <c r="O155" i="14704"/>
  <c r="G155" i="14704"/>
  <c r="J155" i="14704"/>
  <c r="F155" i="14704"/>
  <c r="K155" i="14704"/>
  <c r="M155" i="14704"/>
  <c r="L155" i="14704"/>
  <c r="P155" i="14704"/>
  <c r="H155" i="14704"/>
  <c r="Q155" i="14704"/>
  <c r="I155" i="14704"/>
  <c r="P154" i="14704"/>
  <c r="N154" i="14704"/>
  <c r="O154" i="14704"/>
  <c r="J154" i="14704"/>
  <c r="Q154" i="14704"/>
  <c r="K154" i="14704"/>
  <c r="G154" i="14704"/>
  <c r="L154" i="14704"/>
  <c r="M154" i="14704"/>
  <c r="H154" i="14704"/>
  <c r="I154" i="14704"/>
  <c r="R154" i="14704"/>
  <c r="B85" i="14704"/>
  <c r="N84" i="14702"/>
  <c r="I32" i="14704"/>
  <c r="C32" i="14704"/>
  <c r="G39" i="14704"/>
  <c r="C37" i="14704"/>
  <c r="I34" i="14704"/>
  <c r="E33" i="14704"/>
  <c r="L35" i="14704"/>
  <c r="E38" i="14704"/>
  <c r="H34" i="14704"/>
  <c r="E36" i="14704"/>
  <c r="J35" i="14704"/>
  <c r="C38" i="14704"/>
  <c r="F35" i="14704"/>
  <c r="M34" i="14704"/>
  <c r="G34" i="14704"/>
  <c r="J36" i="14704"/>
  <c r="E34" i="14704"/>
  <c r="K37" i="14704"/>
  <c r="L34" i="14704"/>
  <c r="H37" i="14704"/>
  <c r="G33" i="14704"/>
  <c r="D35" i="14704"/>
  <c r="D37" i="14704"/>
  <c r="D39" i="14704"/>
  <c r="K32" i="14704"/>
  <c r="H33" i="14704"/>
  <c r="E35" i="14704"/>
  <c r="H39" i="14704"/>
  <c r="E37" i="14704"/>
  <c r="C39" i="14704"/>
  <c r="M36" i="14704"/>
  <c r="B33" i="14704"/>
  <c r="J33" i="14704"/>
  <c r="G37" i="14704"/>
  <c r="F36" i="14704"/>
  <c r="C34" i="14704"/>
  <c r="J38" i="14704"/>
  <c r="I37" i="14704"/>
  <c r="F32" i="14704"/>
  <c r="B39" i="14704"/>
  <c r="I39" i="14704"/>
  <c r="B36" i="14704"/>
  <c r="C33" i="14704"/>
  <c r="B35" i="14704"/>
  <c r="H38" i="14704"/>
  <c r="D36" i="14704"/>
  <c r="D34" i="14704"/>
  <c r="K38" i="14704"/>
  <c r="M32" i="14704"/>
  <c r="B34" i="14704"/>
  <c r="M33" i="14704"/>
  <c r="D33" i="14704"/>
  <c r="G38" i="14704"/>
  <c r="M39" i="14704"/>
  <c r="F38" i="14704"/>
  <c r="F34" i="14704"/>
  <c r="L32" i="14704"/>
  <c r="C36" i="14704"/>
  <c r="I33" i="14704"/>
  <c r="B37" i="14704"/>
  <c r="B32" i="14704"/>
  <c r="K34" i="14704"/>
  <c r="M35" i="14704"/>
  <c r="M38" i="14704"/>
  <c r="K39" i="14704"/>
  <c r="K35" i="14704"/>
  <c r="M37" i="14704"/>
  <c r="G32" i="14704"/>
  <c r="L38" i="14704"/>
  <c r="B38" i="14704"/>
  <c r="L37" i="14704"/>
  <c r="J32" i="14704"/>
  <c r="G36" i="14704"/>
  <c r="H35" i="14704"/>
  <c r="D32" i="14704"/>
  <c r="C35" i="14704"/>
  <c r="E39" i="14704"/>
  <c r="L33" i="14704"/>
  <c r="E32" i="14704"/>
  <c r="F39" i="14704"/>
  <c r="H32" i="14704"/>
  <c r="L39" i="14704"/>
  <c r="G35" i="14704"/>
  <c r="J34" i="14704"/>
  <c r="K33" i="14704"/>
  <c r="F37" i="14704"/>
  <c r="F33" i="14704"/>
  <c r="K36" i="14704"/>
  <c r="J39" i="14704"/>
  <c r="D38" i="14704"/>
  <c r="L36" i="14704"/>
  <c r="I35" i="14704"/>
  <c r="I38" i="14704"/>
  <c r="I36" i="14704"/>
  <c r="H36" i="14704"/>
  <c r="J37" i="14704"/>
  <c r="R116" i="14704"/>
  <c r="S116" i="14704"/>
  <c r="M116" i="14704"/>
  <c r="Q116" i="14704"/>
  <c r="T116" i="14704"/>
  <c r="J116" i="14704"/>
  <c r="P116" i="14704"/>
  <c r="O116" i="14704"/>
  <c r="I116" i="14704"/>
  <c r="K116" i="14704"/>
  <c r="N116" i="14704"/>
  <c r="L116" i="14704"/>
  <c r="U77" i="14702" a="1"/>
  <c r="I85" i="14704"/>
  <c r="C85" i="14704"/>
  <c r="O83" i="14702" a="1"/>
  <c r="E120" i="14704"/>
  <c r="J120" i="14704"/>
  <c r="O120" i="14704"/>
  <c r="P120" i="14704"/>
  <c r="N120" i="14704"/>
  <c r="M120" i="14704"/>
  <c r="F120" i="14704"/>
  <c r="H120" i="14704"/>
  <c r="K120" i="14704"/>
  <c r="L120" i="14704"/>
  <c r="G120" i="14704"/>
  <c r="I120" i="14704"/>
  <c r="N118" i="14704"/>
  <c r="I118" i="14704"/>
  <c r="L118" i="14704"/>
  <c r="R118" i="14704"/>
  <c r="J118" i="14704"/>
  <c r="G118" i="14704"/>
  <c r="M118" i="14704"/>
  <c r="Q118" i="14704"/>
  <c r="K118" i="14704"/>
  <c r="O118" i="14704"/>
  <c r="H118" i="14704"/>
  <c r="P118" i="14704"/>
  <c r="M115" i="14704"/>
  <c r="U115" i="14704"/>
  <c r="O115" i="14704"/>
  <c r="N115" i="14704"/>
  <c r="L115" i="14704"/>
  <c r="P115" i="14704"/>
  <c r="Q115" i="14704"/>
  <c r="S115" i="14704"/>
  <c r="J115" i="14704"/>
  <c r="T115" i="14704"/>
  <c r="K115" i="14704"/>
  <c r="R115" i="14704"/>
  <c r="P113" i="14704"/>
  <c r="Q113" i="14704"/>
  <c r="S113" i="14704"/>
  <c r="R113" i="14704"/>
  <c r="N113" i="14704"/>
  <c r="W113" i="14704"/>
  <c r="V113" i="14704"/>
  <c r="T113" i="14704"/>
  <c r="O113" i="14704"/>
  <c r="U113" i="14704"/>
  <c r="M113" i="14704"/>
  <c r="L113" i="14704"/>
  <c r="C123" i="14704"/>
  <c r="O123" i="14702" s="1"/>
  <c r="I123" i="14704"/>
  <c r="L123" i="14704"/>
  <c r="D123" i="14704"/>
  <c r="G123" i="14704"/>
  <c r="F123" i="14704"/>
  <c r="K123" i="14704"/>
  <c r="H123" i="14704"/>
  <c r="B123" i="14704"/>
  <c r="J123" i="14704"/>
  <c r="E123" i="14704"/>
  <c r="M123" i="14704"/>
  <c r="S117" i="14704"/>
  <c r="N117" i="14704"/>
  <c r="O117" i="14704"/>
  <c r="Q117" i="14704"/>
  <c r="P117" i="14704"/>
  <c r="K117" i="14704"/>
  <c r="L117" i="14704"/>
  <c r="H117" i="14704"/>
  <c r="J117" i="14704"/>
  <c r="M117" i="14704"/>
  <c r="R117" i="14704"/>
  <c r="I117" i="14704"/>
  <c r="P82" i="14702" a="1"/>
  <c r="D85" i="14704"/>
  <c r="G85" i="14704"/>
  <c r="S79" i="14702" a="1"/>
  <c r="X112" i="14704"/>
  <c r="Q112" i="14704"/>
  <c r="S112" i="14704"/>
  <c r="V112" i="14704"/>
  <c r="U112" i="14704"/>
  <c r="N112" i="14704"/>
  <c r="T112" i="14704"/>
  <c r="M112" i="14704"/>
  <c r="O112" i="14704"/>
  <c r="R112" i="14704"/>
  <c r="W112" i="14704"/>
  <c r="P112" i="14704"/>
  <c r="Y111" i="14704"/>
  <c r="Y124" i="14704" s="1"/>
  <c r="O111" i="14704"/>
  <c r="P111" i="14704"/>
  <c r="Q111" i="14704"/>
  <c r="W111" i="14704"/>
  <c r="S111" i="14704"/>
  <c r="U111" i="14704"/>
  <c r="T111" i="14704"/>
  <c r="N111" i="14704"/>
  <c r="R111" i="14704"/>
  <c r="V111" i="14704"/>
  <c r="X111" i="14704"/>
  <c r="J9" i="14683"/>
  <c r="J13" i="14683"/>
  <c r="J8" i="14683"/>
  <c r="J12" i="14683"/>
  <c r="J10" i="14683"/>
  <c r="J6" i="14683"/>
  <c r="J7" i="14683"/>
  <c r="J11" i="14683"/>
  <c r="D178" i="14700"/>
  <c r="P175" i="14698" a="1"/>
  <c r="Q174" i="14698" a="1"/>
  <c r="E178" i="14700"/>
  <c r="L178" i="14700"/>
  <c r="X167" i="14698" a="1"/>
  <c r="U170" i="14698" a="1"/>
  <c r="I178" i="14700"/>
  <c r="B232" i="14700"/>
  <c r="N231" i="14698"/>
  <c r="N232" i="14698" s="1"/>
  <c r="G232" i="14700"/>
  <c r="S226" i="14698" a="1"/>
  <c r="L214" i="14700"/>
  <c r="X203" i="14698" a="1"/>
  <c r="U206" i="14698" a="1"/>
  <c r="I214" i="14700"/>
  <c r="Q131" i="14701"/>
  <c r="N131" i="14701"/>
  <c r="P131" i="14701"/>
  <c r="S131" i="14701"/>
  <c r="U131" i="14701"/>
  <c r="O131" i="14701"/>
  <c r="W131" i="14701"/>
  <c r="T131" i="14701"/>
  <c r="R131" i="14701"/>
  <c r="V131" i="14701"/>
  <c r="L131" i="14701"/>
  <c r="M131" i="14701"/>
  <c r="K139" i="14701"/>
  <c r="E139" i="14701"/>
  <c r="D139" i="14701"/>
  <c r="N139" i="14701"/>
  <c r="L139" i="14701"/>
  <c r="G139" i="14701"/>
  <c r="O139" i="14701"/>
  <c r="M139" i="14701"/>
  <c r="F139" i="14701"/>
  <c r="I139" i="14701"/>
  <c r="H139" i="14701"/>
  <c r="J139" i="14701"/>
  <c r="H135" i="14701"/>
  <c r="Q135" i="14701"/>
  <c r="R135" i="14701"/>
  <c r="J135" i="14701"/>
  <c r="M135" i="14701"/>
  <c r="S135" i="14701"/>
  <c r="L135" i="14701"/>
  <c r="P135" i="14701"/>
  <c r="N135" i="14701"/>
  <c r="I135" i="14701"/>
  <c r="K135" i="14701"/>
  <c r="O135" i="14701"/>
  <c r="U130" i="14701"/>
  <c r="N130" i="14701"/>
  <c r="X130" i="14701"/>
  <c r="O130" i="14701"/>
  <c r="V130" i="14701"/>
  <c r="Q130" i="14701"/>
  <c r="T130" i="14701"/>
  <c r="W130" i="14701"/>
  <c r="S130" i="14701"/>
  <c r="M130" i="14701"/>
  <c r="P130" i="14701"/>
  <c r="R130" i="14701"/>
  <c r="J141" i="14701"/>
  <c r="E141" i="14701"/>
  <c r="D141" i="14701"/>
  <c r="K141" i="14701"/>
  <c r="C141" i="14701"/>
  <c r="O141" i="14700" s="1"/>
  <c r="L141" i="14701"/>
  <c r="I141" i="14701"/>
  <c r="M141" i="14701"/>
  <c r="H141" i="14701"/>
  <c r="G141" i="14701"/>
  <c r="B141" i="14701"/>
  <c r="F141" i="14701"/>
  <c r="G138" i="14701"/>
  <c r="F138" i="14701"/>
  <c r="M138" i="14701"/>
  <c r="H138" i="14701"/>
  <c r="L138" i="14701"/>
  <c r="J138" i="14701"/>
  <c r="N138" i="14701"/>
  <c r="O138" i="14701"/>
  <c r="I138" i="14701"/>
  <c r="P138" i="14701"/>
  <c r="E138" i="14701"/>
  <c r="K138" i="14701"/>
  <c r="J134" i="14701"/>
  <c r="I134" i="14701"/>
  <c r="S134" i="14701"/>
  <c r="M134" i="14701"/>
  <c r="P134" i="14701"/>
  <c r="K134" i="14701"/>
  <c r="L134" i="14701"/>
  <c r="T134" i="14701"/>
  <c r="N134" i="14701"/>
  <c r="Q134" i="14701"/>
  <c r="R134" i="14701"/>
  <c r="O134" i="14701"/>
  <c r="S203" i="14701"/>
  <c r="O203" i="14701"/>
  <c r="V203" i="14701"/>
  <c r="T203" i="14701"/>
  <c r="U203" i="14701"/>
  <c r="W203" i="14701"/>
  <c r="R203" i="14701"/>
  <c r="P203" i="14701"/>
  <c r="N203" i="14701"/>
  <c r="Q203" i="14701"/>
  <c r="L203" i="14701"/>
  <c r="M203" i="14701"/>
  <c r="I213" i="14701"/>
  <c r="D213" i="14701"/>
  <c r="F213" i="14701"/>
  <c r="B213" i="14701"/>
  <c r="L213" i="14701"/>
  <c r="E213" i="14701"/>
  <c r="J213" i="14701"/>
  <c r="H213" i="14701"/>
  <c r="C213" i="14701"/>
  <c r="O213" i="14700" s="1"/>
  <c r="M213" i="14701"/>
  <c r="G213" i="14701"/>
  <c r="K213" i="14701"/>
  <c r="S206" i="14701"/>
  <c r="Q206" i="14701"/>
  <c r="T206" i="14701"/>
  <c r="N206" i="14701"/>
  <c r="K206" i="14701"/>
  <c r="R206" i="14701"/>
  <c r="P206" i="14701"/>
  <c r="J206" i="14701"/>
  <c r="I206" i="14701"/>
  <c r="L206" i="14701"/>
  <c r="O206" i="14701"/>
  <c r="M206" i="14701"/>
  <c r="G210" i="14701"/>
  <c r="M210" i="14701"/>
  <c r="L210" i="14701"/>
  <c r="O210" i="14701"/>
  <c r="F210" i="14701"/>
  <c r="I210" i="14701"/>
  <c r="P210" i="14701"/>
  <c r="E210" i="14701"/>
  <c r="K210" i="14701"/>
  <c r="J210" i="14701"/>
  <c r="N210" i="14701"/>
  <c r="H210" i="14701"/>
  <c r="R205" i="14701"/>
  <c r="K205" i="14701"/>
  <c r="P205" i="14701"/>
  <c r="O205" i="14701"/>
  <c r="N205" i="14701"/>
  <c r="L205" i="14701"/>
  <c r="U205" i="14701"/>
  <c r="S205" i="14701"/>
  <c r="M205" i="14701"/>
  <c r="J205" i="14701"/>
  <c r="Q205" i="14701"/>
  <c r="T205" i="14701"/>
  <c r="T202" i="14701"/>
  <c r="W202" i="14701"/>
  <c r="O202" i="14701"/>
  <c r="R202" i="14701"/>
  <c r="S202" i="14701"/>
  <c r="U202" i="14701"/>
  <c r="P202" i="14701"/>
  <c r="N202" i="14701"/>
  <c r="X202" i="14701"/>
  <c r="Q202" i="14701"/>
  <c r="V202" i="14701"/>
  <c r="M202" i="14701"/>
  <c r="L114" i="14701"/>
  <c r="K114" i="14701"/>
  <c r="V114" i="14701"/>
  <c r="T114" i="14701"/>
  <c r="O114" i="14701"/>
  <c r="Q114" i="14701"/>
  <c r="S114" i="14701"/>
  <c r="U114" i="14701"/>
  <c r="N114" i="14701"/>
  <c r="R114" i="14701"/>
  <c r="M114" i="14701"/>
  <c r="P114" i="14701"/>
  <c r="C85" i="14701"/>
  <c r="O83" i="14700" a="1"/>
  <c r="T78" i="14700" a="1"/>
  <c r="H85" i="14701"/>
  <c r="M85" i="14701"/>
  <c r="Y73" i="14700" a="1"/>
  <c r="U112" i="14701"/>
  <c r="R112" i="14701"/>
  <c r="P112" i="14701"/>
  <c r="N112" i="14701"/>
  <c r="T112" i="14701"/>
  <c r="X112" i="14701"/>
  <c r="O112" i="14701"/>
  <c r="M112" i="14701"/>
  <c r="Q112" i="14701"/>
  <c r="S112" i="14701"/>
  <c r="W112" i="14701"/>
  <c r="V112" i="14701"/>
  <c r="I85" i="14701"/>
  <c r="U77" i="14700" a="1"/>
  <c r="Y111" i="14701"/>
  <c r="V111" i="14701"/>
  <c r="X111" i="14701"/>
  <c r="R111" i="14701"/>
  <c r="Q111" i="14701"/>
  <c r="W111" i="14701"/>
  <c r="S111" i="14701"/>
  <c r="O111" i="14701"/>
  <c r="U111" i="14701"/>
  <c r="T111" i="14701"/>
  <c r="P111" i="14701"/>
  <c r="N111" i="14701"/>
  <c r="R80" i="14700" a="1"/>
  <c r="F85" i="14701"/>
  <c r="S117" i="14701"/>
  <c r="O117" i="14701"/>
  <c r="K117" i="14701"/>
  <c r="R117" i="14701"/>
  <c r="H117" i="14701"/>
  <c r="M117" i="14701"/>
  <c r="N117" i="14701"/>
  <c r="J117" i="14701"/>
  <c r="I117" i="14701"/>
  <c r="P117" i="14701"/>
  <c r="Q117" i="14701"/>
  <c r="L117" i="14701"/>
  <c r="N28" i="14701"/>
  <c r="F13" i="14657" s="1"/>
  <c r="B9" i="14670" a="1"/>
  <c r="J85" i="14701"/>
  <c r="V76" i="14700" a="1"/>
  <c r="J119" i="14701"/>
  <c r="K119" i="14701"/>
  <c r="M119" i="14701"/>
  <c r="Q119" i="14701"/>
  <c r="H119" i="14701"/>
  <c r="P119" i="14701"/>
  <c r="G119" i="14701"/>
  <c r="I119" i="14701"/>
  <c r="F119" i="14701"/>
  <c r="N119" i="14701"/>
  <c r="O119" i="14701"/>
  <c r="L119" i="14701"/>
  <c r="W75" i="14700" a="1"/>
  <c r="K85" i="14701"/>
  <c r="B160" i="14700"/>
  <c r="N159" i="14698"/>
  <c r="N160" i="14698" s="1"/>
  <c r="L160" i="14700"/>
  <c r="X149" i="14698" a="1"/>
  <c r="L9" i="14640"/>
  <c r="D9" i="14640"/>
  <c r="J9" i="14640"/>
  <c r="B9" i="14640"/>
  <c r="C9" i="14640"/>
  <c r="I9" i="14640"/>
  <c r="E9" i="14640"/>
  <c r="K9" i="14640"/>
  <c r="F9" i="14640"/>
  <c r="M9" i="14640"/>
  <c r="G9" i="14640"/>
  <c r="H9" i="14640"/>
  <c r="X113" i="14698" a="1"/>
  <c r="L124" i="14700"/>
  <c r="E124" i="14700"/>
  <c r="Q120" i="14698" a="1"/>
  <c r="N123" i="14698"/>
  <c r="N124" i="14698" s="1"/>
  <c r="B124" i="14700"/>
  <c r="H124" i="14700"/>
  <c r="T117" i="14698" a="1"/>
  <c r="E72" i="14643"/>
  <c r="E69" i="14643"/>
  <c r="E66" i="14643"/>
  <c r="E71" i="14643"/>
  <c r="E73" i="14643"/>
  <c r="E68" i="14643"/>
  <c r="E70" i="14643"/>
  <c r="E67" i="14643"/>
  <c r="V115" i="14698" a="1"/>
  <c r="J124" i="14700"/>
  <c r="D124" i="14700"/>
  <c r="P121" i="14698" a="1"/>
  <c r="Y112" i="14698" a="1"/>
  <c r="M124" i="14700"/>
  <c r="O194" i="14698"/>
  <c r="O196" i="14698" s="1"/>
  <c r="C196" i="14700"/>
  <c r="Y184" i="14698" a="1"/>
  <c r="M196" i="14700"/>
  <c r="J196" i="14700"/>
  <c r="V187" i="14698" a="1"/>
  <c r="S244" i="14698" a="1"/>
  <c r="G250" i="14700"/>
  <c r="P247" i="14698" a="1"/>
  <c r="D250" i="14700"/>
  <c r="B142" i="14700"/>
  <c r="N141" i="14698"/>
  <c r="N142" i="14698" s="1"/>
  <c r="K142" i="14700"/>
  <c r="W132" i="14698" a="1"/>
  <c r="S136" i="14698" a="1"/>
  <c r="G142" i="14700"/>
  <c r="R137" i="14698" a="1"/>
  <c r="F142" i="14700"/>
  <c r="M244" i="14704"/>
  <c r="O244" i="14704"/>
  <c r="N244" i="14704"/>
  <c r="I244" i="14704"/>
  <c r="H244" i="14704"/>
  <c r="G244" i="14704"/>
  <c r="L244" i="14704"/>
  <c r="J244" i="14704"/>
  <c r="K244" i="14704"/>
  <c r="Q244" i="14704"/>
  <c r="P244" i="14704"/>
  <c r="R244" i="14704"/>
  <c r="N246" i="14704"/>
  <c r="P246" i="14704"/>
  <c r="G246" i="14704"/>
  <c r="L246" i="14704"/>
  <c r="M246" i="14704"/>
  <c r="I246" i="14704"/>
  <c r="F246" i="14704"/>
  <c r="K246" i="14704"/>
  <c r="J246" i="14704"/>
  <c r="O246" i="14704"/>
  <c r="E246" i="14704"/>
  <c r="H246" i="14704"/>
  <c r="I242" i="14704"/>
  <c r="Q242" i="14704"/>
  <c r="J242" i="14704"/>
  <c r="O242" i="14704"/>
  <c r="T242" i="14704"/>
  <c r="N242" i="14704"/>
  <c r="S242" i="14704"/>
  <c r="M242" i="14704"/>
  <c r="R242" i="14704"/>
  <c r="L242" i="14704"/>
  <c r="P242" i="14704"/>
  <c r="K242" i="14704"/>
  <c r="O238" i="14704"/>
  <c r="M238" i="14704"/>
  <c r="W238" i="14704"/>
  <c r="X238" i="14704"/>
  <c r="P238" i="14704"/>
  <c r="R238" i="14704"/>
  <c r="S238" i="14704"/>
  <c r="N238" i="14704"/>
  <c r="U238" i="14704"/>
  <c r="T238" i="14704"/>
  <c r="Q238" i="14704"/>
  <c r="V238" i="14704"/>
  <c r="M249" i="14704"/>
  <c r="C249" i="14704"/>
  <c r="O249" i="14702" s="1"/>
  <c r="G249" i="14704"/>
  <c r="I249" i="14704"/>
  <c r="E249" i="14704"/>
  <c r="L249" i="14704"/>
  <c r="H249" i="14704"/>
  <c r="J249" i="14704"/>
  <c r="B249" i="14704"/>
  <c r="D249" i="14704"/>
  <c r="K249" i="14704"/>
  <c r="F249" i="14704"/>
  <c r="E248" i="14704"/>
  <c r="H248" i="14704"/>
  <c r="D248" i="14704"/>
  <c r="N248" i="14704"/>
  <c r="C248" i="14704"/>
  <c r="K248" i="14704"/>
  <c r="M248" i="14704"/>
  <c r="J248" i="14704"/>
  <c r="I248" i="14704"/>
  <c r="F248" i="14704"/>
  <c r="L248" i="14704"/>
  <c r="G248" i="14704"/>
  <c r="O243" i="14704"/>
  <c r="H243" i="14704"/>
  <c r="P243" i="14704"/>
  <c r="S243" i="14704"/>
  <c r="L243" i="14704"/>
  <c r="K243" i="14704"/>
  <c r="J243" i="14704"/>
  <c r="M243" i="14704"/>
  <c r="N243" i="14704"/>
  <c r="I243" i="14704"/>
  <c r="Q243" i="14704"/>
  <c r="R243" i="14704"/>
  <c r="V185" i="14704"/>
  <c r="S185" i="14704"/>
  <c r="U185" i="14704"/>
  <c r="T185" i="14704"/>
  <c r="P185" i="14704"/>
  <c r="W185" i="14704"/>
  <c r="O185" i="14704"/>
  <c r="Q185" i="14704"/>
  <c r="R185" i="14704"/>
  <c r="N185" i="14704"/>
  <c r="M185" i="14704"/>
  <c r="L185" i="14704"/>
  <c r="L195" i="14704"/>
  <c r="F195" i="14704"/>
  <c r="H195" i="14704"/>
  <c r="K195" i="14704"/>
  <c r="I195" i="14704"/>
  <c r="D195" i="14704"/>
  <c r="G195" i="14704"/>
  <c r="B195" i="14704"/>
  <c r="E195" i="14704"/>
  <c r="M195" i="14704"/>
  <c r="J195" i="14704"/>
  <c r="C195" i="14704"/>
  <c r="O195" i="14702" s="1"/>
  <c r="N194" i="14704"/>
  <c r="J194" i="14704"/>
  <c r="C194" i="14704"/>
  <c r="F194" i="14704"/>
  <c r="D194" i="14704"/>
  <c r="L194" i="14704"/>
  <c r="H194" i="14704"/>
  <c r="I194" i="14704"/>
  <c r="K194" i="14704"/>
  <c r="E194" i="14704"/>
  <c r="G194" i="14704"/>
  <c r="M194" i="14704"/>
  <c r="N183" i="14704"/>
  <c r="S183" i="14704"/>
  <c r="Q183" i="14704"/>
  <c r="R183" i="14704"/>
  <c r="X183" i="14704"/>
  <c r="W183" i="14704"/>
  <c r="U183" i="14704"/>
  <c r="O183" i="14704"/>
  <c r="V183" i="14704"/>
  <c r="P183" i="14704"/>
  <c r="Y183" i="14704"/>
  <c r="Y196" i="14704" s="1"/>
  <c r="T183" i="14704"/>
  <c r="R187" i="14704"/>
  <c r="N187" i="14704"/>
  <c r="L187" i="14704"/>
  <c r="K187" i="14704"/>
  <c r="O187" i="14704"/>
  <c r="J187" i="14704"/>
  <c r="T187" i="14704"/>
  <c r="S187" i="14704"/>
  <c r="Q187" i="14704"/>
  <c r="P187" i="14704"/>
  <c r="U187" i="14704"/>
  <c r="M187" i="14704"/>
  <c r="Q190" i="14704"/>
  <c r="G190" i="14704"/>
  <c r="O190" i="14704"/>
  <c r="H190" i="14704"/>
  <c r="J190" i="14704"/>
  <c r="M190" i="14704"/>
  <c r="L190" i="14704"/>
  <c r="I190" i="14704"/>
  <c r="R190" i="14704"/>
  <c r="N190" i="14704"/>
  <c r="P190" i="14704"/>
  <c r="K190" i="14704"/>
  <c r="S189" i="14704"/>
  <c r="O189" i="14704"/>
  <c r="N189" i="14704"/>
  <c r="H189" i="14704"/>
  <c r="P189" i="14704"/>
  <c r="I189" i="14704"/>
  <c r="K189" i="14704"/>
  <c r="L189" i="14704"/>
  <c r="J189" i="14704"/>
  <c r="R189" i="14704"/>
  <c r="M189" i="14704"/>
  <c r="Q189" i="14704"/>
  <c r="T85" i="14704"/>
  <c r="W85" i="14704"/>
  <c r="L167" i="14704"/>
  <c r="S167" i="14704"/>
  <c r="Q167" i="14704"/>
  <c r="P167" i="14704"/>
  <c r="R167" i="14704"/>
  <c r="T167" i="14704"/>
  <c r="M167" i="14704"/>
  <c r="O167" i="14704"/>
  <c r="W167" i="14704"/>
  <c r="U167" i="14704"/>
  <c r="N167" i="14704"/>
  <c r="V167" i="14704"/>
  <c r="N173" i="14704"/>
  <c r="O173" i="14704"/>
  <c r="G173" i="14704"/>
  <c r="H173" i="14704"/>
  <c r="K173" i="14704"/>
  <c r="J173" i="14704"/>
  <c r="M173" i="14704"/>
  <c r="Q173" i="14704"/>
  <c r="L173" i="14704"/>
  <c r="F173" i="14704"/>
  <c r="P173" i="14704"/>
  <c r="I173" i="14704"/>
  <c r="R169" i="14704"/>
  <c r="T169" i="14704"/>
  <c r="J169" i="14704"/>
  <c r="M169" i="14704"/>
  <c r="K169" i="14704"/>
  <c r="L169" i="14704"/>
  <c r="U169" i="14704"/>
  <c r="Q169" i="14704"/>
  <c r="N169" i="14704"/>
  <c r="P169" i="14704"/>
  <c r="S169" i="14704"/>
  <c r="O169" i="14704"/>
  <c r="G176" i="14704"/>
  <c r="K176" i="14704"/>
  <c r="L176" i="14704"/>
  <c r="C176" i="14704"/>
  <c r="E176" i="14704"/>
  <c r="M176" i="14704"/>
  <c r="F176" i="14704"/>
  <c r="J176" i="14704"/>
  <c r="H176" i="14704"/>
  <c r="D176" i="14704"/>
  <c r="N176" i="14704"/>
  <c r="I176" i="14704"/>
  <c r="P165" i="14704"/>
  <c r="O165" i="14704"/>
  <c r="X165" i="14704"/>
  <c r="Y165" i="14704"/>
  <c r="Y178" i="14704" s="1"/>
  <c r="S165" i="14704"/>
  <c r="V165" i="14704"/>
  <c r="Q165" i="14704"/>
  <c r="N165" i="14704"/>
  <c r="R165" i="14704"/>
  <c r="U165" i="14704"/>
  <c r="W165" i="14704"/>
  <c r="T165" i="14704"/>
  <c r="Q172" i="14704"/>
  <c r="J172" i="14704"/>
  <c r="L172" i="14704"/>
  <c r="M172" i="14704"/>
  <c r="I172" i="14704"/>
  <c r="R172" i="14704"/>
  <c r="O172" i="14704"/>
  <c r="H172" i="14704"/>
  <c r="G172" i="14704"/>
  <c r="K172" i="14704"/>
  <c r="P172" i="14704"/>
  <c r="N172" i="14704"/>
  <c r="M177" i="14704"/>
  <c r="H177" i="14704"/>
  <c r="K177" i="14704"/>
  <c r="C177" i="14704"/>
  <c r="O177" i="14702" s="1"/>
  <c r="E177" i="14704"/>
  <c r="D177" i="14704"/>
  <c r="G177" i="14704"/>
  <c r="F177" i="14704"/>
  <c r="B177" i="14704"/>
  <c r="J177" i="14704"/>
  <c r="I177" i="14704"/>
  <c r="L177" i="14704"/>
  <c r="Q85" i="14704"/>
  <c r="R85" i="14704"/>
  <c r="N177" i="14698"/>
  <c r="N178" i="14698" s="1"/>
  <c r="B178" i="14700"/>
  <c r="G178" i="14700"/>
  <c r="S172" i="14698" a="1"/>
  <c r="P229" i="14698" a="1"/>
  <c r="D232" i="14700"/>
  <c r="I232" i="14700"/>
  <c r="U224" i="14698" a="1"/>
  <c r="L232" i="14700"/>
  <c r="X221" i="14698" a="1"/>
  <c r="E214" i="14700"/>
  <c r="Q210" i="14698" a="1"/>
  <c r="K214" i="14700"/>
  <c r="W204" i="14698" a="1"/>
  <c r="B40" i="14637" a="1"/>
  <c r="M40" i="14637" s="1"/>
  <c r="E9" i="14657"/>
  <c r="Q18" i="14678"/>
  <c r="F19" i="4129"/>
  <c r="D6" i="14659"/>
  <c r="D30" i="14659" s="1"/>
  <c r="C19" i="4129"/>
  <c r="Q18" i="14632"/>
  <c r="G6" i="14659"/>
  <c r="G30" i="14659" s="1"/>
  <c r="G77" i="14665"/>
  <c r="N70" i="14653"/>
  <c r="Q18" i="14679"/>
  <c r="D57" i="14683" a="1"/>
  <c r="D57" i="14683" s="1"/>
  <c r="H41" i="14643"/>
  <c r="F179" i="14703"/>
  <c r="E179" i="14703"/>
  <c r="T179" i="14703"/>
  <c r="Q179" i="14703"/>
  <c r="D179" i="14703"/>
  <c r="P179" i="14703"/>
  <c r="W179" i="14703"/>
  <c r="U179" i="14703"/>
  <c r="J179" i="14703"/>
  <c r="R179" i="14703"/>
  <c r="N179" i="14703"/>
  <c r="X179" i="14703"/>
  <c r="O179" i="14703"/>
  <c r="B179" i="14703"/>
  <c r="Y179" i="14703"/>
  <c r="G179" i="14703"/>
  <c r="I179" i="14703"/>
  <c r="M179" i="14703"/>
  <c r="H179" i="14703"/>
  <c r="C179" i="14703"/>
  <c r="K179" i="14703"/>
  <c r="L179" i="14703"/>
  <c r="V179" i="14703"/>
  <c r="S179" i="14703"/>
  <c r="H59" i="14643"/>
  <c r="H53" i="14643"/>
  <c r="H58" i="14643"/>
  <c r="H55" i="14643"/>
  <c r="H54" i="14643"/>
  <c r="H56" i="14643"/>
  <c r="H60" i="14643"/>
  <c r="H57" i="14643"/>
  <c r="W215" i="14703"/>
  <c r="V215" i="14703"/>
  <c r="Y215" i="14703"/>
  <c r="P215" i="14703"/>
  <c r="L215" i="14703"/>
  <c r="T215" i="14703"/>
  <c r="J215" i="14703"/>
  <c r="D215" i="14703"/>
  <c r="S215" i="14703"/>
  <c r="X215" i="14703"/>
  <c r="M215" i="14703"/>
  <c r="Q215" i="14703"/>
  <c r="K215" i="14703"/>
  <c r="E215" i="14703"/>
  <c r="I215" i="14703"/>
  <c r="N215" i="14703"/>
  <c r="C215" i="14703"/>
  <c r="F215" i="14703"/>
  <c r="R215" i="14703"/>
  <c r="H215" i="14703"/>
  <c r="G215" i="14703"/>
  <c r="O215" i="14703"/>
  <c r="U215" i="14703"/>
  <c r="B215" i="14703"/>
  <c r="O143" i="14703"/>
  <c r="E143" i="14703"/>
  <c r="V143" i="14703"/>
  <c r="Q143" i="14703"/>
  <c r="P143" i="14703"/>
  <c r="U143" i="14703"/>
  <c r="S143" i="14703"/>
  <c r="F143" i="14703"/>
  <c r="J143" i="14703"/>
  <c r="G143" i="14703"/>
  <c r="X143" i="14703"/>
  <c r="C143" i="14703"/>
  <c r="D143" i="14703"/>
  <c r="K143" i="14703"/>
  <c r="T143" i="14703"/>
  <c r="M143" i="14703"/>
  <c r="W143" i="14703"/>
  <c r="I143" i="14703"/>
  <c r="N143" i="14703"/>
  <c r="R143" i="14703"/>
  <c r="L143" i="14703"/>
  <c r="Y143" i="14703"/>
  <c r="B143" i="14703"/>
  <c r="H143" i="14703"/>
  <c r="B251" i="14703"/>
  <c r="K251" i="14703"/>
  <c r="Q251" i="14703"/>
  <c r="P251" i="14703"/>
  <c r="D251" i="14703"/>
  <c r="U251" i="14703"/>
  <c r="H251" i="14703"/>
  <c r="W251" i="14703"/>
  <c r="E251" i="14703"/>
  <c r="S251" i="14703"/>
  <c r="N251" i="14703"/>
  <c r="Y251" i="14703"/>
  <c r="L251" i="14703"/>
  <c r="F251" i="14703"/>
  <c r="T251" i="14703"/>
  <c r="M251" i="14703"/>
  <c r="I251" i="14703"/>
  <c r="X251" i="14703"/>
  <c r="R251" i="14703"/>
  <c r="J251" i="14703"/>
  <c r="G251" i="14703"/>
  <c r="C251" i="14703"/>
  <c r="V251" i="14703"/>
  <c r="O251" i="14703"/>
  <c r="I52" i="14703"/>
  <c r="D52" i="14703"/>
  <c r="G52" i="14703"/>
  <c r="J52" i="14703"/>
  <c r="E52" i="14703"/>
  <c r="B52" i="14703"/>
  <c r="M52" i="14703"/>
  <c r="C52" i="14703"/>
  <c r="L52" i="14703"/>
  <c r="H52" i="14703"/>
  <c r="F52" i="14703"/>
  <c r="K52" i="14703"/>
  <c r="E50" i="14703"/>
  <c r="F50" i="14703"/>
  <c r="L50" i="14703"/>
  <c r="M50" i="14703"/>
  <c r="H50" i="14703"/>
  <c r="I50" i="14703"/>
  <c r="B50" i="14703"/>
  <c r="J50" i="14703"/>
  <c r="D50" i="14703"/>
  <c r="C50" i="14703"/>
  <c r="K50" i="14703"/>
  <c r="G50" i="14703"/>
  <c r="L49" i="14703"/>
  <c r="H49" i="14703"/>
  <c r="J49" i="14703"/>
  <c r="C49" i="14703"/>
  <c r="M49" i="14703"/>
  <c r="G49" i="14703"/>
  <c r="B49" i="14703"/>
  <c r="K49" i="14703"/>
  <c r="I49" i="14703"/>
  <c r="D49" i="14703"/>
  <c r="F49" i="14703"/>
  <c r="E49" i="14703"/>
  <c r="I125" i="14703"/>
  <c r="T125" i="14703"/>
  <c r="F125" i="14703"/>
  <c r="U125" i="14703"/>
  <c r="G125" i="14703"/>
  <c r="Y125" i="14703"/>
  <c r="N125" i="14703"/>
  <c r="L125" i="14703"/>
  <c r="R125" i="14703"/>
  <c r="B125" i="14703"/>
  <c r="M125" i="14703"/>
  <c r="O125" i="14703"/>
  <c r="X125" i="14703"/>
  <c r="P125" i="14703"/>
  <c r="Q125" i="14703"/>
  <c r="J125" i="14703"/>
  <c r="H125" i="14703"/>
  <c r="K125" i="14703"/>
  <c r="S125" i="14703"/>
  <c r="E125" i="14703"/>
  <c r="C125" i="14703"/>
  <c r="D125" i="14703"/>
  <c r="W125" i="14703"/>
  <c r="V125" i="14703"/>
  <c r="I61" i="14643"/>
  <c r="M48" i="14703"/>
  <c r="B48" i="14703"/>
  <c r="D48" i="14703"/>
  <c r="K48" i="14703"/>
  <c r="H48" i="14703"/>
  <c r="F48" i="14703"/>
  <c r="C48" i="14703"/>
  <c r="I48" i="14703"/>
  <c r="E48" i="14703"/>
  <c r="G48" i="14703"/>
  <c r="J48" i="14703"/>
  <c r="L48" i="14703"/>
  <c r="G51" i="14703"/>
  <c r="F51" i="14703"/>
  <c r="B51" i="14703"/>
  <c r="D51" i="14703"/>
  <c r="M51" i="14703"/>
  <c r="I51" i="14703"/>
  <c r="C51" i="14703"/>
  <c r="E51" i="14703"/>
  <c r="H51" i="14703"/>
  <c r="L51" i="14703"/>
  <c r="K51" i="14703"/>
  <c r="J51" i="14703"/>
  <c r="H47" i="14703"/>
  <c r="G47" i="14703"/>
  <c r="M47" i="14703"/>
  <c r="E47" i="14703"/>
  <c r="C47" i="14703"/>
  <c r="J47" i="14703"/>
  <c r="B47" i="14703"/>
  <c r="I47" i="14703"/>
  <c r="D47" i="14703"/>
  <c r="F47" i="14703"/>
  <c r="L47" i="14703"/>
  <c r="K47" i="14703"/>
  <c r="L53" i="14703"/>
  <c r="G53" i="14703"/>
  <c r="E53" i="14703"/>
  <c r="B53" i="14703"/>
  <c r="J53" i="14703"/>
  <c r="C53" i="14703"/>
  <c r="F53" i="14703"/>
  <c r="K53" i="14703"/>
  <c r="D53" i="14703"/>
  <c r="I53" i="14703"/>
  <c r="H53" i="14703"/>
  <c r="M53" i="14703"/>
  <c r="E233" i="14703"/>
  <c r="O233" i="14703"/>
  <c r="Q233" i="14703"/>
  <c r="B233" i="14703"/>
  <c r="K233" i="14703"/>
  <c r="D233" i="14703"/>
  <c r="J233" i="14703"/>
  <c r="Y233" i="14703"/>
  <c r="T233" i="14703"/>
  <c r="N233" i="14703"/>
  <c r="X233" i="14703"/>
  <c r="M233" i="14703"/>
  <c r="U233" i="14703"/>
  <c r="S233" i="14703"/>
  <c r="H233" i="14703"/>
  <c r="V233" i="14703"/>
  <c r="P233" i="14703"/>
  <c r="R233" i="14703"/>
  <c r="L233" i="14703"/>
  <c r="C233" i="14703"/>
  <c r="F233" i="14703"/>
  <c r="W233" i="14703"/>
  <c r="I233" i="14703"/>
  <c r="G233" i="14703"/>
  <c r="E197" i="14703"/>
  <c r="K197" i="14703"/>
  <c r="U197" i="14703"/>
  <c r="C197" i="14703"/>
  <c r="F197" i="14703"/>
  <c r="B197" i="14703"/>
  <c r="S197" i="14703"/>
  <c r="M197" i="14703"/>
  <c r="G197" i="14703"/>
  <c r="O197" i="14703"/>
  <c r="N197" i="14703"/>
  <c r="D197" i="14703"/>
  <c r="I197" i="14703"/>
  <c r="V197" i="14703"/>
  <c r="W197" i="14703"/>
  <c r="H197" i="14703"/>
  <c r="Y197" i="14703"/>
  <c r="L197" i="14703"/>
  <c r="X197" i="14703"/>
  <c r="R197" i="14703"/>
  <c r="T197" i="14703"/>
  <c r="Q197" i="14703"/>
  <c r="J197" i="14703"/>
  <c r="P197" i="14703"/>
  <c r="E46" i="14703"/>
  <c r="J46" i="14703"/>
  <c r="L46" i="14703"/>
  <c r="I46" i="14703"/>
  <c r="M46" i="14703"/>
  <c r="K46" i="14703"/>
  <c r="G46" i="14703"/>
  <c r="B46" i="14703"/>
  <c r="D46" i="14703"/>
  <c r="F46" i="14703"/>
  <c r="H46" i="14703"/>
  <c r="C46" i="14703"/>
  <c r="T161" i="14703"/>
  <c r="I161" i="14703"/>
  <c r="X161" i="14703"/>
  <c r="N161" i="14703"/>
  <c r="P161" i="14703"/>
  <c r="F161" i="14703"/>
  <c r="C161" i="14703"/>
  <c r="K161" i="14703"/>
  <c r="H161" i="14703"/>
  <c r="Q161" i="14703"/>
  <c r="U161" i="14703"/>
  <c r="L161" i="14703"/>
  <c r="S161" i="14703"/>
  <c r="Y161" i="14703"/>
  <c r="V161" i="14703"/>
  <c r="J161" i="14703"/>
  <c r="B161" i="14703"/>
  <c r="O161" i="14703"/>
  <c r="M161" i="14703"/>
  <c r="G161" i="14703"/>
  <c r="W161" i="14703"/>
  <c r="R161" i="14703"/>
  <c r="E161" i="14703"/>
  <c r="D161" i="14703"/>
  <c r="O6" i="14633"/>
  <c r="H42" i="14643"/>
  <c r="H45" i="14643"/>
  <c r="H44" i="14643"/>
  <c r="H40" i="14643"/>
  <c r="H46" i="14643"/>
  <c r="H43" i="14643"/>
  <c r="F48" i="14643"/>
  <c r="D50" i="14683"/>
  <c r="D54" i="14683"/>
  <c r="D55" i="14683"/>
  <c r="D52" i="14683"/>
  <c r="D56" i="14683"/>
  <c r="D53" i="14683"/>
  <c r="D49" i="14683"/>
  <c r="D51" i="14683"/>
  <c r="H58" i="14703"/>
  <c r="C58" i="14703"/>
  <c r="G58" i="14703"/>
  <c r="J58" i="14703"/>
  <c r="F58" i="14703"/>
  <c r="M58" i="14703"/>
  <c r="B58" i="14703"/>
  <c r="I58" i="14703"/>
  <c r="L58" i="14703"/>
  <c r="E58" i="14703"/>
  <c r="D58" i="14703"/>
  <c r="K58" i="14703"/>
  <c r="L31" i="14701"/>
  <c r="G31" i="14701"/>
  <c r="M31" i="14701"/>
  <c r="F31" i="14701"/>
  <c r="J31" i="14701"/>
  <c r="H31" i="14701"/>
  <c r="D31" i="14701"/>
  <c r="E31" i="14701"/>
  <c r="K31" i="14701"/>
  <c r="I31" i="14701"/>
  <c r="B31" i="14701"/>
  <c r="C31" i="14701"/>
  <c r="D4" i="14640"/>
  <c r="H4" i="14640"/>
  <c r="J4" i="14640"/>
  <c r="F4" i="14640"/>
  <c r="M4" i="14640"/>
  <c r="L4" i="14640"/>
  <c r="B4" i="14640"/>
  <c r="E4" i="14640"/>
  <c r="I4" i="14640"/>
  <c r="K4" i="14640"/>
  <c r="G4" i="14640"/>
  <c r="C4" i="14640"/>
  <c r="C70" i="14653"/>
  <c r="H70" i="14653"/>
  <c r="G70" i="14653"/>
  <c r="B70" i="14653"/>
  <c r="M70" i="14653"/>
  <c r="L70" i="14653"/>
  <c r="D70" i="14653"/>
  <c r="K70" i="14653"/>
  <c r="J70" i="14653"/>
  <c r="F70" i="14653"/>
  <c r="I70" i="14653"/>
  <c r="E70" i="14653"/>
  <c r="E62" i="14684"/>
  <c r="L62" i="14684"/>
  <c r="G62" i="14684"/>
  <c r="I62" i="14684"/>
  <c r="J62" i="14684"/>
  <c r="K62" i="14684"/>
  <c r="D62" i="14684"/>
  <c r="B62" i="14684"/>
  <c r="F62" i="14684"/>
  <c r="H62" i="14684"/>
  <c r="M62" i="14684"/>
  <c r="C62" i="14684"/>
  <c r="C7" i="14702"/>
  <c r="M7" i="14702"/>
  <c r="I7" i="14702"/>
  <c r="H7" i="14702"/>
  <c r="L7" i="14702"/>
  <c r="E7" i="14702"/>
  <c r="B7" i="14702"/>
  <c r="F7" i="14702"/>
  <c r="J7" i="14702"/>
  <c r="K7" i="14702"/>
  <c r="G7" i="14702"/>
  <c r="D7" i="14702"/>
  <c r="I32" i="14673"/>
  <c r="C32" i="14673"/>
  <c r="H32" i="14673"/>
  <c r="L32" i="14673"/>
  <c r="F32" i="14673"/>
  <c r="J32" i="14673"/>
  <c r="B32" i="14673"/>
  <c r="K32" i="14673"/>
  <c r="M32" i="14673"/>
  <c r="G32" i="14673"/>
  <c r="D32" i="14673"/>
  <c r="E32" i="14673"/>
  <c r="J4" i="14630"/>
  <c r="F4" i="14630"/>
  <c r="M4" i="14630"/>
  <c r="E4" i="14630"/>
  <c r="H4" i="14630"/>
  <c r="G4" i="14630"/>
  <c r="D4" i="14630"/>
  <c r="L4" i="14630"/>
  <c r="I4" i="14630"/>
  <c r="K4" i="14630"/>
  <c r="B4" i="14630"/>
  <c r="C4" i="14630"/>
  <c r="C19" i="14698"/>
  <c r="J19" i="14698"/>
  <c r="H19" i="14698"/>
  <c r="E19" i="14698"/>
  <c r="G19" i="14698"/>
  <c r="D19" i="14698"/>
  <c r="B19" i="14698"/>
  <c r="M19" i="14698"/>
  <c r="K19" i="14698"/>
  <c r="F19" i="14698"/>
  <c r="L19" i="14698"/>
  <c r="I19" i="14698"/>
  <c r="D18" i="14628"/>
  <c r="I18" i="14628"/>
  <c r="J18" i="14628"/>
  <c r="H18" i="14628"/>
  <c r="L18" i="14628"/>
  <c r="M18" i="14628"/>
  <c r="C18" i="14628"/>
  <c r="E18" i="14628"/>
  <c r="N18" i="14628"/>
  <c r="K18" i="14628"/>
  <c r="F18" i="14628"/>
  <c r="G18" i="14628"/>
  <c r="D27" i="14687"/>
  <c r="F27" i="14687"/>
  <c r="J27" i="14687"/>
  <c r="H27" i="14687"/>
  <c r="N27" i="14687"/>
  <c r="L27" i="14687"/>
  <c r="C27" i="14687"/>
  <c r="M27" i="14687"/>
  <c r="I27" i="14687"/>
  <c r="K27" i="14687"/>
  <c r="E27" i="14687"/>
  <c r="G27" i="14687"/>
  <c r="B4" i="14671"/>
  <c r="I4" i="14671"/>
  <c r="F4" i="14671"/>
  <c r="D4" i="14671"/>
  <c r="L4" i="14671"/>
  <c r="H4" i="14671"/>
  <c r="C4" i="14671"/>
  <c r="G4" i="14671"/>
  <c r="M4" i="14671"/>
  <c r="E4" i="14671"/>
  <c r="J4" i="14671"/>
  <c r="K4" i="14671"/>
  <c r="B31" i="14703"/>
  <c r="I31" i="14703"/>
  <c r="F31" i="14703"/>
  <c r="D31" i="14703"/>
  <c r="L31" i="14703"/>
  <c r="H31" i="14703"/>
  <c r="C31" i="14703"/>
  <c r="G31" i="14703"/>
  <c r="M31" i="14703"/>
  <c r="E31" i="14703"/>
  <c r="J31" i="14703"/>
  <c r="K31" i="14703"/>
  <c r="B4" i="14673"/>
  <c r="F4" i="14673"/>
  <c r="D4" i="14673"/>
  <c r="K4" i="14673"/>
  <c r="C4" i="14673"/>
  <c r="L4" i="14673"/>
  <c r="J4" i="14673"/>
  <c r="M4" i="14673"/>
  <c r="I4" i="14673"/>
  <c r="H4" i="14673"/>
  <c r="E4" i="14673"/>
  <c r="G4" i="14673"/>
  <c r="C17" i="14681"/>
  <c r="L17" i="14681"/>
  <c r="F17" i="14681"/>
  <c r="E17" i="14681"/>
  <c r="M17" i="14681"/>
  <c r="I17" i="14681"/>
  <c r="B17" i="14681"/>
  <c r="J17" i="14681"/>
  <c r="G17" i="14681"/>
  <c r="H17" i="14681"/>
  <c r="K17" i="14681"/>
  <c r="D17" i="14681"/>
  <c r="C30" i="14674"/>
  <c r="L30" i="14674"/>
  <c r="E30" i="14674"/>
  <c r="K30" i="14674"/>
  <c r="N30" i="14674"/>
  <c r="G30" i="14674"/>
  <c r="D30" i="14674"/>
  <c r="H30" i="14674"/>
  <c r="M30" i="14674"/>
  <c r="F30" i="14674"/>
  <c r="J30" i="14674"/>
  <c r="I30" i="14674"/>
  <c r="B31" i="14700"/>
  <c r="L31" i="14700"/>
  <c r="I31" i="14700"/>
  <c r="D31" i="14700"/>
  <c r="H31" i="14700"/>
  <c r="K31" i="14700"/>
  <c r="C31" i="14700"/>
  <c r="J31" i="14700"/>
  <c r="M31" i="14700"/>
  <c r="G31" i="14700"/>
  <c r="E31" i="14700"/>
  <c r="F31" i="14700"/>
  <c r="B7" i="14703"/>
  <c r="I7" i="14703"/>
  <c r="F7" i="14703"/>
  <c r="D7" i="14703"/>
  <c r="L7" i="14703"/>
  <c r="H7" i="14703"/>
  <c r="C7" i="14703"/>
  <c r="G7" i="14703"/>
  <c r="M7" i="14703"/>
  <c r="E7" i="14703"/>
  <c r="J7" i="14703"/>
  <c r="K7" i="14703"/>
  <c r="C18" i="14653"/>
  <c r="J18" i="14653"/>
  <c r="F18" i="14653"/>
  <c r="E18" i="14653"/>
  <c r="H18" i="14653"/>
  <c r="D18" i="14653"/>
  <c r="G18" i="14653"/>
  <c r="K18" i="14653"/>
  <c r="I18" i="14653"/>
  <c r="B18" i="14653"/>
  <c r="M18" i="14653"/>
  <c r="L18" i="14653"/>
  <c r="D84" i="14648"/>
  <c r="H84" i="14648"/>
  <c r="J84" i="14648"/>
  <c r="I84" i="14648"/>
  <c r="L84" i="14648"/>
  <c r="F84" i="14648"/>
  <c r="K84" i="14648"/>
  <c r="G84" i="14648"/>
  <c r="E84" i="14648"/>
  <c r="C84" i="14648"/>
  <c r="M84" i="14648"/>
  <c r="N84" i="14648"/>
  <c r="C34" i="14638"/>
  <c r="I34" i="14638"/>
  <c r="H34" i="14638"/>
  <c r="F34" i="14638"/>
  <c r="K34" i="14638"/>
  <c r="L34" i="14638"/>
  <c r="J34" i="14638"/>
  <c r="G34" i="14638"/>
  <c r="D34" i="14638"/>
  <c r="B34" i="14638"/>
  <c r="E34" i="14638"/>
  <c r="M34" i="14638"/>
  <c r="C31" i="7"/>
  <c r="K31" i="7"/>
  <c r="G31" i="7"/>
  <c r="F31" i="7"/>
  <c r="M31" i="7"/>
  <c r="E31" i="7"/>
  <c r="J31" i="7"/>
  <c r="I31" i="7"/>
  <c r="D31" i="7"/>
  <c r="B31" i="7"/>
  <c r="H31" i="7"/>
  <c r="L31" i="7"/>
  <c r="C32" i="14629"/>
  <c r="K32" i="14629"/>
  <c r="H32" i="14629"/>
  <c r="B32" i="14629"/>
  <c r="E32" i="14629"/>
  <c r="J32" i="14629"/>
  <c r="G32" i="14629"/>
  <c r="L32" i="14629"/>
  <c r="F32" i="14629"/>
  <c r="D32" i="14629"/>
  <c r="I32" i="14629"/>
  <c r="M32" i="14629"/>
  <c r="C36" i="14648"/>
  <c r="I36" i="14648"/>
  <c r="L36" i="14648"/>
  <c r="E36" i="14648"/>
  <c r="K36" i="14648"/>
  <c r="H36" i="14648"/>
  <c r="G36" i="14648"/>
  <c r="J36" i="14648"/>
  <c r="F36" i="14648"/>
  <c r="D36" i="14648"/>
  <c r="M36" i="14648"/>
  <c r="N36" i="14648"/>
  <c r="F32" i="14636"/>
  <c r="B32" i="14636"/>
  <c r="L32" i="14636"/>
  <c r="J32" i="14636"/>
  <c r="E32" i="14636"/>
  <c r="M32" i="14636"/>
  <c r="I32" i="14636"/>
  <c r="C32" i="14636"/>
  <c r="H32" i="14636"/>
  <c r="D32" i="14636"/>
  <c r="G32" i="14636"/>
  <c r="K32" i="14636"/>
  <c r="I31" i="14637"/>
  <c r="D31" i="14637"/>
  <c r="F31" i="14637"/>
  <c r="K31" i="14637"/>
  <c r="H31" i="14637"/>
  <c r="M31" i="14637"/>
  <c r="E31" i="14637"/>
  <c r="B31" i="14637"/>
  <c r="L31" i="14637"/>
  <c r="C31" i="14637"/>
  <c r="J31" i="14637"/>
  <c r="G31" i="14637"/>
  <c r="I57" i="14653"/>
  <c r="B57" i="14653"/>
  <c r="J57" i="14653"/>
  <c r="H57" i="14653"/>
  <c r="C57" i="14653"/>
  <c r="M57" i="14653"/>
  <c r="K57" i="14653"/>
  <c r="E57" i="14653"/>
  <c r="F57" i="14653"/>
  <c r="D57" i="14653"/>
  <c r="G57" i="14653"/>
  <c r="L57" i="14653"/>
  <c r="C31" i="14653"/>
  <c r="J31" i="14653"/>
  <c r="L31" i="14653"/>
  <c r="H31" i="14653"/>
  <c r="K31" i="14653"/>
  <c r="F31" i="14653"/>
  <c r="B31" i="14653"/>
  <c r="G31" i="14653"/>
  <c r="M31" i="14653"/>
  <c r="E31" i="14653"/>
  <c r="I31" i="14653"/>
  <c r="D31" i="14653"/>
  <c r="C6" i="14678"/>
  <c r="K6" i="14678"/>
  <c r="J6" i="14678"/>
  <c r="I6" i="14678"/>
  <c r="M6" i="14678"/>
  <c r="E6" i="14678"/>
  <c r="B6" i="14678"/>
  <c r="F6" i="14678"/>
  <c r="L6" i="14678"/>
  <c r="D6" i="14678"/>
  <c r="G6" i="14678"/>
  <c r="H6" i="14678"/>
  <c r="O8" i="14639"/>
  <c r="J33" i="14652" a="1"/>
  <c r="F55" i="14707" a="1"/>
  <c r="B17" i="14669" a="1"/>
  <c r="G39" i="14637"/>
  <c r="K38" i="14637"/>
  <c r="B32" i="14637"/>
  <c r="I36" i="14637"/>
  <c r="G35" i="14637"/>
  <c r="M36" i="14637"/>
  <c r="J39" i="14637"/>
  <c r="E38" i="14637"/>
  <c r="H34" i="14637"/>
  <c r="F35" i="14637"/>
  <c r="K39" i="14637"/>
  <c r="B37" i="14637"/>
  <c r="L35" i="14637"/>
  <c r="M39" i="14637"/>
  <c r="J36" i="14637"/>
  <c r="J38" i="14637"/>
  <c r="J34" i="14637"/>
  <c r="I35" i="14637"/>
  <c r="J37" i="14637"/>
  <c r="G34" i="14637"/>
  <c r="G32" i="14637"/>
  <c r="E36" i="14637"/>
  <c r="C33" i="14637"/>
  <c r="F37" i="14637"/>
  <c r="H32" i="14637"/>
  <c r="I37" i="14637"/>
  <c r="H39" i="14637"/>
  <c r="F34" i="14637"/>
  <c r="E35" i="14637"/>
  <c r="I32" i="14637"/>
  <c r="F32" i="14637"/>
  <c r="B36" i="14637"/>
  <c r="D37" i="14637"/>
  <c r="M32" i="14637"/>
  <c r="L36" i="14637"/>
  <c r="D35" i="14637"/>
  <c r="I39" i="14637"/>
  <c r="E33" i="14637"/>
  <c r="I38" i="14637"/>
  <c r="H33" i="14637"/>
  <c r="L32" i="14637"/>
  <c r="M35" i="14637"/>
  <c r="E37" i="14637"/>
  <c r="M38" i="14637"/>
  <c r="G36" i="14637"/>
  <c r="F38" i="14637"/>
  <c r="E34" i="14637"/>
  <c r="K34" i="14637"/>
  <c r="L39" i="14637"/>
  <c r="J35" i="14637"/>
  <c r="K37" i="14637"/>
  <c r="C36" i="14637"/>
  <c r="G38" i="14637"/>
  <c r="F39" i="14637"/>
  <c r="C32" i="14637"/>
  <c r="D32" i="14637"/>
  <c r="L37" i="14637"/>
  <c r="E32" i="14637"/>
  <c r="H38" i="14637"/>
  <c r="H35" i="14637"/>
  <c r="I33" i="14637"/>
  <c r="K33" i="14637"/>
  <c r="F36" i="14637"/>
  <c r="D36" i="14637"/>
  <c r="L38" i="14637"/>
  <c r="C39" i="14637"/>
  <c r="B33" i="14637"/>
  <c r="M33" i="14637"/>
  <c r="G37" i="14637"/>
  <c r="B35" i="14637"/>
  <c r="F33" i="14637"/>
  <c r="H36" i="14637"/>
  <c r="D34" i="14637"/>
  <c r="K32" i="14637"/>
  <c r="M37" i="14637"/>
  <c r="B34" i="14637"/>
  <c r="K35" i="14637"/>
  <c r="J32" i="14637"/>
  <c r="C38" i="14637"/>
  <c r="B39" i="14637"/>
  <c r="C34" i="14637"/>
  <c r="J33" i="14637"/>
  <c r="C37" i="14637"/>
  <c r="E39" i="14637"/>
  <c r="D33" i="14637"/>
  <c r="G33" i="14637"/>
  <c r="H37" i="14637"/>
  <c r="I34" i="14637"/>
  <c r="D38" i="14637"/>
  <c r="D39" i="14637"/>
  <c r="M34" i="14637"/>
  <c r="B38" i="14637"/>
  <c r="L34" i="14637"/>
  <c r="L33" i="14637"/>
  <c r="C35" i="14637"/>
  <c r="K36" i="14637"/>
  <c r="E19" i="14683"/>
  <c r="E22" i="14683"/>
  <c r="E24" i="14683"/>
  <c r="E25" i="14683"/>
  <c r="E26" i="14683"/>
  <c r="E23" i="14683"/>
  <c r="E20" i="14683"/>
  <c r="E21" i="14683"/>
  <c r="H5" i="14640"/>
  <c r="L5" i="14640"/>
  <c r="I5" i="14640"/>
  <c r="K5" i="14640"/>
  <c r="B5" i="14640"/>
  <c r="E5" i="14640"/>
  <c r="D5" i="14640"/>
  <c r="M5" i="14640"/>
  <c r="F5" i="14640"/>
  <c r="C5" i="14640"/>
  <c r="J5" i="14640"/>
  <c r="G5" i="14640"/>
  <c r="O8" i="14674"/>
  <c r="O8" i="14675"/>
  <c r="O17" i="14625"/>
  <c r="B136" i="14707"/>
  <c r="B22" i="14707"/>
  <c r="E18" i="14708"/>
  <c r="E29" i="14708"/>
  <c r="B31" i="14652"/>
  <c r="B47" i="14683"/>
  <c r="B32" i="14683"/>
  <c r="B17" i="14683"/>
  <c r="O17" i="14641"/>
  <c r="I25" i="14668"/>
  <c r="I36" i="14681" s="1"/>
  <c r="H25" i="14668"/>
  <c r="H36" i="14681" s="1"/>
  <c r="N24" i="14668"/>
  <c r="N21" i="14668"/>
  <c r="N18" i="14668"/>
  <c r="F25" i="14668"/>
  <c r="F36" i="14681" s="1"/>
  <c r="C31" i="14674" a="1"/>
  <c r="N17" i="14668"/>
  <c r="B7" i="14678" a="1"/>
  <c r="B25" i="14668"/>
  <c r="N23" i="14668"/>
  <c r="O7" i="14641"/>
  <c r="F23" i="14638" a="1"/>
  <c r="F23" i="14638" s="1"/>
  <c r="D21" i="14638" a="1"/>
  <c r="D21" i="14638" s="1"/>
  <c r="C20" i="14638" a="1"/>
  <c r="C20" i="14638" s="1"/>
  <c r="I26" i="14638" a="1"/>
  <c r="I26" i="14638" s="1"/>
  <c r="G24" i="14638" a="1"/>
  <c r="G24" i="14638" s="1"/>
  <c r="H25" i="14638" a="1"/>
  <c r="H25" i="14638" s="1"/>
  <c r="E22" i="14638" a="1"/>
  <c r="E22" i="14638" s="1"/>
  <c r="C15" i="14638"/>
  <c r="N9" i="14638"/>
  <c r="O22" i="14638" a="1"/>
  <c r="O22" i="14638" s="1"/>
  <c r="N21" i="14638" a="1"/>
  <c r="N21" i="14638" s="1"/>
  <c r="P23" i="14638" a="1"/>
  <c r="P23" i="14638" s="1"/>
  <c r="Q24" i="14638" a="1"/>
  <c r="Q24" i="14638" s="1"/>
  <c r="M20" i="14638" a="1"/>
  <c r="M20" i="14638" s="1"/>
  <c r="S26" i="14638" a="1"/>
  <c r="S26" i="14638" s="1"/>
  <c r="R25" i="14638" a="1"/>
  <c r="R25" i="14638" s="1"/>
  <c r="M15" i="14638"/>
  <c r="I15" i="14638"/>
  <c r="I20" i="14638" a="1"/>
  <c r="I20" i="14638" s="1"/>
  <c r="L23" i="14638" a="1"/>
  <c r="L23" i="14638" s="1"/>
  <c r="K22" i="14638" a="1"/>
  <c r="K22" i="14638" s="1"/>
  <c r="M24" i="14638" a="1"/>
  <c r="M24" i="14638" s="1"/>
  <c r="N25" i="14638" a="1"/>
  <c r="N25" i="14638" s="1"/>
  <c r="O26" i="14638" a="1"/>
  <c r="O26" i="14638" s="1"/>
  <c r="J21" i="14638" a="1"/>
  <c r="J21" i="14638" s="1"/>
  <c r="J20" i="14638" a="1"/>
  <c r="J20" i="14638" s="1"/>
  <c r="K21" i="14638" a="1"/>
  <c r="K21" i="14638" s="1"/>
  <c r="P26" i="14638" a="1"/>
  <c r="P26" i="14638" s="1"/>
  <c r="J15" i="14638"/>
  <c r="O25" i="14638" a="1"/>
  <c r="O25" i="14638" s="1"/>
  <c r="L22" i="14638" a="1"/>
  <c r="L22" i="14638" s="1"/>
  <c r="N24" i="14638" a="1"/>
  <c r="N24" i="14638" s="1"/>
  <c r="M23" i="14638" a="1"/>
  <c r="M23" i="14638" s="1"/>
  <c r="E23" i="14638" a="1"/>
  <c r="E23" i="14638" s="1"/>
  <c r="N7" i="14638"/>
  <c r="C21" i="14638" a="1"/>
  <c r="C21" i="14638" s="1"/>
  <c r="B20" i="14638" a="1"/>
  <c r="B20" i="14638" s="1"/>
  <c r="D22" i="14638" a="1"/>
  <c r="D22" i="14638" s="1"/>
  <c r="H26" i="14638" a="1"/>
  <c r="H26" i="14638" s="1"/>
  <c r="F24" i="14638" a="1"/>
  <c r="F24" i="14638" s="1"/>
  <c r="G25" i="14638" a="1"/>
  <c r="G25" i="14638" s="1"/>
  <c r="B15" i="14638"/>
  <c r="I25" i="14638" a="1"/>
  <c r="I25" i="14638" s="1"/>
  <c r="D20" i="14638" a="1"/>
  <c r="D20" i="14638" s="1"/>
  <c r="E21" i="14638" a="1"/>
  <c r="E21" i="14638" s="1"/>
  <c r="D15" i="14638"/>
  <c r="J26" i="14638" a="1"/>
  <c r="J26" i="14638" s="1"/>
  <c r="F22" i="14638" a="1"/>
  <c r="F22" i="14638" s="1"/>
  <c r="H24" i="14638" a="1"/>
  <c r="H24" i="14638" s="1"/>
  <c r="G23" i="14638" a="1"/>
  <c r="G23" i="14638" s="1"/>
  <c r="N8" i="14638"/>
  <c r="N11" i="14638"/>
  <c r="N12" i="14638"/>
  <c r="F39" i="14639"/>
  <c r="F19" i="14639" a="1"/>
  <c r="F19" i="14639" s="1"/>
  <c r="M39" i="14639"/>
  <c r="M19" i="14639" a="1"/>
  <c r="M19" i="14639" s="1"/>
  <c r="E39" i="14639"/>
  <c r="E19" i="14639" a="1"/>
  <c r="E19" i="14639" s="1"/>
  <c r="H39" i="14639"/>
  <c r="H19" i="14639" a="1"/>
  <c r="H19" i="14639" s="1"/>
  <c r="O34" i="14639"/>
  <c r="L19" i="14639" a="1"/>
  <c r="L19" i="14639" s="1"/>
  <c r="L39" i="14639"/>
  <c r="N39" i="14639"/>
  <c r="N19" i="14639" a="1"/>
  <c r="N19" i="14639" s="1"/>
  <c r="O32" i="14639"/>
  <c r="K19" i="14639" a="1"/>
  <c r="K19" i="14639" s="1"/>
  <c r="K39" i="14639"/>
  <c r="D19" i="14639" a="1"/>
  <c r="D19" i="14639" s="1"/>
  <c r="D39" i="14639"/>
  <c r="J19" i="14639" a="1"/>
  <c r="J19" i="14639" s="1"/>
  <c r="J39" i="14639"/>
  <c r="F34" i="14679"/>
  <c r="C34" i="14679"/>
  <c r="H34" i="14679"/>
  <c r="I34" i="14679"/>
  <c r="E34" i="14679"/>
  <c r="L34" i="14679"/>
  <c r="B34" i="14679"/>
  <c r="G34" i="14679"/>
  <c r="M34" i="14679"/>
  <c r="K34" i="14679"/>
  <c r="D34" i="14679"/>
  <c r="J34" i="14679"/>
  <c r="I104" i="14648"/>
  <c r="D104" i="14648"/>
  <c r="J104" i="14648"/>
  <c r="M104" i="14648"/>
  <c r="H104" i="14648"/>
  <c r="N104" i="14648"/>
  <c r="C104" i="14648"/>
  <c r="K104" i="14648"/>
  <c r="L104" i="14648"/>
  <c r="G104" i="14648"/>
  <c r="E104" i="14648"/>
  <c r="F104" i="14648"/>
  <c r="D58" i="14704"/>
  <c r="H58" i="14704"/>
  <c r="J58" i="14704"/>
  <c r="I58" i="14704"/>
  <c r="E58" i="14704"/>
  <c r="B58" i="14704"/>
  <c r="C58" i="14704"/>
  <c r="M58" i="14704"/>
  <c r="L58" i="14704"/>
  <c r="K58" i="14704"/>
  <c r="G58" i="14704"/>
  <c r="F58" i="14704"/>
  <c r="D6" i="14648"/>
  <c r="N6" i="14648"/>
  <c r="J6" i="14648"/>
  <c r="I6" i="14648"/>
  <c r="F6" i="14648"/>
  <c r="E6" i="14648"/>
  <c r="C6" i="14648"/>
  <c r="L6" i="14648"/>
  <c r="K6" i="14648"/>
  <c r="M6" i="14648"/>
  <c r="H6" i="14648"/>
  <c r="G6" i="14648"/>
  <c r="B34" i="14632"/>
  <c r="J34" i="14632"/>
  <c r="I34" i="14632"/>
  <c r="H34" i="14632"/>
  <c r="M34" i="14632"/>
  <c r="E34" i="14632"/>
  <c r="C34" i="14632"/>
  <c r="F34" i="14632"/>
  <c r="L34" i="14632"/>
  <c r="K34" i="14632"/>
  <c r="G34" i="14632"/>
  <c r="D34" i="14632"/>
  <c r="D89" i="14648"/>
  <c r="I89" i="14648"/>
  <c r="K89" i="14648"/>
  <c r="E89" i="14648"/>
  <c r="L89" i="14648"/>
  <c r="H89" i="14648"/>
  <c r="C89" i="14648"/>
  <c r="M89" i="14648"/>
  <c r="N89" i="14648"/>
  <c r="G89" i="14648"/>
  <c r="J89" i="14648"/>
  <c r="F89" i="14648"/>
  <c r="C16" i="14669"/>
  <c r="H16" i="14669"/>
  <c r="K16" i="14669"/>
  <c r="B16" i="14669"/>
  <c r="J16" i="14669"/>
  <c r="F16" i="14669"/>
  <c r="D16" i="14669"/>
  <c r="E16" i="14669"/>
  <c r="L16" i="14669"/>
  <c r="I16" i="14669"/>
  <c r="M16" i="14669"/>
  <c r="G16" i="14669"/>
  <c r="B4" i="14637"/>
  <c r="I4" i="14637"/>
  <c r="G4" i="14637"/>
  <c r="C4" i="14637"/>
  <c r="M4" i="14637"/>
  <c r="L4" i="14637"/>
  <c r="D4" i="14637"/>
  <c r="H4" i="14637"/>
  <c r="K4" i="14637"/>
  <c r="F4" i="14637"/>
  <c r="J4" i="14637"/>
  <c r="E4" i="14637"/>
  <c r="B45" i="14698"/>
  <c r="G45" i="14698"/>
  <c r="H45" i="14698"/>
  <c r="F45" i="14698"/>
  <c r="M45" i="14698"/>
  <c r="J45" i="14698"/>
  <c r="D45" i="14698"/>
  <c r="K45" i="14698"/>
  <c r="L45" i="14698"/>
  <c r="I45" i="14698"/>
  <c r="E45" i="14698"/>
  <c r="C45" i="14698"/>
  <c r="C31" i="14704"/>
  <c r="E31" i="14704"/>
  <c r="G31" i="14704"/>
  <c r="F31" i="14704"/>
  <c r="M31" i="14704"/>
  <c r="I31" i="14704"/>
  <c r="B31" i="14704"/>
  <c r="J31" i="14704"/>
  <c r="L31" i="14704"/>
  <c r="H31" i="14704"/>
  <c r="K31" i="14704"/>
  <c r="D31" i="14704"/>
  <c r="G58" i="14702"/>
  <c r="D58" i="14702"/>
  <c r="I58" i="14702"/>
  <c r="L58" i="14702"/>
  <c r="F58" i="14702"/>
  <c r="J58" i="14702"/>
  <c r="C58" i="14702"/>
  <c r="K58" i="14702"/>
  <c r="M58" i="14702"/>
  <c r="H58" i="14702"/>
  <c r="B58" i="14702"/>
  <c r="E58" i="14702"/>
  <c r="J6" i="14632"/>
  <c r="E6" i="14632"/>
  <c r="M6" i="14632"/>
  <c r="L6" i="14632"/>
  <c r="F6" i="14632"/>
  <c r="H6" i="14632"/>
  <c r="B6" i="14632"/>
  <c r="K6" i="14632"/>
  <c r="G6" i="14632"/>
  <c r="I6" i="14632"/>
  <c r="C6" i="14632"/>
  <c r="D6" i="14632"/>
  <c r="D30" i="14675"/>
  <c r="K30" i="14675"/>
  <c r="H30" i="14675"/>
  <c r="F30" i="14675"/>
  <c r="J30" i="14675"/>
  <c r="E30" i="14675"/>
  <c r="C30" i="14675"/>
  <c r="N30" i="14675"/>
  <c r="L30" i="14675"/>
  <c r="I30" i="14675"/>
  <c r="G30" i="14675"/>
  <c r="M30" i="14675"/>
  <c r="C71" i="14703"/>
  <c r="H71" i="14703"/>
  <c r="J71" i="14703"/>
  <c r="B71" i="14703"/>
  <c r="L71" i="14703"/>
  <c r="E71" i="14703"/>
  <c r="D71" i="14703"/>
  <c r="K71" i="14703"/>
  <c r="M71" i="14703"/>
  <c r="G71" i="14703"/>
  <c r="I71" i="14703"/>
  <c r="F71" i="14703"/>
  <c r="E30" i="14634"/>
  <c r="H30" i="14634"/>
  <c r="I30" i="14634"/>
  <c r="D30" i="14634"/>
  <c r="M30" i="14634"/>
  <c r="L30" i="14634"/>
  <c r="C30" i="14634"/>
  <c r="J30" i="14634"/>
  <c r="N30" i="14634"/>
  <c r="G30" i="14634"/>
  <c r="K30" i="14634"/>
  <c r="F30" i="14634"/>
  <c r="F28" i="14641"/>
  <c r="K28" i="14641"/>
  <c r="I28" i="14641"/>
  <c r="E28" i="14641"/>
  <c r="N28" i="14641"/>
  <c r="G28" i="14641"/>
  <c r="C28" i="14641"/>
  <c r="H28" i="14641"/>
  <c r="L28" i="14641"/>
  <c r="M28" i="14641"/>
  <c r="J28" i="14641"/>
  <c r="D28" i="14641"/>
  <c r="D32" i="14624"/>
  <c r="F32" i="14624"/>
  <c r="I32" i="14624"/>
  <c r="G32" i="14624"/>
  <c r="M32" i="14624"/>
  <c r="K32" i="14624"/>
  <c r="B32" i="14624"/>
  <c r="L32" i="14624"/>
  <c r="H32" i="14624"/>
  <c r="J32" i="14624"/>
  <c r="E32" i="14624"/>
  <c r="C32" i="14624"/>
  <c r="C46" i="14687"/>
  <c r="H46" i="14687"/>
  <c r="L46" i="14687"/>
  <c r="D46" i="14687"/>
  <c r="J46" i="14687"/>
  <c r="F46" i="14687"/>
  <c r="E46" i="14687"/>
  <c r="M46" i="14687"/>
  <c r="N46" i="14687"/>
  <c r="K46" i="14687"/>
  <c r="I46" i="14687"/>
  <c r="G46" i="14687"/>
  <c r="D4" i="14633"/>
  <c r="M4" i="14633"/>
  <c r="F4" i="14633"/>
  <c r="E4" i="14633"/>
  <c r="L4" i="14633"/>
  <c r="I4" i="14633"/>
  <c r="C4" i="14633"/>
  <c r="H4" i="14633"/>
  <c r="N4" i="14633"/>
  <c r="J4" i="14633"/>
  <c r="K4" i="14633"/>
  <c r="G4" i="14633"/>
  <c r="C65" i="14687"/>
  <c r="F65" i="14687"/>
  <c r="J65" i="14687"/>
  <c r="E65" i="14687"/>
  <c r="N65" i="14687"/>
  <c r="L65" i="14687"/>
  <c r="D65" i="14687"/>
  <c r="K65" i="14687"/>
  <c r="M65" i="14687"/>
  <c r="H65" i="14687"/>
  <c r="I65" i="14687"/>
  <c r="G65" i="14687"/>
  <c r="D7" i="14698"/>
  <c r="I7" i="14698"/>
  <c r="F7" i="14698"/>
  <c r="B7" i="14698"/>
  <c r="L7" i="14698"/>
  <c r="C7" i="14698"/>
  <c r="J7" i="14698"/>
  <c r="G7" i="14698"/>
  <c r="H7" i="14698"/>
  <c r="E7" i="14698"/>
  <c r="M7" i="14698"/>
  <c r="K7" i="14698"/>
  <c r="D19" i="14701"/>
  <c r="M19" i="14701"/>
  <c r="G19" i="14701"/>
  <c r="B19" i="14701"/>
  <c r="H19" i="14701"/>
  <c r="C19" i="14701"/>
  <c r="E19" i="14701"/>
  <c r="I19" i="14701"/>
  <c r="L19" i="14701"/>
  <c r="K19" i="14701"/>
  <c r="J19" i="14701"/>
  <c r="F19" i="14701"/>
  <c r="C18" i="14634"/>
  <c r="L18" i="14634"/>
  <c r="I18" i="14634"/>
  <c r="D18" i="14634"/>
  <c r="H18" i="14634"/>
  <c r="E18" i="14634"/>
  <c r="G18" i="14634"/>
  <c r="F18" i="14634"/>
  <c r="J18" i="14634"/>
  <c r="K18" i="14634"/>
  <c r="M18" i="14634"/>
  <c r="N18" i="14634"/>
  <c r="E19" i="14687"/>
  <c r="K19" i="14687"/>
  <c r="G19" i="14687"/>
  <c r="F19" i="14687"/>
  <c r="M19" i="14687"/>
  <c r="D19" i="14687"/>
  <c r="I19" i="14687"/>
  <c r="J19" i="14687"/>
  <c r="H19" i="14687"/>
  <c r="C19" i="14687"/>
  <c r="N19" i="14687"/>
  <c r="L19" i="14687"/>
  <c r="D4" i="14670"/>
  <c r="K4" i="14670"/>
  <c r="E4" i="14670"/>
  <c r="H4" i="14670"/>
  <c r="G4" i="14670"/>
  <c r="C4" i="14670"/>
  <c r="F4" i="14670"/>
  <c r="J4" i="14670"/>
  <c r="I4" i="14670"/>
  <c r="B4" i="14670"/>
  <c r="L4" i="14670"/>
  <c r="M4" i="14670"/>
  <c r="C30" i="14639"/>
  <c r="J30" i="14639"/>
  <c r="L30" i="14639"/>
  <c r="H30" i="14639"/>
  <c r="N30" i="14639"/>
  <c r="E30" i="14639"/>
  <c r="M30" i="14639"/>
  <c r="I30" i="14639"/>
  <c r="G30" i="14639"/>
  <c r="D30" i="14639"/>
  <c r="F30" i="14639"/>
  <c r="K30" i="14639"/>
  <c r="D28" i="14633"/>
  <c r="L28" i="14633"/>
  <c r="G28" i="14633"/>
  <c r="F28" i="14633"/>
  <c r="N28" i="14633"/>
  <c r="I28" i="14633"/>
  <c r="H28" i="14633"/>
  <c r="K28" i="14633"/>
  <c r="E28" i="14633"/>
  <c r="C28" i="14633"/>
  <c r="J28" i="14633"/>
  <c r="M28" i="14633"/>
  <c r="B4" i="14631"/>
  <c r="L4" i="14631"/>
  <c r="E4" i="14631"/>
  <c r="D4" i="14631"/>
  <c r="K4" i="14631"/>
  <c r="H4" i="14631"/>
  <c r="M4" i="14631"/>
  <c r="I4" i="14631"/>
  <c r="J4" i="14631"/>
  <c r="G4" i="14631"/>
  <c r="C4" i="14631"/>
  <c r="F4" i="14631"/>
  <c r="C51" i="14648"/>
  <c r="G51" i="14648"/>
  <c r="K51" i="14648"/>
  <c r="E51" i="14648"/>
  <c r="M51" i="14648"/>
  <c r="F51" i="14648"/>
  <c r="J51" i="14648"/>
  <c r="I51" i="14648"/>
  <c r="H51" i="14648"/>
  <c r="D51" i="14648"/>
  <c r="L51" i="14648"/>
  <c r="N51" i="14648"/>
  <c r="B16" i="14668"/>
  <c r="J16" i="14668"/>
  <c r="H16" i="14668"/>
  <c r="D16" i="14668"/>
  <c r="K16" i="14668"/>
  <c r="I16" i="14668"/>
  <c r="F16" i="14668"/>
  <c r="L16" i="14668"/>
  <c r="E16" i="14668"/>
  <c r="C16" i="14668"/>
  <c r="G16" i="14668"/>
  <c r="M16" i="14668"/>
  <c r="J7" i="14704"/>
  <c r="C7" i="14704"/>
  <c r="I7" i="14704"/>
  <c r="D7" i="14704"/>
  <c r="G7" i="14704"/>
  <c r="L7" i="14704"/>
  <c r="H7" i="14704"/>
  <c r="E7" i="14704"/>
  <c r="F7" i="14704"/>
  <c r="B7" i="14704"/>
  <c r="K7" i="14704"/>
  <c r="M7" i="14704"/>
  <c r="E4" i="7"/>
  <c r="B4" i="7"/>
  <c r="I4" i="7"/>
  <c r="G4" i="7"/>
  <c r="C4" i="7"/>
  <c r="K4" i="7"/>
  <c r="M4" i="7"/>
  <c r="H4" i="7"/>
  <c r="F4" i="7"/>
  <c r="D4" i="7"/>
  <c r="J4" i="7"/>
  <c r="L4" i="7"/>
  <c r="L28" i="14625"/>
  <c r="E28" i="14625"/>
  <c r="J28" i="14625"/>
  <c r="C28" i="14625"/>
  <c r="D28" i="14625"/>
  <c r="H28" i="14625"/>
  <c r="N28" i="14625"/>
  <c r="I28" i="14625"/>
  <c r="G28" i="14625"/>
  <c r="F28" i="14625"/>
  <c r="K28" i="14625"/>
  <c r="M28" i="14625"/>
  <c r="I38" i="14687"/>
  <c r="D38" i="14687"/>
  <c r="L38" i="14687"/>
  <c r="E38" i="14687"/>
  <c r="C38" i="14687"/>
  <c r="H38" i="14687"/>
  <c r="N38" i="14687"/>
  <c r="M38" i="14687"/>
  <c r="K38" i="14687"/>
  <c r="F38" i="14687"/>
  <c r="G38" i="14687"/>
  <c r="J38" i="14687"/>
  <c r="G28" i="14676"/>
  <c r="D28" i="14676"/>
  <c r="J28" i="14676"/>
  <c r="I28" i="14676"/>
  <c r="C28" i="14676"/>
  <c r="L28" i="14676"/>
  <c r="K28" i="14676"/>
  <c r="F28" i="14676"/>
  <c r="H28" i="14676"/>
  <c r="E28" i="14676"/>
  <c r="M28" i="14676"/>
  <c r="N28" i="14676"/>
  <c r="K21" i="14648"/>
  <c r="C21" i="14648"/>
  <c r="I21" i="14648"/>
  <c r="G21" i="14648"/>
  <c r="D21" i="14648"/>
  <c r="N21" i="14648"/>
  <c r="J21" i="14648"/>
  <c r="F21" i="14648"/>
  <c r="M21" i="14648"/>
  <c r="E21" i="14648"/>
  <c r="H21" i="14648"/>
  <c r="L21" i="14648"/>
  <c r="I26" i="14681"/>
  <c r="B26" i="14681"/>
  <c r="G26" i="14681"/>
  <c r="D26" i="14681"/>
  <c r="E26" i="14681"/>
  <c r="K26" i="14681"/>
  <c r="J26" i="14681"/>
  <c r="F26" i="14681"/>
  <c r="L26" i="14681"/>
  <c r="C26" i="14681"/>
  <c r="H26" i="14681"/>
  <c r="M26" i="14681"/>
  <c r="I48" i="14643"/>
  <c r="O8" i="14634"/>
  <c r="O17" i="14677"/>
  <c r="O8" i="14628"/>
  <c r="G31" i="14702"/>
  <c r="B31" i="14702"/>
  <c r="E31" i="14702"/>
  <c r="J31" i="14702"/>
  <c r="F31" i="14702"/>
  <c r="M31" i="14702"/>
  <c r="C31" i="14702"/>
  <c r="I31" i="14702"/>
  <c r="H31" i="14702"/>
  <c r="L31" i="14702"/>
  <c r="D31" i="14702"/>
  <c r="K31" i="14702"/>
  <c r="J18" i="14675"/>
  <c r="D18" i="14675"/>
  <c r="G18" i="14675"/>
  <c r="L18" i="14675"/>
  <c r="I18" i="14675"/>
  <c r="N18" i="14675"/>
  <c r="C18" i="14675"/>
  <c r="K18" i="14675"/>
  <c r="H18" i="14675"/>
  <c r="F18" i="14675"/>
  <c r="E18" i="14675"/>
  <c r="M18" i="14675"/>
  <c r="H19" i="14704"/>
  <c r="C19" i="14704"/>
  <c r="J19" i="14704"/>
  <c r="K19" i="14704"/>
  <c r="G19" i="14704"/>
  <c r="M19" i="14704"/>
  <c r="B19" i="14704"/>
  <c r="I19" i="14704"/>
  <c r="L19" i="14704"/>
  <c r="F19" i="14704"/>
  <c r="D19" i="14704"/>
  <c r="E19" i="14704"/>
  <c r="J5" i="14653"/>
  <c r="E5" i="14653"/>
  <c r="M5" i="14653"/>
  <c r="G5" i="14653"/>
  <c r="H5" i="14653"/>
  <c r="K5" i="14653"/>
  <c r="B5" i="14653"/>
  <c r="F5" i="14653"/>
  <c r="I5" i="14653"/>
  <c r="L5" i="14653"/>
  <c r="C5" i="14653"/>
  <c r="D5" i="14653"/>
  <c r="B4" i="8"/>
  <c r="K4" i="8"/>
  <c r="G4" i="8"/>
  <c r="E4" i="8"/>
  <c r="F4" i="8"/>
  <c r="C4" i="8"/>
  <c r="D4" i="8"/>
  <c r="M4" i="8"/>
  <c r="L4" i="8"/>
  <c r="H4" i="8"/>
  <c r="J4" i="8"/>
  <c r="I4" i="8"/>
  <c r="D95" i="14687"/>
  <c r="L95" i="14687"/>
  <c r="I95" i="14687"/>
  <c r="F95" i="14687"/>
  <c r="G95" i="14687"/>
  <c r="E95" i="14687"/>
  <c r="C95" i="14687"/>
  <c r="N95" i="14687"/>
  <c r="M95" i="14687"/>
  <c r="K95" i="14687"/>
  <c r="J95" i="14687"/>
  <c r="H95" i="14687"/>
  <c r="E4" i="14676"/>
  <c r="M4" i="14676"/>
  <c r="I4" i="14676"/>
  <c r="F4" i="14676"/>
  <c r="N4" i="14676"/>
  <c r="G4" i="14676"/>
  <c r="D4" i="14676"/>
  <c r="H4" i="14676"/>
  <c r="K4" i="14676"/>
  <c r="L4" i="14676"/>
  <c r="J4" i="14676"/>
  <c r="C4" i="14676"/>
  <c r="C76" i="14687"/>
  <c r="J76" i="14687"/>
  <c r="F76" i="14687"/>
  <c r="E76" i="14687"/>
  <c r="K76" i="14687"/>
  <c r="I76" i="14687"/>
  <c r="D76" i="14687"/>
  <c r="G76" i="14687"/>
  <c r="N76" i="14687"/>
  <c r="M76" i="14687"/>
  <c r="L76" i="14687"/>
  <c r="H76" i="14687"/>
  <c r="C45" i="14704"/>
  <c r="L45" i="14704"/>
  <c r="G45" i="14704"/>
  <c r="D45" i="14704"/>
  <c r="I45" i="14704"/>
  <c r="K45" i="14704"/>
  <c r="B45" i="14704"/>
  <c r="J45" i="14704"/>
  <c r="M45" i="14704"/>
  <c r="F45" i="14704"/>
  <c r="H45" i="14704"/>
  <c r="E45" i="14704"/>
  <c r="D18" i="14674"/>
  <c r="L18" i="14674"/>
  <c r="H18" i="14674"/>
  <c r="C18" i="14674"/>
  <c r="K18" i="14674"/>
  <c r="J18" i="14674"/>
  <c r="E18" i="14674"/>
  <c r="I18" i="14674"/>
  <c r="M18" i="14674"/>
  <c r="G18" i="14674"/>
  <c r="N18" i="14674"/>
  <c r="F18" i="14674"/>
  <c r="D44" i="14681"/>
  <c r="L44" i="14681"/>
  <c r="I44" i="14681"/>
  <c r="C44" i="14681"/>
  <c r="G44" i="14681"/>
  <c r="K44" i="14681"/>
  <c r="B44" i="14681"/>
  <c r="J44" i="14681"/>
  <c r="M44" i="14681"/>
  <c r="H44" i="14681"/>
  <c r="F44" i="14681"/>
  <c r="E44" i="14681"/>
  <c r="D58" i="14701"/>
  <c r="G58" i="14701"/>
  <c r="F58" i="14701"/>
  <c r="E58" i="14701"/>
  <c r="M58" i="14701"/>
  <c r="J58" i="14701"/>
  <c r="C58" i="14701"/>
  <c r="K58" i="14701"/>
  <c r="I58" i="14701"/>
  <c r="H58" i="14701"/>
  <c r="L58" i="14701"/>
  <c r="B58" i="14701"/>
  <c r="G28" i="14677"/>
  <c r="N28" i="14677"/>
  <c r="L28" i="14677"/>
  <c r="K28" i="14677"/>
  <c r="H28" i="14677"/>
  <c r="J28" i="14677"/>
  <c r="D28" i="14677"/>
  <c r="C28" i="14677"/>
  <c r="I28" i="14677"/>
  <c r="F28" i="14677"/>
  <c r="M28" i="14677"/>
  <c r="E28" i="14677"/>
  <c r="D6" i="14638"/>
  <c r="J6" i="14638"/>
  <c r="F6" i="14638"/>
  <c r="E6" i="14638"/>
  <c r="M6" i="14638"/>
  <c r="H6" i="14638"/>
  <c r="C6" i="14638"/>
  <c r="I6" i="14638"/>
  <c r="L6" i="14638"/>
  <c r="G6" i="14638"/>
  <c r="K6" i="14638"/>
  <c r="B6" i="14638"/>
  <c r="D18" i="14639"/>
  <c r="L18" i="14639"/>
  <c r="H18" i="14639"/>
  <c r="G18" i="14639"/>
  <c r="N18" i="14639"/>
  <c r="I18" i="14639"/>
  <c r="C18" i="14639"/>
  <c r="J18" i="14639"/>
  <c r="M18" i="14639"/>
  <c r="F18" i="14639"/>
  <c r="K18" i="14639"/>
  <c r="E18" i="14639"/>
  <c r="G34" i="14623"/>
  <c r="B34" i="14623"/>
  <c r="L34" i="14623"/>
  <c r="I34" i="14623"/>
  <c r="E34" i="14623"/>
  <c r="M34" i="14623"/>
  <c r="D34" i="14623"/>
  <c r="H34" i="14623"/>
  <c r="F34" i="14623"/>
  <c r="K34" i="14623"/>
  <c r="C34" i="14623"/>
  <c r="J34" i="14623"/>
  <c r="J4" i="14641"/>
  <c r="E4" i="14641"/>
  <c r="K4" i="14641"/>
  <c r="G4" i="14641"/>
  <c r="F4" i="14641"/>
  <c r="N4" i="14641"/>
  <c r="D4" i="14641"/>
  <c r="M4" i="14641"/>
  <c r="L4" i="14641"/>
  <c r="I4" i="14641"/>
  <c r="C4" i="14641"/>
  <c r="H4" i="14641"/>
  <c r="F6" i="14623"/>
  <c r="C6" i="14623"/>
  <c r="M6" i="14623"/>
  <c r="G6" i="14623"/>
  <c r="E6" i="14623"/>
  <c r="L6" i="14623"/>
  <c r="B6" i="14623"/>
  <c r="H6" i="14623"/>
  <c r="J6" i="14623"/>
  <c r="K6" i="14623"/>
  <c r="D6" i="14623"/>
  <c r="I6" i="14623"/>
  <c r="L7" i="14701"/>
  <c r="F7" i="14701"/>
  <c r="M7" i="14701"/>
  <c r="H7" i="14701"/>
  <c r="G7" i="14701"/>
  <c r="K7" i="14701"/>
  <c r="C7" i="14701"/>
  <c r="E7" i="14701"/>
  <c r="I7" i="14701"/>
  <c r="J7" i="14701"/>
  <c r="D7" i="14701"/>
  <c r="B7" i="14701"/>
  <c r="C52" i="14665"/>
  <c r="L52" i="14665"/>
  <c r="F52" i="14665"/>
  <c r="E52" i="14665"/>
  <c r="H52" i="14665"/>
  <c r="D52" i="14665"/>
  <c r="B52" i="14665"/>
  <c r="M52" i="14665"/>
  <c r="J52" i="14665"/>
  <c r="G52" i="14665"/>
  <c r="K52" i="14665"/>
  <c r="I52" i="14665"/>
  <c r="B6" i="14679"/>
  <c r="I6" i="14679"/>
  <c r="K6" i="14679"/>
  <c r="E6" i="14679"/>
  <c r="F6" i="14679"/>
  <c r="C6" i="14679"/>
  <c r="D6" i="14679"/>
  <c r="J6" i="14679"/>
  <c r="M6" i="14679"/>
  <c r="L6" i="14679"/>
  <c r="H6" i="14679"/>
  <c r="G6" i="14679"/>
  <c r="C4" i="14634"/>
  <c r="I4" i="14634"/>
  <c r="J4" i="14634"/>
  <c r="F4" i="14634"/>
  <c r="L4" i="14634"/>
  <c r="M4" i="14634"/>
  <c r="E4" i="14634"/>
  <c r="G4" i="14634"/>
  <c r="N4" i="14634"/>
  <c r="K4" i="14634"/>
  <c r="H4" i="14634"/>
  <c r="D4" i="14634"/>
  <c r="C19" i="14700"/>
  <c r="G19" i="14700"/>
  <c r="H19" i="14700"/>
  <c r="F19" i="14700"/>
  <c r="M19" i="14700"/>
  <c r="K19" i="14700"/>
  <c r="B19" i="14700"/>
  <c r="L19" i="14700"/>
  <c r="J19" i="14700"/>
  <c r="I19" i="14700"/>
  <c r="E19" i="14700"/>
  <c r="D19" i="14700"/>
  <c r="B4" i="14629"/>
  <c r="I4" i="14629"/>
  <c r="L4" i="14629"/>
  <c r="D4" i="14629"/>
  <c r="K4" i="14629"/>
  <c r="G4" i="14629"/>
  <c r="J4" i="14629"/>
  <c r="C4" i="14629"/>
  <c r="F4" i="14629"/>
  <c r="M4" i="14629"/>
  <c r="H4" i="14629"/>
  <c r="E4" i="14629"/>
  <c r="B45" i="14702"/>
  <c r="H45" i="14702"/>
  <c r="I45" i="14702"/>
  <c r="D45" i="14702"/>
  <c r="L45" i="14702"/>
  <c r="G45" i="14702"/>
  <c r="C45" i="14702"/>
  <c r="J45" i="14702"/>
  <c r="M45" i="14702"/>
  <c r="F45" i="14702"/>
  <c r="K45" i="14702"/>
  <c r="E45" i="14702"/>
  <c r="C58" i="14698"/>
  <c r="F58" i="14698"/>
  <c r="K58" i="14698"/>
  <c r="D58" i="14698"/>
  <c r="M58" i="14698"/>
  <c r="E58" i="14698"/>
  <c r="B58" i="14698"/>
  <c r="L58" i="14698"/>
  <c r="J58" i="14698"/>
  <c r="I58" i="14698"/>
  <c r="G58" i="14698"/>
  <c r="H58" i="14698"/>
  <c r="B4" i="14672"/>
  <c r="G4" i="14672"/>
  <c r="L4" i="14672"/>
  <c r="C4" i="14672"/>
  <c r="M4" i="14672"/>
  <c r="F4" i="14672"/>
  <c r="D4" i="14672"/>
  <c r="E4" i="14672"/>
  <c r="J4" i="14672"/>
  <c r="K4" i="14672"/>
  <c r="H4" i="14672"/>
  <c r="I4" i="14672"/>
  <c r="B35" i="14681"/>
  <c r="K35" i="14681"/>
  <c r="G35" i="14681"/>
  <c r="C35" i="14681"/>
  <c r="I35" i="14681"/>
  <c r="J35" i="14681"/>
  <c r="D35" i="14681"/>
  <c r="H35" i="14681"/>
  <c r="M35" i="14681"/>
  <c r="F35" i="14681"/>
  <c r="L35" i="14681"/>
  <c r="E35" i="14681"/>
  <c r="F4" i="14625"/>
  <c r="N4" i="14625"/>
  <c r="M4" i="14625"/>
  <c r="K4" i="14625"/>
  <c r="H4" i="14625"/>
  <c r="J4" i="14625"/>
  <c r="D4" i="14625"/>
  <c r="E4" i="14625"/>
  <c r="I4" i="14625"/>
  <c r="G4" i="14625"/>
  <c r="L4" i="14625"/>
  <c r="C4" i="14625"/>
  <c r="D4" i="14668"/>
  <c r="L4" i="14668"/>
  <c r="H4" i="14668"/>
  <c r="G4" i="14668"/>
  <c r="M4" i="14668"/>
  <c r="E4" i="14668"/>
  <c r="B4" i="14668"/>
  <c r="F4" i="14668"/>
  <c r="J4" i="14668"/>
  <c r="I4" i="14668"/>
  <c r="K4" i="14668"/>
  <c r="C4" i="14668"/>
  <c r="D16" i="14637"/>
  <c r="K16" i="14637"/>
  <c r="F16" i="14637"/>
  <c r="E16" i="14637"/>
  <c r="M16" i="14637"/>
  <c r="I16" i="14637"/>
  <c r="C16" i="14637"/>
  <c r="H16" i="14637"/>
  <c r="L16" i="14637"/>
  <c r="G16" i="14637"/>
  <c r="J16" i="14637"/>
  <c r="B16" i="14637"/>
  <c r="C8" i="14681"/>
  <c r="L8" i="14681"/>
  <c r="J8" i="14681"/>
  <c r="I8" i="14681"/>
  <c r="K8" i="14681"/>
  <c r="F8" i="14681"/>
  <c r="B8" i="14681"/>
  <c r="G8" i="14681"/>
  <c r="M8" i="14681"/>
  <c r="E8" i="14681"/>
  <c r="H8" i="14681"/>
  <c r="D8" i="14681"/>
  <c r="B34" i="14678"/>
  <c r="K34" i="14678"/>
  <c r="E34" i="14678"/>
  <c r="D34" i="14678"/>
  <c r="J34" i="14678"/>
  <c r="H34" i="14678"/>
  <c r="C34" i="14678"/>
  <c r="F34" i="14678"/>
  <c r="L34" i="14678"/>
  <c r="I34" i="14678"/>
  <c r="M34" i="14678"/>
  <c r="G34" i="14678"/>
  <c r="G5" i="14655"/>
  <c r="L5" i="14655"/>
  <c r="K5" i="14655"/>
  <c r="F5" i="14655"/>
  <c r="M5" i="14655"/>
  <c r="I5" i="14655"/>
  <c r="E5" i="14655"/>
  <c r="O5" i="14655"/>
  <c r="N5" i="14655"/>
  <c r="J5" i="14655"/>
  <c r="P5" i="14655"/>
  <c r="H5" i="14655"/>
  <c r="D30" i="14628"/>
  <c r="L30" i="14628"/>
  <c r="H30" i="14628"/>
  <c r="E30" i="14628"/>
  <c r="K30" i="14628"/>
  <c r="J30" i="14628"/>
  <c r="C30" i="14628"/>
  <c r="I30" i="14628"/>
  <c r="N30" i="14628"/>
  <c r="G30" i="14628"/>
  <c r="M30" i="14628"/>
  <c r="F30" i="14628"/>
  <c r="C84" i="14687"/>
  <c r="J84" i="14687"/>
  <c r="K84" i="14687"/>
  <c r="E84" i="14687"/>
  <c r="L84" i="14687"/>
  <c r="I84" i="14687"/>
  <c r="D84" i="14687"/>
  <c r="F84" i="14687"/>
  <c r="N84" i="14687"/>
  <c r="H84" i="14687"/>
  <c r="M84" i="14687"/>
  <c r="G84" i="14687"/>
  <c r="C99" i="14648"/>
  <c r="H99" i="14648"/>
  <c r="K99" i="14648"/>
  <c r="E99" i="14648"/>
  <c r="M99" i="14648"/>
  <c r="G99" i="14648"/>
  <c r="D99" i="14648"/>
  <c r="L99" i="14648"/>
  <c r="N99" i="14648"/>
  <c r="J99" i="14648"/>
  <c r="I99" i="14648"/>
  <c r="F99" i="14648"/>
  <c r="B31" i="14698"/>
  <c r="I31" i="14698"/>
  <c r="E31" i="14698"/>
  <c r="L31" i="14698"/>
  <c r="H31" i="14698"/>
  <c r="D31" i="14698"/>
  <c r="C31" i="14698"/>
  <c r="G31" i="14698"/>
  <c r="J31" i="14698"/>
  <c r="K31" i="14698"/>
  <c r="F31" i="14698"/>
  <c r="M31" i="14698"/>
  <c r="D45" i="14701"/>
  <c r="H45" i="14701"/>
  <c r="K45" i="14701"/>
  <c r="B45" i="14701"/>
  <c r="I45" i="14701"/>
  <c r="C45" i="14701"/>
  <c r="E45" i="14701"/>
  <c r="L45" i="14701"/>
  <c r="F45" i="14701"/>
  <c r="J45" i="14701"/>
  <c r="M45" i="14701"/>
  <c r="G45" i="14701"/>
  <c r="B45" i="14703"/>
  <c r="J45" i="14703"/>
  <c r="F45" i="14703"/>
  <c r="C45" i="14703"/>
  <c r="L45" i="14703"/>
  <c r="D45" i="14703"/>
  <c r="G45" i="14703"/>
  <c r="H45" i="14703"/>
  <c r="I45" i="14703"/>
  <c r="E45" i="14703"/>
  <c r="M45" i="14703"/>
  <c r="K45" i="14703"/>
  <c r="H66" i="14647"/>
  <c r="I66" i="14647"/>
  <c r="G66" i="14647"/>
  <c r="D66" i="14647"/>
  <c r="C66" i="14647"/>
  <c r="E66" i="14647"/>
  <c r="F66" i="14647"/>
  <c r="B4" i="14669"/>
  <c r="J4" i="14669"/>
  <c r="G4" i="14669"/>
  <c r="F4" i="14669"/>
  <c r="K4" i="14669"/>
  <c r="D4" i="14669"/>
  <c r="I4" i="14669"/>
  <c r="H4" i="14669"/>
  <c r="E4" i="14669"/>
  <c r="C4" i="14669"/>
  <c r="L4" i="14669"/>
  <c r="M4" i="14669"/>
  <c r="B19" i="14702"/>
  <c r="L19" i="14702"/>
  <c r="H19" i="14702"/>
  <c r="G19" i="14702"/>
  <c r="F19" i="14702"/>
  <c r="C19" i="14702"/>
  <c r="E19" i="14702"/>
  <c r="J19" i="14702"/>
  <c r="I19" i="14702"/>
  <c r="D19" i="14702"/>
  <c r="M19" i="14702"/>
  <c r="K19" i="14702"/>
  <c r="D16" i="14630"/>
  <c r="I16" i="14630"/>
  <c r="F16" i="14630"/>
  <c r="E16" i="14630"/>
  <c r="J16" i="14630"/>
  <c r="C16" i="14630"/>
  <c r="H16" i="14630"/>
  <c r="G16" i="14630"/>
  <c r="L16" i="14630"/>
  <c r="B16" i="14630"/>
  <c r="M16" i="14630"/>
  <c r="K16" i="14630"/>
  <c r="B31" i="14669"/>
  <c r="F31" i="14669"/>
  <c r="D31" i="14669"/>
  <c r="H31" i="14669"/>
  <c r="M31" i="14669"/>
  <c r="L31" i="14669"/>
  <c r="J31" i="14669"/>
  <c r="G31" i="14669"/>
  <c r="C31" i="14669"/>
  <c r="I31" i="14669"/>
  <c r="E31" i="14669"/>
  <c r="K31" i="14669"/>
  <c r="D4" i="14675"/>
  <c r="J4" i="14675"/>
  <c r="G4" i="14675"/>
  <c r="F4" i="14675"/>
  <c r="L4" i="14675"/>
  <c r="M4" i="14675"/>
  <c r="K4" i="14675"/>
  <c r="I4" i="14675"/>
  <c r="E4" i="14675"/>
  <c r="C4" i="14675"/>
  <c r="H4" i="14675"/>
  <c r="N4" i="14675"/>
  <c r="B4" i="14636"/>
  <c r="L4" i="14636"/>
  <c r="H4" i="14636"/>
  <c r="G4" i="14636"/>
  <c r="M4" i="14636"/>
  <c r="D4" i="14636"/>
  <c r="J4" i="14636"/>
  <c r="I4" i="14636"/>
  <c r="E4" i="14636"/>
  <c r="C4" i="14636"/>
  <c r="F4" i="14636"/>
  <c r="K4" i="14636"/>
  <c r="C4" i="14677"/>
  <c r="I4" i="14677"/>
  <c r="J4" i="14677"/>
  <c r="H4" i="14677"/>
  <c r="N4" i="14677"/>
  <c r="M4" i="14677"/>
  <c r="K4" i="14677"/>
  <c r="G4" i="14677"/>
  <c r="F4" i="14677"/>
  <c r="D4" i="14677"/>
  <c r="E4" i="14677"/>
  <c r="L4" i="14677"/>
  <c r="C32" i="14672"/>
  <c r="M32" i="14672"/>
  <c r="K32" i="14672"/>
  <c r="I32" i="14672"/>
  <c r="L32" i="14672"/>
  <c r="F32" i="14672"/>
  <c r="E32" i="14672"/>
  <c r="H32" i="14672"/>
  <c r="D32" i="14672"/>
  <c r="B32" i="14672"/>
  <c r="G32" i="14672"/>
  <c r="J32" i="14672"/>
  <c r="B19" i="14703"/>
  <c r="I19" i="14703"/>
  <c r="E19" i="14703"/>
  <c r="D19" i="14703"/>
  <c r="K19" i="14703"/>
  <c r="H19" i="14703"/>
  <c r="L19" i="14703"/>
  <c r="J19" i="14703"/>
  <c r="F19" i="14703"/>
  <c r="C19" i="14703"/>
  <c r="G19" i="14703"/>
  <c r="M19" i="14703"/>
  <c r="B4" i="14624"/>
  <c r="G4" i="14624"/>
  <c r="H4" i="14624"/>
  <c r="D4" i="14624"/>
  <c r="M4" i="14624"/>
  <c r="K4" i="14624"/>
  <c r="F4" i="14624"/>
  <c r="J4" i="14624"/>
  <c r="E4" i="14624"/>
  <c r="C4" i="14624"/>
  <c r="I4" i="14624"/>
  <c r="L4" i="14624"/>
  <c r="D94" i="14648"/>
  <c r="M94" i="14648"/>
  <c r="H94" i="14648"/>
  <c r="E94" i="14648"/>
  <c r="J94" i="14648"/>
  <c r="L94" i="14648"/>
  <c r="G94" i="14648"/>
  <c r="I94" i="14648"/>
  <c r="F94" i="14648"/>
  <c r="C94" i="14648"/>
  <c r="K94" i="14648"/>
  <c r="N94" i="14648"/>
  <c r="B58" i="14700"/>
  <c r="G58" i="14700"/>
  <c r="I58" i="14700"/>
  <c r="E58" i="14700"/>
  <c r="M58" i="14700"/>
  <c r="D58" i="14700"/>
  <c r="H58" i="14700"/>
  <c r="J58" i="14700"/>
  <c r="F58" i="14700"/>
  <c r="C58" i="14700"/>
  <c r="K58" i="14700"/>
  <c r="L58" i="14700"/>
  <c r="G44" i="14653"/>
  <c r="B44" i="14653"/>
  <c r="K44" i="14653"/>
  <c r="I44" i="14653"/>
  <c r="F44" i="14653"/>
  <c r="M44" i="14653"/>
  <c r="E44" i="14653"/>
  <c r="D44" i="14653"/>
  <c r="J44" i="14653"/>
  <c r="C44" i="14653"/>
  <c r="H44" i="14653"/>
  <c r="L44" i="14653"/>
  <c r="J57" i="14687"/>
  <c r="D57" i="14687"/>
  <c r="H57" i="14687"/>
  <c r="M57" i="14687"/>
  <c r="I57" i="14687"/>
  <c r="N57" i="14687"/>
  <c r="G57" i="14687"/>
  <c r="E57" i="14687"/>
  <c r="F57" i="14687"/>
  <c r="C57" i="14687"/>
  <c r="L57" i="14687"/>
  <c r="K57" i="14687"/>
  <c r="G31" i="14630"/>
  <c r="C31" i="14630"/>
  <c r="J31" i="14630"/>
  <c r="E31" i="14630"/>
  <c r="F31" i="14630"/>
  <c r="K31" i="14630"/>
  <c r="I31" i="14630"/>
  <c r="D31" i="14630"/>
  <c r="H31" i="14630"/>
  <c r="B31" i="14630"/>
  <c r="L31" i="14630"/>
  <c r="M31" i="14630"/>
  <c r="G8" i="14687"/>
  <c r="D8" i="14687"/>
  <c r="L8" i="14687"/>
  <c r="I8" i="14687"/>
  <c r="F8" i="14687"/>
  <c r="K8" i="14687"/>
  <c r="J8" i="14687"/>
  <c r="E8" i="14687"/>
  <c r="M8" i="14687"/>
  <c r="C8" i="14687"/>
  <c r="H8" i="14687"/>
  <c r="N8" i="14687"/>
  <c r="G31" i="14668"/>
  <c r="B31" i="14668"/>
  <c r="K31" i="14668"/>
  <c r="I31" i="14668"/>
  <c r="D31" i="14668"/>
  <c r="M31" i="14668"/>
  <c r="L31" i="14668"/>
  <c r="E31" i="14668"/>
  <c r="H31" i="14668"/>
  <c r="C31" i="14668"/>
  <c r="F31" i="14668"/>
  <c r="J31" i="14668"/>
  <c r="F4" i="14628"/>
  <c r="E4" i="14628"/>
  <c r="L4" i="14628"/>
  <c r="C4" i="14628"/>
  <c r="D4" i="14628"/>
  <c r="I4" i="14628"/>
  <c r="N4" i="14628"/>
  <c r="K4" i="14628"/>
  <c r="J4" i="14628"/>
  <c r="H4" i="14628"/>
  <c r="M4" i="14628"/>
  <c r="G4" i="14628"/>
  <c r="F45" i="14700"/>
  <c r="C45" i="14700"/>
  <c r="M45" i="14700"/>
  <c r="B45" i="14700"/>
  <c r="D45" i="14700"/>
  <c r="H45" i="14700"/>
  <c r="K45" i="14700"/>
  <c r="J45" i="14700"/>
  <c r="L45" i="14700"/>
  <c r="G45" i="14700"/>
  <c r="E45" i="14700"/>
  <c r="I45" i="14700"/>
  <c r="J7" i="14700"/>
  <c r="B7" i="14700"/>
  <c r="I7" i="14700"/>
  <c r="H7" i="14700"/>
  <c r="D7" i="14700"/>
  <c r="L7" i="14700"/>
  <c r="K7" i="14700"/>
  <c r="F7" i="14700"/>
  <c r="E7" i="14700"/>
  <c r="C7" i="14700"/>
  <c r="G7" i="14700"/>
  <c r="M7" i="14700"/>
  <c r="D16" i="7"/>
  <c r="B16" i="7"/>
  <c r="H16" i="7"/>
  <c r="G16" i="7"/>
  <c r="E16" i="7"/>
  <c r="M16" i="7"/>
  <c r="K16" i="7"/>
  <c r="I16" i="7"/>
  <c r="F16" i="7"/>
  <c r="C16" i="7"/>
  <c r="J16" i="7"/>
  <c r="L16" i="7"/>
  <c r="J4" i="14639"/>
  <c r="D4" i="14639"/>
  <c r="M4" i="14639"/>
  <c r="L4" i="14639"/>
  <c r="E4" i="14639"/>
  <c r="I4" i="14639"/>
  <c r="G4" i="14639"/>
  <c r="F4" i="14639"/>
  <c r="K4" i="14639"/>
  <c r="C4" i="14639"/>
  <c r="H4" i="14639"/>
  <c r="N4" i="14639"/>
  <c r="E66" i="14648"/>
  <c r="K66" i="14648"/>
  <c r="G66" i="14648"/>
  <c r="F66" i="14648"/>
  <c r="N66" i="14648"/>
  <c r="L66" i="14648"/>
  <c r="C66" i="14648"/>
  <c r="H66" i="14648"/>
  <c r="M66" i="14648"/>
  <c r="I66" i="14648"/>
  <c r="J66" i="14648"/>
  <c r="D66" i="14648"/>
  <c r="D4" i="14674"/>
  <c r="L4" i="14674"/>
  <c r="K4" i="14674"/>
  <c r="J4" i="14674"/>
  <c r="N4" i="14674"/>
  <c r="G4" i="14674"/>
  <c r="C4" i="14674"/>
  <c r="H4" i="14674"/>
  <c r="M4" i="14674"/>
  <c r="F4" i="14674"/>
  <c r="I4" i="14674"/>
  <c r="E4" i="14674"/>
  <c r="C72" i="14643"/>
  <c r="C70" i="14643"/>
  <c r="C71" i="14643"/>
  <c r="C69" i="14643"/>
  <c r="C67" i="14643"/>
  <c r="C68" i="14643"/>
  <c r="C73" i="14643"/>
  <c r="C66" i="14643"/>
  <c r="E29" i="14707"/>
  <c r="E27" i="14707"/>
  <c r="E28" i="14707"/>
  <c r="E30" i="14707"/>
  <c r="E26" i="14707"/>
  <c r="E31" i="14707"/>
  <c r="E25" i="14707"/>
  <c r="E24" i="14707"/>
  <c r="O17" i="14633"/>
  <c r="C59" i="14645"/>
  <c r="A61" i="14645" s="1"/>
  <c r="A7" i="14645"/>
  <c r="G44" i="14703"/>
  <c r="G18" i="14703"/>
  <c r="G57" i="14703"/>
  <c r="C67" i="14690"/>
  <c r="D56" i="14690"/>
  <c r="D30" i="14690"/>
  <c r="I33" i="14652" a="1"/>
  <c r="J25" i="14668"/>
  <c r="J36" i="14681" s="1"/>
  <c r="G25" i="14668"/>
  <c r="G36" i="14681" s="1"/>
  <c r="L25" i="14668"/>
  <c r="L36" i="14681" s="1"/>
  <c r="K25" i="14668"/>
  <c r="K36" i="14681" s="1"/>
  <c r="N22" i="14668"/>
  <c r="D25" i="14668"/>
  <c r="D36" i="14681" s="1"/>
  <c r="N19" i="14668"/>
  <c r="N20" i="14668"/>
  <c r="C25" i="14668"/>
  <c r="C36" i="14681" s="1"/>
  <c r="M25" i="14668"/>
  <c r="M36" i="14681" s="1"/>
  <c r="E25" i="14668"/>
  <c r="E36" i="14681" s="1"/>
  <c r="O33" i="14648"/>
  <c r="H22" i="14638" a="1"/>
  <c r="H22" i="14638" s="1"/>
  <c r="J24" i="14638" a="1"/>
  <c r="J24" i="14638" s="1"/>
  <c r="G21" i="14638" a="1"/>
  <c r="G21" i="14638" s="1"/>
  <c r="L26" i="14638" a="1"/>
  <c r="L26" i="14638" s="1"/>
  <c r="K25" i="14638" a="1"/>
  <c r="K25" i="14638" s="1"/>
  <c r="F15" i="14638"/>
  <c r="I23" i="14638" a="1"/>
  <c r="I23" i="14638" s="1"/>
  <c r="F20" i="14638" a="1"/>
  <c r="F20" i="14638" s="1"/>
  <c r="N13" i="14638"/>
  <c r="N23" i="14638" a="1"/>
  <c r="N23" i="14638" s="1"/>
  <c r="M22" i="14638" a="1"/>
  <c r="M22" i="14638" s="1"/>
  <c r="Q26" i="14638" a="1"/>
  <c r="Q26" i="14638" s="1"/>
  <c r="K20" i="14638" a="1"/>
  <c r="K20" i="14638" s="1"/>
  <c r="O24" i="14638" a="1"/>
  <c r="O24" i="14638" s="1"/>
  <c r="L21" i="14638" a="1"/>
  <c r="L21" i="14638" s="1"/>
  <c r="P25" i="14638" a="1"/>
  <c r="P25" i="14638" s="1"/>
  <c r="K15" i="14638"/>
  <c r="N10" i="14638"/>
  <c r="H20" i="14638" a="1"/>
  <c r="H20" i="14638" s="1"/>
  <c r="I21" i="14638" a="1"/>
  <c r="I21" i="14638" s="1"/>
  <c r="K23" i="14638" a="1"/>
  <c r="K23" i="14638" s="1"/>
  <c r="H15" i="14638"/>
  <c r="M25" i="14638" a="1"/>
  <c r="M25" i="14638" s="1"/>
  <c r="L24" i="14638" a="1"/>
  <c r="L24" i="14638" s="1"/>
  <c r="J22" i="14638" a="1"/>
  <c r="J22" i="14638" s="1"/>
  <c r="N26" i="14638" a="1"/>
  <c r="N26" i="14638" s="1"/>
  <c r="N14" i="14638"/>
  <c r="I22" i="14638" a="1"/>
  <c r="I22" i="14638" s="1"/>
  <c r="M26" i="14638" a="1"/>
  <c r="M26" i="14638" s="1"/>
  <c r="H21" i="14638" a="1"/>
  <c r="H21" i="14638" s="1"/>
  <c r="L25" i="14638" a="1"/>
  <c r="L25" i="14638" s="1"/>
  <c r="K24" i="14638" a="1"/>
  <c r="K24" i="14638" s="1"/>
  <c r="G20" i="14638" a="1"/>
  <c r="G20" i="14638" s="1"/>
  <c r="J23" i="14638" a="1"/>
  <c r="J23" i="14638" s="1"/>
  <c r="G15" i="14638"/>
  <c r="K26" i="14638" a="1"/>
  <c r="K26" i="14638" s="1"/>
  <c r="G22" i="14638" a="1"/>
  <c r="G22" i="14638" s="1"/>
  <c r="E20" i="14638" a="1"/>
  <c r="E20" i="14638" s="1"/>
  <c r="J25" i="14638" a="1"/>
  <c r="J25" i="14638" s="1"/>
  <c r="I24" i="14638" a="1"/>
  <c r="I24" i="14638" s="1"/>
  <c r="H23" i="14638" a="1"/>
  <c r="H23" i="14638" s="1"/>
  <c r="F21" i="14638" a="1"/>
  <c r="F21" i="14638" s="1"/>
  <c r="E15" i="14638"/>
  <c r="O23" i="14638" a="1"/>
  <c r="O23" i="14638" s="1"/>
  <c r="N22" i="14638" a="1"/>
  <c r="N22" i="14638" s="1"/>
  <c r="R26" i="14638" a="1"/>
  <c r="R26" i="14638" s="1"/>
  <c r="Q25" i="14638" a="1"/>
  <c r="Q25" i="14638" s="1"/>
  <c r="L20" i="14638" a="1"/>
  <c r="L20" i="14638" s="1"/>
  <c r="M21" i="14638" a="1"/>
  <c r="M21" i="14638" s="1"/>
  <c r="L15" i="14638"/>
  <c r="P24" i="14638" a="1"/>
  <c r="P24" i="14638" s="1"/>
  <c r="O37" i="14639"/>
  <c r="O36" i="14639"/>
  <c r="O33" i="14639"/>
  <c r="I39" i="14639"/>
  <c r="I19" i="14639" a="1"/>
  <c r="I19" i="14639" s="1"/>
  <c r="O38" i="14639"/>
  <c r="O35" i="14639"/>
  <c r="G19" i="14639" a="1"/>
  <c r="G19" i="14639" s="1"/>
  <c r="G39" i="14639"/>
  <c r="O31" i="14639"/>
  <c r="C39" i="14639"/>
  <c r="C19" i="14639" a="1"/>
  <c r="C19" i="14639" s="1"/>
  <c r="O17" i="14676"/>
  <c r="E19" i="4129" l="1"/>
  <c r="A85" i="14647"/>
  <c r="A41" i="14673"/>
  <c r="A53" i="14673"/>
  <c r="A42" i="14673"/>
  <c r="A54" i="14673"/>
  <c r="A35" i="14673"/>
  <c r="A43" i="14673"/>
  <c r="A44" i="14673"/>
  <c r="A45" i="14673"/>
  <c r="A33" i="14673"/>
  <c r="A34" i="14673"/>
  <c r="A47" i="14673"/>
  <c r="A46" i="14673"/>
  <c r="A48" i="14673"/>
  <c r="A36" i="14673"/>
  <c r="A49" i="14673"/>
  <c r="A37" i="14673"/>
  <c r="A50" i="14673"/>
  <c r="A51" i="14673"/>
  <c r="A40" i="14673"/>
  <c r="A52" i="14673"/>
  <c r="A39" i="14673"/>
  <c r="A37" i="14636"/>
  <c r="A50" i="14636"/>
  <c r="A39" i="14636"/>
  <c r="A51" i="14636"/>
  <c r="A40" i="14636"/>
  <c r="A52" i="14636"/>
  <c r="A41" i="14636"/>
  <c r="A53" i="14636"/>
  <c r="A43" i="14636"/>
  <c r="A44" i="14636"/>
  <c r="A42" i="14636"/>
  <c r="A54" i="14636"/>
  <c r="A45" i="14636"/>
  <c r="A33" i="14636"/>
  <c r="A34" i="14636"/>
  <c r="A47" i="14636"/>
  <c r="A35" i="14636"/>
  <c r="A49" i="14636"/>
  <c r="A46" i="14636"/>
  <c r="A48" i="14636"/>
  <c r="A36" i="14636"/>
  <c r="A33" i="14624"/>
  <c r="A54" i="14624"/>
  <c r="A34" i="14624"/>
  <c r="A36" i="14624"/>
  <c r="A42" i="14624"/>
  <c r="A40" i="14624"/>
  <c r="A46" i="14624"/>
  <c r="A48" i="14624"/>
  <c r="A52" i="14624"/>
  <c r="A44" i="14624"/>
  <c r="A50" i="14624"/>
  <c r="A43" i="14624"/>
  <c r="A41" i="14624"/>
  <c r="A37" i="14624"/>
  <c r="A39" i="14624"/>
  <c r="A53" i="14624"/>
  <c r="A45" i="14624"/>
  <c r="A51" i="14624"/>
  <c r="A49" i="14624"/>
  <c r="A47" i="14624"/>
  <c r="A35" i="14624"/>
  <c r="A33" i="14672"/>
  <c r="A48" i="14672"/>
  <c r="A50" i="14672"/>
  <c r="A34" i="14672"/>
  <c r="A52" i="14672"/>
  <c r="A54" i="14672"/>
  <c r="A40" i="14672"/>
  <c r="A36" i="14672"/>
  <c r="A42" i="14672"/>
  <c r="A44" i="14672"/>
  <c r="A46" i="14672"/>
  <c r="A39" i="14672"/>
  <c r="A37" i="14672"/>
  <c r="A35" i="14672"/>
  <c r="A53" i="14672"/>
  <c r="A47" i="14672"/>
  <c r="A51" i="14672"/>
  <c r="A49" i="14672"/>
  <c r="A41" i="14672"/>
  <c r="A45" i="14672"/>
  <c r="A43" i="14672"/>
  <c r="A33" i="14629"/>
  <c r="A42" i="14629"/>
  <c r="A44" i="14629"/>
  <c r="A54" i="14629"/>
  <c r="A46" i="14629"/>
  <c r="A48" i="14629"/>
  <c r="A50" i="14629"/>
  <c r="A52" i="14629"/>
  <c r="A34" i="14629"/>
  <c r="A40" i="14629"/>
  <c r="A36" i="14629"/>
  <c r="A53" i="14629"/>
  <c r="A49" i="14629"/>
  <c r="A47" i="14629"/>
  <c r="A43" i="14629"/>
  <c r="A41" i="14629"/>
  <c r="A37" i="14629"/>
  <c r="A45" i="14629"/>
  <c r="A35" i="14629"/>
  <c r="A39" i="14629"/>
  <c r="A51" i="14629"/>
  <c r="A29" i="14682"/>
  <c r="A40" i="14682"/>
  <c r="A35" i="14682"/>
  <c r="A38" i="14682"/>
  <c r="A33" i="14682"/>
  <c r="A36" i="14682"/>
  <c r="A31" i="14682"/>
  <c r="A32" i="14682"/>
  <c r="A30" i="14682"/>
  <c r="A49" i="14682"/>
  <c r="A47" i="14682"/>
  <c r="A43" i="14682"/>
  <c r="A50" i="14682"/>
  <c r="A45" i="14682"/>
  <c r="A48" i="14682"/>
  <c r="A46" i="14682"/>
  <c r="A41" i="14682"/>
  <c r="A44" i="14682"/>
  <c r="A39" i="14682"/>
  <c r="A42" i="14682"/>
  <c r="A37" i="14682"/>
  <c r="C22" i="11"/>
  <c r="C16" i="11" s="1"/>
  <c r="J6" i="14659"/>
  <c r="J30" i="14659" s="1"/>
  <c r="Q18" i="14638"/>
  <c r="A36" i="14647"/>
  <c r="N18" i="14653"/>
  <c r="K21" i="14625"/>
  <c r="G24" i="14626"/>
  <c r="G21" i="14626" s="1"/>
  <c r="G16" i="14626" s="1"/>
  <c r="D40" i="14667"/>
  <c r="D37" i="14667" s="1"/>
  <c r="H21" i="14625"/>
  <c r="J21" i="14625"/>
  <c r="D29" i="14706"/>
  <c r="D26" i="14706" s="1"/>
  <c r="D21" i="14625"/>
  <c r="M21" i="14625"/>
  <c r="E21" i="14625"/>
  <c r="F21" i="14625"/>
  <c r="C21" i="14625"/>
  <c r="I21" i="14625"/>
  <c r="I11" i="14622"/>
  <c r="B13" i="14706"/>
  <c r="B51" i="14706" s="1"/>
  <c r="G26" i="14622"/>
  <c r="B15" i="14667"/>
  <c r="B50" i="14667" s="1"/>
  <c r="C50" i="14667" s="1"/>
  <c r="N21" i="14625"/>
  <c r="D26" i="11"/>
  <c r="L21" i="14625"/>
  <c r="N45" i="14692"/>
  <c r="O62" i="14648"/>
  <c r="N29" i="14692"/>
  <c r="O77" i="14648"/>
  <c r="D34" i="14706"/>
  <c r="F35" i="14706"/>
  <c r="N22" i="14692"/>
  <c r="D32" i="14667"/>
  <c r="F33" i="14667"/>
  <c r="N61" i="14692"/>
  <c r="N53" i="14692"/>
  <c r="O32" i="14648"/>
  <c r="N37" i="14692"/>
  <c r="O47" i="14648"/>
  <c r="O17" i="14648"/>
  <c r="V178" i="14704"/>
  <c r="W178" i="14704"/>
  <c r="X178" i="14704"/>
  <c r="V196" i="14704"/>
  <c r="X196" i="14704"/>
  <c r="R178" i="14704"/>
  <c r="S178" i="14704"/>
  <c r="V124" i="14704"/>
  <c r="N124" i="14704"/>
  <c r="U124" i="14704"/>
  <c r="W124" i="14704"/>
  <c r="P124" i="14704"/>
  <c r="Y85" i="14698"/>
  <c r="O85" i="14698"/>
  <c r="W232" i="14704"/>
  <c r="P85" i="14698"/>
  <c r="W85" i="14698"/>
  <c r="T178" i="14704"/>
  <c r="W196" i="14704"/>
  <c r="P229" i="14698"/>
  <c r="P231" i="14698"/>
  <c r="P230" i="14698"/>
  <c r="U178" i="14704"/>
  <c r="N178" i="14704"/>
  <c r="O178" i="14704"/>
  <c r="O176" i="14702"/>
  <c r="C178" i="14704"/>
  <c r="F178" i="14704"/>
  <c r="R173" i="14702" a="1"/>
  <c r="T189" i="14702" a="1"/>
  <c r="H196" i="14704"/>
  <c r="G196" i="14704"/>
  <c r="S190" i="14702" a="1"/>
  <c r="J196" i="14704"/>
  <c r="V187" i="14702" a="1"/>
  <c r="T196" i="14704"/>
  <c r="P196" i="14704"/>
  <c r="O196" i="14704"/>
  <c r="R196" i="14704"/>
  <c r="S196" i="14704"/>
  <c r="N195" i="14702"/>
  <c r="B196" i="14704"/>
  <c r="X185" i="14702" a="1"/>
  <c r="L196" i="14704"/>
  <c r="H250" i="14704"/>
  <c r="T243" i="14702" a="1"/>
  <c r="Y238" i="14702" a="1"/>
  <c r="M250" i="14704"/>
  <c r="S244" i="14702" a="1"/>
  <c r="G250" i="14704"/>
  <c r="W141" i="14698"/>
  <c r="W134" i="14698"/>
  <c r="W133" i="14698"/>
  <c r="W140" i="14698"/>
  <c r="W138" i="14698"/>
  <c r="W135" i="14698"/>
  <c r="W137" i="14698"/>
  <c r="W136" i="14698"/>
  <c r="W139" i="14698"/>
  <c r="W132" i="14698"/>
  <c r="V187" i="14698"/>
  <c r="V194" i="14698"/>
  <c r="V188" i="14698"/>
  <c r="V193" i="14698"/>
  <c r="V195" i="14698"/>
  <c r="V192" i="14698"/>
  <c r="V191" i="14698"/>
  <c r="V189" i="14698"/>
  <c r="V190" i="14698"/>
  <c r="P121" i="14698"/>
  <c r="P123" i="14698"/>
  <c r="P122" i="14698"/>
  <c r="T120" i="14698"/>
  <c r="T118" i="14698"/>
  <c r="T123" i="14698"/>
  <c r="T117" i="14698"/>
  <c r="T121" i="14698"/>
  <c r="T122" i="14698"/>
  <c r="T119" i="14698"/>
  <c r="B55" i="14700"/>
  <c r="Q121" i="14698"/>
  <c r="Q122" i="14698"/>
  <c r="Q120" i="14698"/>
  <c r="Q123" i="14698"/>
  <c r="N9" i="14640"/>
  <c r="X154" i="14698"/>
  <c r="X157" i="14698"/>
  <c r="X159" i="14698"/>
  <c r="X150" i="14698"/>
  <c r="X156" i="14698"/>
  <c r="X158" i="14698"/>
  <c r="X155" i="14698"/>
  <c r="X153" i="14698"/>
  <c r="X151" i="14698"/>
  <c r="X149" i="14698"/>
  <c r="X152" i="14698"/>
  <c r="V82" i="14700"/>
  <c r="V78" i="14700"/>
  <c r="V76" i="14700"/>
  <c r="V81" i="14700"/>
  <c r="V79" i="14700"/>
  <c r="V84" i="14700"/>
  <c r="V77" i="14700"/>
  <c r="V83" i="14700"/>
  <c r="V80" i="14700"/>
  <c r="F9" i="14670"/>
  <c r="C9" i="14670"/>
  <c r="D9" i="14670"/>
  <c r="L9" i="14670"/>
  <c r="G9" i="14670"/>
  <c r="I9" i="14670"/>
  <c r="K9" i="14670"/>
  <c r="H9" i="14670"/>
  <c r="M9" i="14670"/>
  <c r="B9" i="14670"/>
  <c r="J9" i="14670"/>
  <c r="E9" i="14670"/>
  <c r="U77" i="14700"/>
  <c r="U82" i="14700"/>
  <c r="U78" i="14700"/>
  <c r="U79" i="14700"/>
  <c r="U83" i="14700"/>
  <c r="U84" i="14700"/>
  <c r="U80" i="14700"/>
  <c r="U81" i="14700"/>
  <c r="Y112" i="14700" a="1"/>
  <c r="M124" i="14701"/>
  <c r="Y78" i="14700"/>
  <c r="Y80" i="14700"/>
  <c r="Y75" i="14700"/>
  <c r="Y79" i="14700"/>
  <c r="Y81" i="14700"/>
  <c r="Y76" i="14700"/>
  <c r="Y73" i="14700"/>
  <c r="Y74" i="14700"/>
  <c r="Y83" i="14700"/>
  <c r="Y84" i="14700"/>
  <c r="Y82" i="14700"/>
  <c r="Y77" i="14700"/>
  <c r="O84" i="14700"/>
  <c r="O83" i="14700"/>
  <c r="K124" i="14701"/>
  <c r="W114" i="14700" a="1"/>
  <c r="M214" i="14701"/>
  <c r="Y202" i="14700" a="1"/>
  <c r="J214" i="14701"/>
  <c r="V205" i="14700" a="1"/>
  <c r="E214" i="14701"/>
  <c r="Q210" i="14700" a="1"/>
  <c r="N213" i="14700"/>
  <c r="N214" i="14700" s="1"/>
  <c r="B214" i="14701"/>
  <c r="U134" i="14700" a="1"/>
  <c r="I142" i="14701"/>
  <c r="Y130" i="14700" a="1"/>
  <c r="M142" i="14701"/>
  <c r="X211" i="14698"/>
  <c r="X213" i="14698"/>
  <c r="X205" i="14698"/>
  <c r="X203" i="14698"/>
  <c r="X209" i="14698"/>
  <c r="X207" i="14698"/>
  <c r="X210" i="14698"/>
  <c r="X208" i="14698"/>
  <c r="X206" i="14698"/>
  <c r="X212" i="14698"/>
  <c r="X204" i="14698"/>
  <c r="S227" i="14698"/>
  <c r="S228" i="14698"/>
  <c r="S229" i="14698"/>
  <c r="S231" i="14698"/>
  <c r="S230" i="14698"/>
  <c r="S226" i="14698"/>
  <c r="X167" i="14698"/>
  <c r="X176" i="14698"/>
  <c r="X177" i="14698"/>
  <c r="X173" i="14698"/>
  <c r="X174" i="14698"/>
  <c r="X170" i="14698"/>
  <c r="X172" i="14698"/>
  <c r="X171" i="14698"/>
  <c r="X175" i="14698"/>
  <c r="X169" i="14698"/>
  <c r="X168" i="14698"/>
  <c r="P176" i="14698"/>
  <c r="P177" i="14698"/>
  <c r="P175" i="14698"/>
  <c r="X124" i="14704"/>
  <c r="R124" i="14704"/>
  <c r="T124" i="14704"/>
  <c r="S124" i="14704"/>
  <c r="Q124" i="14704"/>
  <c r="O124" i="14704"/>
  <c r="M124" i="14704"/>
  <c r="Y112" i="14702" a="1"/>
  <c r="S80" i="14702"/>
  <c r="S82" i="14702"/>
  <c r="S83" i="14702"/>
  <c r="S84" i="14702"/>
  <c r="S79" i="14702"/>
  <c r="S81" i="14702"/>
  <c r="H124" i="14704"/>
  <c r="T117" i="14702" a="1"/>
  <c r="L124" i="14704"/>
  <c r="X113" i="14702" a="1"/>
  <c r="S118" i="14702" a="1"/>
  <c r="G124" i="14704"/>
  <c r="O84" i="14702"/>
  <c r="O83" i="14702"/>
  <c r="N99" i="14704" a="1"/>
  <c r="N99" i="14704" s="1"/>
  <c r="L101" i="14704" a="1"/>
  <c r="L101" i="14704" s="1"/>
  <c r="J40" i="14704"/>
  <c r="S94" i="14704" a="1"/>
  <c r="S94" i="14704" s="1"/>
  <c r="R95" i="14704" a="1"/>
  <c r="R95" i="14704" s="1"/>
  <c r="Q96" i="14704" a="1"/>
  <c r="Q96" i="14704" s="1"/>
  <c r="U92" i="14704" a="1"/>
  <c r="U92" i="14704" s="1"/>
  <c r="O98" i="14704" a="1"/>
  <c r="O98" i="14704" s="1"/>
  <c r="T93" i="14704" a="1"/>
  <c r="T93" i="14704" s="1"/>
  <c r="V91" i="14704" a="1"/>
  <c r="V91" i="14704" s="1"/>
  <c r="P97" i="14704" a="1"/>
  <c r="P97" i="14704" s="1"/>
  <c r="J103" i="14704" a="1"/>
  <c r="J103" i="14704" s="1"/>
  <c r="M100" i="14704" a="1"/>
  <c r="M100" i="14704" s="1"/>
  <c r="K102" i="14704" a="1"/>
  <c r="K102" i="14704" s="1"/>
  <c r="N38" i="14704"/>
  <c r="G40" i="14704"/>
  <c r="M97" i="14704" a="1"/>
  <c r="M97" i="14704" s="1"/>
  <c r="N96" i="14704" a="1"/>
  <c r="N96" i="14704" s="1"/>
  <c r="L98" i="14704" a="1"/>
  <c r="L98" i="14704" s="1"/>
  <c r="P94" i="14704" a="1"/>
  <c r="P94" i="14704" s="1"/>
  <c r="G103" i="14704" a="1"/>
  <c r="G103" i="14704" s="1"/>
  <c r="S91" i="14704" a="1"/>
  <c r="S91" i="14704" s="1"/>
  <c r="O95" i="14704" a="1"/>
  <c r="O95" i="14704" s="1"/>
  <c r="R92" i="14704" a="1"/>
  <c r="R92" i="14704" s="1"/>
  <c r="J100" i="14704" a="1"/>
  <c r="J100" i="14704" s="1"/>
  <c r="Q93" i="14704" a="1"/>
  <c r="Q93" i="14704" s="1"/>
  <c r="K99" i="14704" a="1"/>
  <c r="K99" i="14704" s="1"/>
  <c r="H102" i="14704" a="1"/>
  <c r="H102" i="14704" s="1"/>
  <c r="I101" i="14704" a="1"/>
  <c r="I101" i="14704" s="1"/>
  <c r="N37" i="14704"/>
  <c r="N34" i="14704"/>
  <c r="N35" i="14704"/>
  <c r="N36" i="14704"/>
  <c r="N39" i="14704"/>
  <c r="N33" i="14704"/>
  <c r="L94" i="14704" a="1"/>
  <c r="L94" i="14704" s="1"/>
  <c r="F100" i="14704" a="1"/>
  <c r="F100" i="14704" s="1"/>
  <c r="H98" i="14704" a="1"/>
  <c r="H98" i="14704" s="1"/>
  <c r="E101" i="14704" a="1"/>
  <c r="E101" i="14704" s="1"/>
  <c r="J96" i="14704" a="1"/>
  <c r="J96" i="14704" s="1"/>
  <c r="K95" i="14704" a="1"/>
  <c r="K95" i="14704" s="1"/>
  <c r="G99" i="14704" a="1"/>
  <c r="G99" i="14704" s="1"/>
  <c r="C103" i="14704" a="1"/>
  <c r="C103" i="14704" s="1"/>
  <c r="O103" i="14702" s="1"/>
  <c r="D102" i="14704" a="1"/>
  <c r="D102" i="14704" s="1"/>
  <c r="N92" i="14704" a="1"/>
  <c r="N92" i="14704" s="1"/>
  <c r="I97" i="14704" a="1"/>
  <c r="I97" i="14704" s="1"/>
  <c r="O91" i="14704" a="1"/>
  <c r="O91" i="14704" s="1"/>
  <c r="C40" i="14704"/>
  <c r="M93" i="14704" a="1"/>
  <c r="M93" i="14704" s="1"/>
  <c r="P157" i="14702" a="1"/>
  <c r="D160" i="14704"/>
  <c r="I160" i="14704"/>
  <c r="U152" i="14702" a="1"/>
  <c r="H142" i="14704"/>
  <c r="T135" i="14702" a="1"/>
  <c r="E142" i="14704"/>
  <c r="Q138" i="14702" a="1"/>
  <c r="Y130" i="14702" a="1"/>
  <c r="M142" i="14704"/>
  <c r="W222" i="14702" a="1"/>
  <c r="K232" i="14704"/>
  <c r="G232" i="14704"/>
  <c r="S226" i="14702" a="1"/>
  <c r="M214" i="14704"/>
  <c r="Y202" i="14702" a="1"/>
  <c r="S208" i="14702" a="1"/>
  <c r="G214" i="14704"/>
  <c r="H214" i="14704"/>
  <c r="T207" i="14702" a="1"/>
  <c r="I214" i="14704"/>
  <c r="U206" i="14702" a="1"/>
  <c r="O113" i="14702"/>
  <c r="L113" i="14702"/>
  <c r="R113" i="14702"/>
  <c r="Q113" i="14702"/>
  <c r="M113" i="14702"/>
  <c r="U113" i="14702"/>
  <c r="N113" i="14702"/>
  <c r="W113" i="14702"/>
  <c r="P113" i="14702"/>
  <c r="V113" i="14702"/>
  <c r="S113" i="14702"/>
  <c r="T113" i="14702"/>
  <c r="M85" i="14702"/>
  <c r="Y73" i="14701" a="1"/>
  <c r="J121" i="14702"/>
  <c r="E121" i="14702"/>
  <c r="K121" i="14702"/>
  <c r="D121" i="14702"/>
  <c r="F121" i="14702"/>
  <c r="N121" i="14702"/>
  <c r="H121" i="14702"/>
  <c r="G121" i="14702"/>
  <c r="O121" i="14702"/>
  <c r="I121" i="14702"/>
  <c r="L121" i="14702"/>
  <c r="M121" i="14702"/>
  <c r="S79" i="14701" a="1"/>
  <c r="G85" i="14702"/>
  <c r="C123" i="14702"/>
  <c r="O123" i="14701" s="1"/>
  <c r="D123" i="14702"/>
  <c r="K123" i="14702"/>
  <c r="F123" i="14702"/>
  <c r="M123" i="14702"/>
  <c r="J123" i="14702"/>
  <c r="G123" i="14702"/>
  <c r="E123" i="14702"/>
  <c r="B123" i="14702"/>
  <c r="H123" i="14702"/>
  <c r="L123" i="14702"/>
  <c r="I123" i="14702"/>
  <c r="B9" i="14671" a="1"/>
  <c r="N28" i="14702"/>
  <c r="G13" i="14657" s="1"/>
  <c r="N85" i="14702"/>
  <c r="E92" i="14643" a="1"/>
  <c r="I34" i="14683" a="1"/>
  <c r="I117" i="14702"/>
  <c r="K117" i="14702"/>
  <c r="P117" i="14702"/>
  <c r="O117" i="14702"/>
  <c r="R117" i="14702"/>
  <c r="L117" i="14702"/>
  <c r="J117" i="14702"/>
  <c r="H117" i="14702"/>
  <c r="N117" i="14702"/>
  <c r="Q117" i="14702"/>
  <c r="S117" i="14702"/>
  <c r="M117" i="14702"/>
  <c r="X74" i="14701" a="1"/>
  <c r="L85" i="14702"/>
  <c r="O83" i="14701" a="1"/>
  <c r="C85" i="14702"/>
  <c r="K120" i="14702"/>
  <c r="N120" i="14702"/>
  <c r="J120" i="14702"/>
  <c r="H120" i="14702"/>
  <c r="O120" i="14702"/>
  <c r="F120" i="14702"/>
  <c r="E120" i="14702"/>
  <c r="P120" i="14702"/>
  <c r="M120" i="14702"/>
  <c r="L120" i="14702"/>
  <c r="G120" i="14702"/>
  <c r="I120" i="14702"/>
  <c r="F119" i="14702"/>
  <c r="I119" i="14702"/>
  <c r="K119" i="14702"/>
  <c r="H119" i="14702"/>
  <c r="J119" i="14702"/>
  <c r="Q119" i="14702"/>
  <c r="L119" i="14702"/>
  <c r="G119" i="14702"/>
  <c r="M119" i="14702"/>
  <c r="O119" i="14702"/>
  <c r="P119" i="14702"/>
  <c r="N119" i="14702"/>
  <c r="P82" i="14701" a="1"/>
  <c r="D85" i="14702"/>
  <c r="E85" i="14702"/>
  <c r="Q81" i="14701" a="1"/>
  <c r="J244" i="14702"/>
  <c r="O244" i="14702"/>
  <c r="H244" i="14702"/>
  <c r="K244" i="14702"/>
  <c r="P244" i="14702"/>
  <c r="R244" i="14702"/>
  <c r="L244" i="14702"/>
  <c r="Q244" i="14702"/>
  <c r="N244" i="14702"/>
  <c r="I244" i="14702"/>
  <c r="M244" i="14702"/>
  <c r="G244" i="14702"/>
  <c r="R239" i="14702"/>
  <c r="V239" i="14702"/>
  <c r="M239" i="14702"/>
  <c r="L239" i="14702"/>
  <c r="U239" i="14702"/>
  <c r="W239" i="14702"/>
  <c r="S239" i="14702"/>
  <c r="Q239" i="14702"/>
  <c r="P239" i="14702"/>
  <c r="T239" i="14702"/>
  <c r="N239" i="14702"/>
  <c r="O239" i="14702"/>
  <c r="M238" i="14702"/>
  <c r="N238" i="14702"/>
  <c r="X238" i="14702"/>
  <c r="S238" i="14702"/>
  <c r="V238" i="14702"/>
  <c r="T238" i="14702"/>
  <c r="P238" i="14702"/>
  <c r="Q238" i="14702"/>
  <c r="O238" i="14702"/>
  <c r="W238" i="14702"/>
  <c r="R238" i="14702"/>
  <c r="U238" i="14702"/>
  <c r="S240" i="14702"/>
  <c r="U240" i="14702"/>
  <c r="R240" i="14702"/>
  <c r="O240" i="14702"/>
  <c r="N240" i="14702"/>
  <c r="L240" i="14702"/>
  <c r="K240" i="14702"/>
  <c r="V240" i="14702"/>
  <c r="P240" i="14702"/>
  <c r="M240" i="14702"/>
  <c r="T240" i="14702"/>
  <c r="Q240" i="14702"/>
  <c r="E246" i="14702"/>
  <c r="F246" i="14702"/>
  <c r="L246" i="14702"/>
  <c r="K246" i="14702"/>
  <c r="J246" i="14702"/>
  <c r="I246" i="14702"/>
  <c r="H246" i="14702"/>
  <c r="G246" i="14702"/>
  <c r="N246" i="14702"/>
  <c r="M246" i="14702"/>
  <c r="O246" i="14702"/>
  <c r="P246" i="14702"/>
  <c r="J241" i="14702"/>
  <c r="U241" i="14702"/>
  <c r="L241" i="14702"/>
  <c r="S241" i="14702"/>
  <c r="Q241" i="14702"/>
  <c r="P241" i="14702"/>
  <c r="O241" i="14702"/>
  <c r="N241" i="14702"/>
  <c r="R241" i="14702"/>
  <c r="K241" i="14702"/>
  <c r="M241" i="14702"/>
  <c r="T241" i="14702"/>
  <c r="T242" i="14702"/>
  <c r="S242" i="14702"/>
  <c r="J242" i="14702"/>
  <c r="O242" i="14702"/>
  <c r="Q242" i="14702"/>
  <c r="L242" i="14702"/>
  <c r="K242" i="14702"/>
  <c r="N242" i="14702"/>
  <c r="M242" i="14702"/>
  <c r="I242" i="14702"/>
  <c r="R242" i="14702"/>
  <c r="P242" i="14702"/>
  <c r="J157" i="14702"/>
  <c r="M157" i="14702"/>
  <c r="H157" i="14702"/>
  <c r="K157" i="14702"/>
  <c r="D157" i="14702"/>
  <c r="G157" i="14702"/>
  <c r="I157" i="14702"/>
  <c r="E157" i="14702"/>
  <c r="N157" i="14702"/>
  <c r="O157" i="14702"/>
  <c r="L157" i="14702"/>
  <c r="F157" i="14702"/>
  <c r="H156" i="14702"/>
  <c r="N156" i="14702"/>
  <c r="J156" i="14702"/>
  <c r="K156" i="14702"/>
  <c r="M156" i="14702"/>
  <c r="P156" i="14702"/>
  <c r="I156" i="14702"/>
  <c r="G156" i="14702"/>
  <c r="E156" i="14702"/>
  <c r="L156" i="14702"/>
  <c r="F156" i="14702"/>
  <c r="O156" i="14702"/>
  <c r="M158" i="14702"/>
  <c r="I158" i="14702"/>
  <c r="C158" i="14702"/>
  <c r="F158" i="14702"/>
  <c r="L158" i="14702"/>
  <c r="J158" i="14702"/>
  <c r="G158" i="14702"/>
  <c r="D158" i="14702"/>
  <c r="N158" i="14702"/>
  <c r="K158" i="14702"/>
  <c r="H158" i="14702"/>
  <c r="E158" i="14702"/>
  <c r="P151" i="14702"/>
  <c r="M151" i="14702"/>
  <c r="K151" i="14702"/>
  <c r="O151" i="14702"/>
  <c r="J151" i="14702"/>
  <c r="N151" i="14702"/>
  <c r="S151" i="14702"/>
  <c r="R151" i="14702"/>
  <c r="Q151" i="14702"/>
  <c r="L151" i="14702"/>
  <c r="U151" i="14702"/>
  <c r="T151" i="14702"/>
  <c r="S150" i="14702"/>
  <c r="M150" i="14702"/>
  <c r="P150" i="14702"/>
  <c r="U150" i="14702"/>
  <c r="V150" i="14702"/>
  <c r="T150" i="14702"/>
  <c r="Q150" i="14702"/>
  <c r="K150" i="14702"/>
  <c r="R150" i="14702"/>
  <c r="L150" i="14702"/>
  <c r="N150" i="14702"/>
  <c r="O150" i="14702"/>
  <c r="P154" i="14702"/>
  <c r="I154" i="14702"/>
  <c r="K154" i="14702"/>
  <c r="Q154" i="14702"/>
  <c r="J154" i="14702"/>
  <c r="M154" i="14702"/>
  <c r="N154" i="14702"/>
  <c r="G154" i="14702"/>
  <c r="H154" i="14702"/>
  <c r="O154" i="14702"/>
  <c r="L154" i="14702"/>
  <c r="R154" i="14702"/>
  <c r="G159" i="14702"/>
  <c r="F159" i="14702"/>
  <c r="M159" i="14702"/>
  <c r="I159" i="14702"/>
  <c r="E159" i="14702"/>
  <c r="C159" i="14702"/>
  <c r="O159" i="14701" s="1"/>
  <c r="J159" i="14702"/>
  <c r="H159" i="14702"/>
  <c r="B159" i="14702"/>
  <c r="K159" i="14702"/>
  <c r="D159" i="14702"/>
  <c r="L159" i="14702"/>
  <c r="Q140" i="14698"/>
  <c r="Q139" i="14698"/>
  <c r="Q138" i="14698"/>
  <c r="Q141" i="14698"/>
  <c r="P139" i="14698"/>
  <c r="P140" i="14698"/>
  <c r="P141" i="14698"/>
  <c r="V247" i="14698"/>
  <c r="V241" i="14698"/>
  <c r="V246" i="14698"/>
  <c r="V242" i="14698"/>
  <c r="V248" i="14698"/>
  <c r="V249" i="14698"/>
  <c r="V245" i="14698"/>
  <c r="V243" i="14698"/>
  <c r="V244" i="14698"/>
  <c r="R122" i="14698"/>
  <c r="R123" i="14698"/>
  <c r="R119" i="14698"/>
  <c r="R121" i="14698"/>
  <c r="R120" i="14698"/>
  <c r="Q158" i="14698"/>
  <c r="Q157" i="14698"/>
  <c r="Q159" i="14698"/>
  <c r="Q156" i="14698"/>
  <c r="M250" i="14701"/>
  <c r="Y238" i="14700" a="1"/>
  <c r="Y220" i="14700" a="1"/>
  <c r="M232" i="14701"/>
  <c r="C232" i="14701"/>
  <c r="O230" i="14700"/>
  <c r="O232" i="14700" s="1"/>
  <c r="V223" i="14700" a="1"/>
  <c r="J232" i="14701"/>
  <c r="H178" i="14701"/>
  <c r="T171" i="14700" a="1"/>
  <c r="B178" i="14701"/>
  <c r="N177" i="14700"/>
  <c r="N178" i="14700" s="1"/>
  <c r="K178" i="14701"/>
  <c r="W168" i="14700" a="1"/>
  <c r="O176" i="14700"/>
  <c r="O178" i="14700" s="1"/>
  <c r="C178" i="14701"/>
  <c r="M178" i="14701"/>
  <c r="Y166" i="14700" a="1"/>
  <c r="I196" i="14701"/>
  <c r="U188" i="14700" a="1"/>
  <c r="Q192" i="14700" a="1"/>
  <c r="E196" i="14701"/>
  <c r="J196" i="14701"/>
  <c r="V187" i="14700" a="1"/>
  <c r="F196" i="14701"/>
  <c r="R191" i="14700" a="1"/>
  <c r="Y148" i="14700" a="1"/>
  <c r="M160" i="14701"/>
  <c r="J160" i="14701"/>
  <c r="V151" i="14700" a="1"/>
  <c r="S212" i="14698"/>
  <c r="S208" i="14698"/>
  <c r="S209" i="14698"/>
  <c r="S211" i="14698"/>
  <c r="S213" i="14698"/>
  <c r="S210" i="14698"/>
  <c r="T209" i="14698"/>
  <c r="T208" i="14698"/>
  <c r="T210" i="14698"/>
  <c r="T212" i="14698"/>
  <c r="T213" i="14698"/>
  <c r="T207" i="14698"/>
  <c r="T211" i="14698"/>
  <c r="T171" i="14698"/>
  <c r="T177" i="14698"/>
  <c r="T175" i="14698"/>
  <c r="T173" i="14698"/>
  <c r="T176" i="14698"/>
  <c r="T174" i="14698"/>
  <c r="T172" i="14698"/>
  <c r="W174" i="14698"/>
  <c r="W176" i="14698"/>
  <c r="W175" i="14698"/>
  <c r="W177" i="14698"/>
  <c r="W169" i="14698"/>
  <c r="W170" i="14698"/>
  <c r="W172" i="14698"/>
  <c r="W173" i="14698"/>
  <c r="W168" i="14698"/>
  <c r="W171" i="14698"/>
  <c r="T171" i="14702" a="1"/>
  <c r="H178" i="14704"/>
  <c r="Y166" i="14702" a="1"/>
  <c r="M178" i="14704"/>
  <c r="P193" i="14702" a="1"/>
  <c r="D196" i="14704"/>
  <c r="E196" i="14704"/>
  <c r="Q192" i="14702" a="1"/>
  <c r="K196" i="14704"/>
  <c r="W186" i="14702" a="1"/>
  <c r="L250" i="14704"/>
  <c r="X239" i="14702" a="1"/>
  <c r="X250" i="14704"/>
  <c r="W250" i="14704"/>
  <c r="U250" i="14704"/>
  <c r="V250" i="14704"/>
  <c r="Q250" i="14704"/>
  <c r="D250" i="14704"/>
  <c r="P247" i="14702" a="1"/>
  <c r="Y248" i="14698"/>
  <c r="Y245" i="14698"/>
  <c r="Y240" i="14698"/>
  <c r="Y249" i="14698"/>
  <c r="Y241" i="14698"/>
  <c r="Y238" i="14698"/>
  <c r="Y239" i="14698"/>
  <c r="Y244" i="14698"/>
  <c r="Y246" i="14698"/>
  <c r="Y242" i="14698"/>
  <c r="Y247" i="14698"/>
  <c r="Y243" i="14698"/>
  <c r="Q246" i="14698"/>
  <c r="Q247" i="14698"/>
  <c r="Q249" i="14698"/>
  <c r="Q248" i="14698"/>
  <c r="R85" i="14698"/>
  <c r="S85" i="14698"/>
  <c r="E42" i="14683"/>
  <c r="F34" i="14683" s="1" a="1"/>
  <c r="W157" i="14698"/>
  <c r="W151" i="14698"/>
  <c r="W158" i="14698"/>
  <c r="W155" i="14698"/>
  <c r="W152" i="14698"/>
  <c r="W154" i="14698"/>
  <c r="W153" i="14698"/>
  <c r="W150" i="14698"/>
  <c r="W159" i="14698"/>
  <c r="W156" i="14698"/>
  <c r="Y155" i="14698"/>
  <c r="Y158" i="14698"/>
  <c r="Y156" i="14698"/>
  <c r="Y154" i="14698"/>
  <c r="Y159" i="14698"/>
  <c r="Y148" i="14698"/>
  <c r="Y151" i="14698"/>
  <c r="Y150" i="14698"/>
  <c r="Y152" i="14698"/>
  <c r="Y149" i="14698"/>
  <c r="Y157" i="14698"/>
  <c r="Y153" i="14698"/>
  <c r="E79" i="14643"/>
  <c r="E82" i="14643"/>
  <c r="E84" i="14643"/>
  <c r="E86" i="14643"/>
  <c r="E83" i="14643"/>
  <c r="E81" i="14643"/>
  <c r="E80" i="14643"/>
  <c r="E85" i="14643"/>
  <c r="L124" i="14701"/>
  <c r="X113" i="14700" a="1"/>
  <c r="D124" i="14701"/>
  <c r="P121" i="14700" a="1"/>
  <c r="Q120" i="14700" a="1"/>
  <c r="E124" i="14701"/>
  <c r="I124" i="14701"/>
  <c r="U116" i="14700" a="1"/>
  <c r="G124" i="14701"/>
  <c r="S118" i="14700" a="1"/>
  <c r="O122" i="14700"/>
  <c r="O124" i="14700" s="1"/>
  <c r="C124" i="14701"/>
  <c r="Q96" i="14701" a="1"/>
  <c r="Q96" i="14701" s="1"/>
  <c r="M100" i="14701" a="1"/>
  <c r="M100" i="14701" s="1"/>
  <c r="V91" i="14701" a="1"/>
  <c r="V91" i="14701" s="1"/>
  <c r="T93" i="14701" a="1"/>
  <c r="T93" i="14701" s="1"/>
  <c r="R95" i="14701" a="1"/>
  <c r="R95" i="14701" s="1"/>
  <c r="U92" i="14701" a="1"/>
  <c r="U92" i="14701" s="1"/>
  <c r="J40" i="14701"/>
  <c r="P97" i="14701" a="1"/>
  <c r="P97" i="14701" s="1"/>
  <c r="K102" i="14701" a="1"/>
  <c r="K102" i="14701" s="1"/>
  <c r="N99" i="14701" a="1"/>
  <c r="N99" i="14701" s="1"/>
  <c r="O98" i="14701" a="1"/>
  <c r="O98" i="14701" s="1"/>
  <c r="S94" i="14701" a="1"/>
  <c r="S94" i="14701" s="1"/>
  <c r="J103" i="14701" a="1"/>
  <c r="J103" i="14701" s="1"/>
  <c r="L101" i="14701" a="1"/>
  <c r="L101" i="14701" s="1"/>
  <c r="U93" i="14701" a="1"/>
  <c r="U93" i="14701" s="1"/>
  <c r="O99" i="14701" a="1"/>
  <c r="O99" i="14701" s="1"/>
  <c r="W91" i="14701" a="1"/>
  <c r="W91" i="14701" s="1"/>
  <c r="Q97" i="14701" a="1"/>
  <c r="Q97" i="14701" s="1"/>
  <c r="R96" i="14701" a="1"/>
  <c r="R96" i="14701" s="1"/>
  <c r="K40" i="14701"/>
  <c r="K103" i="14701" a="1"/>
  <c r="K103" i="14701" s="1"/>
  <c r="L102" i="14701" a="1"/>
  <c r="L102" i="14701" s="1"/>
  <c r="M101" i="14701" a="1"/>
  <c r="M101" i="14701" s="1"/>
  <c r="N100" i="14701" a="1"/>
  <c r="N100" i="14701" s="1"/>
  <c r="S95" i="14701" a="1"/>
  <c r="S95" i="14701" s="1"/>
  <c r="P98" i="14701" a="1"/>
  <c r="P98" i="14701" s="1"/>
  <c r="T94" i="14701" a="1"/>
  <c r="T94" i="14701" s="1"/>
  <c r="V92" i="14701" a="1"/>
  <c r="V92" i="14701" s="1"/>
  <c r="T92" i="14701" a="1"/>
  <c r="T92" i="14701" s="1"/>
  <c r="S93" i="14701" a="1"/>
  <c r="S93" i="14701" s="1"/>
  <c r="I40" i="14701"/>
  <c r="R94" i="14701" a="1"/>
  <c r="R94" i="14701" s="1"/>
  <c r="N98" i="14701" a="1"/>
  <c r="N98" i="14701" s="1"/>
  <c r="P96" i="14701" a="1"/>
  <c r="P96" i="14701" s="1"/>
  <c r="J102" i="14701" a="1"/>
  <c r="J102" i="14701" s="1"/>
  <c r="L100" i="14701" a="1"/>
  <c r="L100" i="14701" s="1"/>
  <c r="K101" i="14701" a="1"/>
  <c r="K101" i="14701" s="1"/>
  <c r="O97" i="14701" a="1"/>
  <c r="O97" i="14701" s="1"/>
  <c r="U91" i="14701" a="1"/>
  <c r="U91" i="14701" s="1"/>
  <c r="Q95" i="14701" a="1"/>
  <c r="Q95" i="14701" s="1"/>
  <c r="I103" i="14701" a="1"/>
  <c r="I103" i="14701" s="1"/>
  <c r="M99" i="14701" a="1"/>
  <c r="M99" i="14701" s="1"/>
  <c r="N36" i="14701"/>
  <c r="O92" i="14701" a="1"/>
  <c r="O92" i="14701" s="1"/>
  <c r="L95" i="14701" a="1"/>
  <c r="L95" i="14701" s="1"/>
  <c r="I98" i="14701" a="1"/>
  <c r="I98" i="14701" s="1"/>
  <c r="N93" i="14701" a="1"/>
  <c r="N93" i="14701" s="1"/>
  <c r="M94" i="14701" a="1"/>
  <c r="M94" i="14701" s="1"/>
  <c r="K96" i="14701" a="1"/>
  <c r="K96" i="14701" s="1"/>
  <c r="F101" i="14701" a="1"/>
  <c r="F101" i="14701" s="1"/>
  <c r="E102" i="14701" a="1"/>
  <c r="E102" i="14701" s="1"/>
  <c r="P91" i="14701" a="1"/>
  <c r="P91" i="14701" s="1"/>
  <c r="D103" i="14701" a="1"/>
  <c r="D103" i="14701" s="1"/>
  <c r="J97" i="14701" a="1"/>
  <c r="J97" i="14701" s="1"/>
  <c r="H99" i="14701" a="1"/>
  <c r="H99" i="14701" s="1"/>
  <c r="G100" i="14701" a="1"/>
  <c r="G100" i="14701" s="1"/>
  <c r="D40" i="14701"/>
  <c r="N39" i="14701"/>
  <c r="V93" i="14701" a="1"/>
  <c r="V93" i="14701" s="1"/>
  <c r="U94" i="14701" a="1"/>
  <c r="U94" i="14701" s="1"/>
  <c r="P99" i="14701" a="1"/>
  <c r="P99" i="14701" s="1"/>
  <c r="L40" i="14701"/>
  <c r="W92" i="14701" a="1"/>
  <c r="W92" i="14701" s="1"/>
  <c r="S96" i="14701" a="1"/>
  <c r="S96" i="14701" s="1"/>
  <c r="L103" i="14701" a="1"/>
  <c r="L103" i="14701" s="1"/>
  <c r="R97" i="14701" a="1"/>
  <c r="R97" i="14701" s="1"/>
  <c r="N101" i="14701" a="1"/>
  <c r="N101" i="14701" s="1"/>
  <c r="T95" i="14701" a="1"/>
  <c r="T95" i="14701" s="1"/>
  <c r="M102" i="14701" a="1"/>
  <c r="M102" i="14701" s="1"/>
  <c r="X91" i="14701" a="1"/>
  <c r="X91" i="14701" s="1"/>
  <c r="Q98" i="14701" a="1"/>
  <c r="Q98" i="14701" s="1"/>
  <c r="O100" i="14701" a="1"/>
  <c r="O100" i="14701" s="1"/>
  <c r="K97" i="14701" a="1"/>
  <c r="K97" i="14701" s="1"/>
  <c r="Q91" i="14701" a="1"/>
  <c r="Q91" i="14701" s="1"/>
  <c r="P92" i="14701" a="1"/>
  <c r="P92" i="14701" s="1"/>
  <c r="N94" i="14701" a="1"/>
  <c r="N94" i="14701" s="1"/>
  <c r="I99" i="14701" a="1"/>
  <c r="I99" i="14701" s="1"/>
  <c r="M95" i="14701" a="1"/>
  <c r="M95" i="14701" s="1"/>
  <c r="E103" i="14701" a="1"/>
  <c r="E103" i="14701" s="1"/>
  <c r="J98" i="14701" a="1"/>
  <c r="J98" i="14701" s="1"/>
  <c r="H100" i="14701" a="1"/>
  <c r="H100" i="14701" s="1"/>
  <c r="F102" i="14701" a="1"/>
  <c r="F102" i="14701" s="1"/>
  <c r="O93" i="14701" a="1"/>
  <c r="O93" i="14701" s="1"/>
  <c r="L96" i="14701" a="1"/>
  <c r="L96" i="14701" s="1"/>
  <c r="G101" i="14701" a="1"/>
  <c r="G101" i="14701" s="1"/>
  <c r="E40" i="14701"/>
  <c r="I97" i="14701" a="1"/>
  <c r="I97" i="14701" s="1"/>
  <c r="M93" i="14701" a="1"/>
  <c r="M93" i="14701" s="1"/>
  <c r="L94" i="14701" a="1"/>
  <c r="L94" i="14701" s="1"/>
  <c r="D102" i="14701" a="1"/>
  <c r="D102" i="14701" s="1"/>
  <c r="N92" i="14701" a="1"/>
  <c r="N92" i="14701" s="1"/>
  <c r="G99" i="14701" a="1"/>
  <c r="G99" i="14701" s="1"/>
  <c r="E101" i="14701" a="1"/>
  <c r="E101" i="14701" s="1"/>
  <c r="F100" i="14701" a="1"/>
  <c r="F100" i="14701" s="1"/>
  <c r="K95" i="14701" a="1"/>
  <c r="K95" i="14701" s="1"/>
  <c r="H98" i="14701" a="1"/>
  <c r="H98" i="14701" s="1"/>
  <c r="C40" i="14701"/>
  <c r="O91" i="14701" a="1"/>
  <c r="O91" i="14701" s="1"/>
  <c r="C103" i="14701" a="1"/>
  <c r="C103" i="14701" s="1"/>
  <c r="O103" i="14700" s="1"/>
  <c r="J96" i="14701" a="1"/>
  <c r="J96" i="14701" s="1"/>
  <c r="P83" i="14700"/>
  <c r="P84" i="14700"/>
  <c r="P82" i="14700"/>
  <c r="F214" i="14701"/>
  <c r="R209" i="14700" a="1"/>
  <c r="P211" i="14700" a="1"/>
  <c r="D214" i="14701"/>
  <c r="G214" i="14701"/>
  <c r="S208" i="14700" a="1"/>
  <c r="K142" i="14701"/>
  <c r="W132" i="14700" a="1"/>
  <c r="R137" i="14700" a="1"/>
  <c r="F142" i="14701"/>
  <c r="Y210" i="14698"/>
  <c r="Y204" i="14698"/>
  <c r="Y209" i="14698"/>
  <c r="Y212" i="14698"/>
  <c r="Y213" i="14698"/>
  <c r="Y202" i="14698"/>
  <c r="Y203" i="14698"/>
  <c r="Y205" i="14698"/>
  <c r="Y206" i="14698"/>
  <c r="Y208" i="14698"/>
  <c r="Y211" i="14698"/>
  <c r="Y207" i="14698"/>
  <c r="V208" i="14698"/>
  <c r="V209" i="14698"/>
  <c r="V212" i="14698"/>
  <c r="V207" i="14698"/>
  <c r="V211" i="14698"/>
  <c r="V213" i="14698"/>
  <c r="V206" i="14698"/>
  <c r="V210" i="14698"/>
  <c r="V205" i="14698"/>
  <c r="R211" i="14698"/>
  <c r="R212" i="14698"/>
  <c r="R209" i="14698"/>
  <c r="R213" i="14698"/>
  <c r="R210" i="14698"/>
  <c r="R230" i="14698"/>
  <c r="R228" i="14698"/>
  <c r="R231" i="14698"/>
  <c r="R229" i="14698"/>
  <c r="R227" i="14698"/>
  <c r="Q230" i="14698"/>
  <c r="Q231" i="14698"/>
  <c r="Q229" i="14698"/>
  <c r="Q228" i="14698"/>
  <c r="V171" i="14698"/>
  <c r="V169" i="14698"/>
  <c r="V177" i="14698"/>
  <c r="V170" i="14698"/>
  <c r="V172" i="14698"/>
  <c r="V173" i="14698"/>
  <c r="V175" i="14698"/>
  <c r="V174" i="14698"/>
  <c r="V176" i="14698"/>
  <c r="X74" i="14702"/>
  <c r="X75" i="14702"/>
  <c r="X80" i="14702"/>
  <c r="X79" i="14702"/>
  <c r="X82" i="14702"/>
  <c r="X77" i="14702"/>
  <c r="X83" i="14702"/>
  <c r="X76" i="14702"/>
  <c r="X78" i="14702"/>
  <c r="X81" i="14702"/>
  <c r="X84" i="14702"/>
  <c r="P121" i="14702" a="1"/>
  <c r="D124" i="14704"/>
  <c r="Q83" i="14702"/>
  <c r="Q82" i="14702"/>
  <c r="Q81" i="14702"/>
  <c r="Q84" i="14702"/>
  <c r="W78" i="14702"/>
  <c r="W75" i="14702"/>
  <c r="W80" i="14702"/>
  <c r="W81" i="14702"/>
  <c r="W79" i="14702"/>
  <c r="W76" i="14702"/>
  <c r="W77" i="14702"/>
  <c r="W83" i="14702"/>
  <c r="W84" i="14702"/>
  <c r="W82" i="14702"/>
  <c r="R81" i="14702"/>
  <c r="R80" i="14702"/>
  <c r="R82" i="14702"/>
  <c r="R84" i="14702"/>
  <c r="R83" i="14702"/>
  <c r="M160" i="14704"/>
  <c r="Y148" i="14702" a="1"/>
  <c r="X160" i="14704"/>
  <c r="U160" i="14704"/>
  <c r="R160" i="14704"/>
  <c r="Q160" i="14704"/>
  <c r="P160" i="14704"/>
  <c r="W160" i="14704"/>
  <c r="B160" i="14704"/>
  <c r="N159" i="14702"/>
  <c r="X142" i="14704"/>
  <c r="Q142" i="14704"/>
  <c r="N142" i="14704"/>
  <c r="V142" i="14704"/>
  <c r="R142" i="14704"/>
  <c r="T142" i="14704"/>
  <c r="B142" i="14704"/>
  <c r="N141" i="14702"/>
  <c r="J232" i="14704"/>
  <c r="V223" i="14702" a="1"/>
  <c r="Y220" i="14702" a="1"/>
  <c r="M232" i="14704"/>
  <c r="P232" i="14704"/>
  <c r="X232" i="14704"/>
  <c r="O232" i="14704"/>
  <c r="T232" i="14704"/>
  <c r="R232" i="14704"/>
  <c r="T225" i="14702" a="1"/>
  <c r="H232" i="14704"/>
  <c r="X221" i="14702" a="1"/>
  <c r="L232" i="14704"/>
  <c r="C214" i="14704"/>
  <c r="O212" i="14702"/>
  <c r="F214" i="14704"/>
  <c r="R209" i="14702" a="1"/>
  <c r="W204" i="14702" a="1"/>
  <c r="K214" i="14704"/>
  <c r="T214" i="14704"/>
  <c r="R214" i="14704"/>
  <c r="O214" i="14704"/>
  <c r="W214" i="14704"/>
  <c r="N214" i="14704"/>
  <c r="X214" i="14704"/>
  <c r="C194" i="14702"/>
  <c r="J194" i="14702"/>
  <c r="D194" i="14702"/>
  <c r="H194" i="14702"/>
  <c r="K194" i="14702"/>
  <c r="I194" i="14702"/>
  <c r="F194" i="14702"/>
  <c r="L194" i="14702"/>
  <c r="E194" i="14702"/>
  <c r="N194" i="14702"/>
  <c r="M194" i="14702"/>
  <c r="G194" i="14702"/>
  <c r="J195" i="14702"/>
  <c r="B195" i="14702"/>
  <c r="C195" i="14702"/>
  <c r="O195" i="14701" s="1"/>
  <c r="F195" i="14702"/>
  <c r="G195" i="14702"/>
  <c r="D195" i="14702"/>
  <c r="E195" i="14702"/>
  <c r="M195" i="14702"/>
  <c r="H195" i="14702"/>
  <c r="L195" i="14702"/>
  <c r="I195" i="14702"/>
  <c r="K195" i="14702"/>
  <c r="K187" i="14702"/>
  <c r="P187" i="14702"/>
  <c r="O187" i="14702"/>
  <c r="M187" i="14702"/>
  <c r="Q187" i="14702"/>
  <c r="R187" i="14702"/>
  <c r="N187" i="14702"/>
  <c r="J187" i="14702"/>
  <c r="S187" i="14702"/>
  <c r="L187" i="14702"/>
  <c r="T187" i="14702"/>
  <c r="U187" i="14702"/>
  <c r="P192" i="14702"/>
  <c r="G192" i="14702"/>
  <c r="M192" i="14702"/>
  <c r="E192" i="14702"/>
  <c r="I192" i="14702"/>
  <c r="J192" i="14702"/>
  <c r="K192" i="14702"/>
  <c r="H192" i="14702"/>
  <c r="L192" i="14702"/>
  <c r="F192" i="14702"/>
  <c r="O192" i="14702"/>
  <c r="N192" i="14702"/>
  <c r="P191" i="14702"/>
  <c r="Q191" i="14702"/>
  <c r="H191" i="14702"/>
  <c r="N191" i="14702"/>
  <c r="J191" i="14702"/>
  <c r="G191" i="14702"/>
  <c r="L191" i="14702"/>
  <c r="F191" i="14702"/>
  <c r="K191" i="14702"/>
  <c r="M191" i="14702"/>
  <c r="O191" i="14702"/>
  <c r="I191" i="14702"/>
  <c r="E193" i="14702"/>
  <c r="L193" i="14702"/>
  <c r="N193" i="14702"/>
  <c r="H193" i="14702"/>
  <c r="D193" i="14702"/>
  <c r="O193" i="14702"/>
  <c r="J193" i="14702"/>
  <c r="I193" i="14702"/>
  <c r="M193" i="14702"/>
  <c r="K193" i="14702"/>
  <c r="G193" i="14702"/>
  <c r="F193" i="14702"/>
  <c r="Q171" i="14702"/>
  <c r="J171" i="14702"/>
  <c r="I171" i="14702"/>
  <c r="N171" i="14702"/>
  <c r="K171" i="14702"/>
  <c r="O171" i="14702"/>
  <c r="R171" i="14702"/>
  <c r="M171" i="14702"/>
  <c r="H171" i="14702"/>
  <c r="L171" i="14702"/>
  <c r="P171" i="14702"/>
  <c r="S171" i="14702"/>
  <c r="K174" i="14702"/>
  <c r="J174" i="14702"/>
  <c r="H174" i="14702"/>
  <c r="G174" i="14702"/>
  <c r="F174" i="14702"/>
  <c r="M174" i="14702"/>
  <c r="E174" i="14702"/>
  <c r="I174" i="14702"/>
  <c r="P174" i="14702"/>
  <c r="L174" i="14702"/>
  <c r="N174" i="14702"/>
  <c r="O174" i="14702"/>
  <c r="K169" i="14702"/>
  <c r="S169" i="14702"/>
  <c r="R169" i="14702"/>
  <c r="L169" i="14702"/>
  <c r="Q169" i="14702"/>
  <c r="T169" i="14702"/>
  <c r="M169" i="14702"/>
  <c r="O169" i="14702"/>
  <c r="J169" i="14702"/>
  <c r="U169" i="14702"/>
  <c r="N169" i="14702"/>
  <c r="P169" i="14702"/>
  <c r="N175" i="14702"/>
  <c r="K175" i="14702"/>
  <c r="M175" i="14702"/>
  <c r="D175" i="14702"/>
  <c r="G175" i="14702"/>
  <c r="H175" i="14702"/>
  <c r="L175" i="14702"/>
  <c r="I175" i="14702"/>
  <c r="F175" i="14702"/>
  <c r="J175" i="14702"/>
  <c r="E175" i="14702"/>
  <c r="O175" i="14702"/>
  <c r="O168" i="14702"/>
  <c r="P168" i="14702"/>
  <c r="U168" i="14702"/>
  <c r="S168" i="14702"/>
  <c r="Q168" i="14702"/>
  <c r="N168" i="14702"/>
  <c r="T168" i="14702"/>
  <c r="V168" i="14702"/>
  <c r="K168" i="14702"/>
  <c r="R168" i="14702"/>
  <c r="M168" i="14702"/>
  <c r="L168" i="14702"/>
  <c r="R167" i="14702"/>
  <c r="P167" i="14702"/>
  <c r="W167" i="14702"/>
  <c r="O167" i="14702"/>
  <c r="S167" i="14702"/>
  <c r="M167" i="14702"/>
  <c r="V167" i="14702"/>
  <c r="T167" i="14702"/>
  <c r="N167" i="14702"/>
  <c r="U167" i="14702"/>
  <c r="L167" i="14702"/>
  <c r="Q167" i="14702"/>
  <c r="O173" i="14702"/>
  <c r="Q173" i="14702"/>
  <c r="N173" i="14702"/>
  <c r="P173" i="14702"/>
  <c r="G173" i="14702"/>
  <c r="I173" i="14702"/>
  <c r="L173" i="14702"/>
  <c r="J173" i="14702"/>
  <c r="K173" i="14702"/>
  <c r="M173" i="14702"/>
  <c r="F173" i="14702"/>
  <c r="H173" i="14702"/>
  <c r="N229" i="14702"/>
  <c r="E229" i="14702"/>
  <c r="J229" i="14702"/>
  <c r="O229" i="14702"/>
  <c r="H229" i="14702"/>
  <c r="F229" i="14702"/>
  <c r="D229" i="14702"/>
  <c r="L229" i="14702"/>
  <c r="I229" i="14702"/>
  <c r="K229" i="14702"/>
  <c r="G229" i="14702"/>
  <c r="M229" i="14702"/>
  <c r="J228" i="14702"/>
  <c r="E228" i="14702"/>
  <c r="K228" i="14702"/>
  <c r="O228" i="14702"/>
  <c r="L228" i="14702"/>
  <c r="P228" i="14702"/>
  <c r="M228" i="14702"/>
  <c r="I228" i="14702"/>
  <c r="H228" i="14702"/>
  <c r="G228" i="14702"/>
  <c r="N228" i="14702"/>
  <c r="F228" i="14702"/>
  <c r="P219" i="14702"/>
  <c r="S219" i="14702"/>
  <c r="U219" i="14702"/>
  <c r="W219" i="14702"/>
  <c r="R219" i="14702"/>
  <c r="Q219" i="14702"/>
  <c r="N219" i="14702"/>
  <c r="T219" i="14702"/>
  <c r="Y219" i="14702"/>
  <c r="X219" i="14702"/>
  <c r="V219" i="14702"/>
  <c r="O219" i="14702"/>
  <c r="B231" i="14702"/>
  <c r="E231" i="14702"/>
  <c r="D231" i="14702"/>
  <c r="I231" i="14702"/>
  <c r="L231" i="14702"/>
  <c r="H231" i="14702"/>
  <c r="C231" i="14702"/>
  <c r="O231" i="14701" s="1"/>
  <c r="K231" i="14702"/>
  <c r="J231" i="14702"/>
  <c r="M231" i="14702"/>
  <c r="F231" i="14702"/>
  <c r="G231" i="14702"/>
  <c r="H227" i="14702"/>
  <c r="J227" i="14702"/>
  <c r="G227" i="14702"/>
  <c r="M227" i="14702"/>
  <c r="I227" i="14702"/>
  <c r="L227" i="14702"/>
  <c r="K227" i="14702"/>
  <c r="N227" i="14702"/>
  <c r="O227" i="14702"/>
  <c r="F227" i="14702"/>
  <c r="P227" i="14702"/>
  <c r="Q227" i="14702"/>
  <c r="Q220" i="14702"/>
  <c r="T220" i="14702"/>
  <c r="S220" i="14702"/>
  <c r="O220" i="14702"/>
  <c r="V220" i="14702"/>
  <c r="W220" i="14702"/>
  <c r="R220" i="14702"/>
  <c r="U220" i="14702"/>
  <c r="M220" i="14702"/>
  <c r="X220" i="14702"/>
  <c r="P220" i="14702"/>
  <c r="N220" i="14702"/>
  <c r="O223" i="14702"/>
  <c r="M223" i="14702"/>
  <c r="J223" i="14702"/>
  <c r="T223" i="14702"/>
  <c r="Q223" i="14702"/>
  <c r="K223" i="14702"/>
  <c r="S223" i="14702"/>
  <c r="L223" i="14702"/>
  <c r="P223" i="14702"/>
  <c r="U223" i="14702"/>
  <c r="N223" i="14702"/>
  <c r="R223" i="14702"/>
  <c r="L135" i="14702"/>
  <c r="M135" i="14702"/>
  <c r="S135" i="14702"/>
  <c r="O135" i="14702"/>
  <c r="I135" i="14702"/>
  <c r="P135" i="14702"/>
  <c r="R135" i="14702"/>
  <c r="H135" i="14702"/>
  <c r="J135" i="14702"/>
  <c r="K135" i="14702"/>
  <c r="Q135" i="14702"/>
  <c r="N135" i="14702"/>
  <c r="I140" i="14702"/>
  <c r="C140" i="14702"/>
  <c r="G140" i="14702"/>
  <c r="F140" i="14702"/>
  <c r="J140" i="14702"/>
  <c r="E140" i="14702"/>
  <c r="M140" i="14702"/>
  <c r="N140" i="14702"/>
  <c r="H140" i="14702"/>
  <c r="D140" i="14702"/>
  <c r="K140" i="14702"/>
  <c r="L140" i="14702"/>
  <c r="F141" i="14702"/>
  <c r="C141" i="14702"/>
  <c r="O141" i="14701" s="1"/>
  <c r="B141" i="14702"/>
  <c r="E141" i="14702"/>
  <c r="M141" i="14702"/>
  <c r="L141" i="14702"/>
  <c r="G141" i="14702"/>
  <c r="H141" i="14702"/>
  <c r="D141" i="14702"/>
  <c r="I141" i="14702"/>
  <c r="K141" i="14702"/>
  <c r="J141" i="14702"/>
  <c r="W131" i="14702"/>
  <c r="M131" i="14702"/>
  <c r="U131" i="14702"/>
  <c r="T131" i="14702"/>
  <c r="R131" i="14702"/>
  <c r="S131" i="14702"/>
  <c r="P131" i="14702"/>
  <c r="O131" i="14702"/>
  <c r="V131" i="14702"/>
  <c r="N131" i="14702"/>
  <c r="Q131" i="14702"/>
  <c r="L131" i="14702"/>
  <c r="L138" i="14702"/>
  <c r="F138" i="14702"/>
  <c r="P138" i="14702"/>
  <c r="M138" i="14702"/>
  <c r="J138" i="14702"/>
  <c r="G138" i="14702"/>
  <c r="I138" i="14702"/>
  <c r="H138" i="14702"/>
  <c r="K138" i="14702"/>
  <c r="O138" i="14702"/>
  <c r="E138" i="14702"/>
  <c r="N138" i="14702"/>
  <c r="V132" i="14702"/>
  <c r="R132" i="14702"/>
  <c r="N132" i="14702"/>
  <c r="S132" i="14702"/>
  <c r="O132" i="14702"/>
  <c r="Q132" i="14702"/>
  <c r="P132" i="14702"/>
  <c r="K132" i="14702"/>
  <c r="U132" i="14702"/>
  <c r="L132" i="14702"/>
  <c r="T132" i="14702"/>
  <c r="M132" i="14702"/>
  <c r="H136" i="14702"/>
  <c r="N136" i="14702"/>
  <c r="P136" i="14702"/>
  <c r="M136" i="14702"/>
  <c r="R136" i="14702"/>
  <c r="Q136" i="14702"/>
  <c r="O136" i="14702"/>
  <c r="K136" i="14702"/>
  <c r="G136" i="14702"/>
  <c r="I136" i="14702"/>
  <c r="J136" i="14702"/>
  <c r="L136" i="14702"/>
  <c r="S201" i="14702"/>
  <c r="R201" i="14702"/>
  <c r="O201" i="14702"/>
  <c r="V201" i="14702"/>
  <c r="Q201" i="14702"/>
  <c r="P201" i="14702"/>
  <c r="W201" i="14702"/>
  <c r="N201" i="14702"/>
  <c r="U201" i="14702"/>
  <c r="T201" i="14702"/>
  <c r="X201" i="14702"/>
  <c r="Y201" i="14702"/>
  <c r="T204" i="14702"/>
  <c r="P204" i="14702"/>
  <c r="L204" i="14702"/>
  <c r="O204" i="14702"/>
  <c r="V204" i="14702"/>
  <c r="S204" i="14702"/>
  <c r="N204" i="14702"/>
  <c r="U204" i="14702"/>
  <c r="K204" i="14702"/>
  <c r="Q204" i="14702"/>
  <c r="M204" i="14702"/>
  <c r="R204" i="14702"/>
  <c r="N207" i="14702"/>
  <c r="I207" i="14702"/>
  <c r="O207" i="14702"/>
  <c r="Q207" i="14702"/>
  <c r="M207" i="14702"/>
  <c r="L207" i="14702"/>
  <c r="P207" i="14702"/>
  <c r="S207" i="14702"/>
  <c r="R207" i="14702"/>
  <c r="J207" i="14702"/>
  <c r="H207" i="14702"/>
  <c r="K207" i="14702"/>
  <c r="M206" i="14702"/>
  <c r="K206" i="14702"/>
  <c r="Q206" i="14702"/>
  <c r="S206" i="14702"/>
  <c r="L206" i="14702"/>
  <c r="P206" i="14702"/>
  <c r="T206" i="14702"/>
  <c r="J206" i="14702"/>
  <c r="O206" i="14702"/>
  <c r="I206" i="14702"/>
  <c r="R206" i="14702"/>
  <c r="N206" i="14702"/>
  <c r="N203" i="14702"/>
  <c r="L203" i="14702"/>
  <c r="S203" i="14702"/>
  <c r="W203" i="14702"/>
  <c r="T203" i="14702"/>
  <c r="P203" i="14702"/>
  <c r="U203" i="14702"/>
  <c r="M203" i="14702"/>
  <c r="O203" i="14702"/>
  <c r="V203" i="14702"/>
  <c r="Q203" i="14702"/>
  <c r="R203" i="14702"/>
  <c r="P210" i="14702"/>
  <c r="F210" i="14702"/>
  <c r="G210" i="14702"/>
  <c r="M210" i="14702"/>
  <c r="J210" i="14702"/>
  <c r="K210" i="14702"/>
  <c r="O210" i="14702"/>
  <c r="H210" i="14702"/>
  <c r="I210" i="14702"/>
  <c r="E210" i="14702"/>
  <c r="N210" i="14702"/>
  <c r="L210" i="14702"/>
  <c r="L208" i="14702"/>
  <c r="R208" i="14702"/>
  <c r="K208" i="14702"/>
  <c r="H208" i="14702"/>
  <c r="J208" i="14702"/>
  <c r="Q208" i="14702"/>
  <c r="M208" i="14702"/>
  <c r="P208" i="14702"/>
  <c r="O208" i="14702"/>
  <c r="I208" i="14702"/>
  <c r="G208" i="14702"/>
  <c r="N208" i="14702"/>
  <c r="Y131" i="14698"/>
  <c r="Y138" i="14698"/>
  <c r="Y132" i="14698"/>
  <c r="Y130" i="14698"/>
  <c r="Y140" i="14698"/>
  <c r="Y141" i="14698"/>
  <c r="Y137" i="14698"/>
  <c r="Y139" i="14698"/>
  <c r="Y136" i="14698"/>
  <c r="Y135" i="14698"/>
  <c r="Y133" i="14698"/>
  <c r="Y134" i="14698"/>
  <c r="W193" i="14698"/>
  <c r="W191" i="14698"/>
  <c r="W192" i="14698"/>
  <c r="W186" i="14698"/>
  <c r="W194" i="14698"/>
  <c r="W188" i="14698"/>
  <c r="W190" i="14698"/>
  <c r="W189" i="14698"/>
  <c r="W195" i="14698"/>
  <c r="W187" i="14698"/>
  <c r="L104" i="14700"/>
  <c r="X93" i="14698" a="1"/>
  <c r="J104" i="14700"/>
  <c r="V95" i="14698" a="1"/>
  <c r="B104" i="14700"/>
  <c r="N103" i="14698"/>
  <c r="N104" i="14698" s="1"/>
  <c r="P101" i="14698" a="1"/>
  <c r="D104" i="14700"/>
  <c r="G104" i="14700"/>
  <c r="S98" i="14698" a="1"/>
  <c r="T85" i="14698"/>
  <c r="S155" i="14698"/>
  <c r="S154" i="14698"/>
  <c r="S157" i="14698"/>
  <c r="S158" i="14698"/>
  <c r="S156" i="14698"/>
  <c r="S159" i="14698"/>
  <c r="V158" i="14698"/>
  <c r="V153" i="14698"/>
  <c r="V154" i="14698"/>
  <c r="V151" i="14698"/>
  <c r="V152" i="14698"/>
  <c r="V157" i="14698"/>
  <c r="V155" i="14698"/>
  <c r="V159" i="14698"/>
  <c r="V156" i="14698"/>
  <c r="E250" i="14701"/>
  <c r="Q246" i="14700" a="1"/>
  <c r="B250" i="14701"/>
  <c r="N249" i="14700"/>
  <c r="N250" i="14700" s="1"/>
  <c r="W240" i="14700" a="1"/>
  <c r="K250" i="14701"/>
  <c r="J250" i="14701"/>
  <c r="V241" i="14700" a="1"/>
  <c r="H250" i="14701"/>
  <c r="T243" i="14700" a="1"/>
  <c r="K232" i="14701"/>
  <c r="W222" i="14700" a="1"/>
  <c r="H232" i="14701"/>
  <c r="T225" i="14700" a="1"/>
  <c r="L178" i="14701"/>
  <c r="X167" i="14700" a="1"/>
  <c r="J178" i="14701"/>
  <c r="V169" i="14700" a="1"/>
  <c r="D178" i="14701"/>
  <c r="P175" i="14700" a="1"/>
  <c r="M196" i="14701"/>
  <c r="Y184" i="14700" a="1"/>
  <c r="G196" i="14701"/>
  <c r="S190" i="14700" a="1"/>
  <c r="C196" i="14701"/>
  <c r="O194" i="14700"/>
  <c r="O196" i="14700" s="1"/>
  <c r="O158" i="14700"/>
  <c r="O160" i="14700" s="1"/>
  <c r="C160" i="14701"/>
  <c r="G160" i="14701"/>
  <c r="S154" i="14700" a="1"/>
  <c r="U152" i="14700" a="1"/>
  <c r="I160" i="14701"/>
  <c r="E160" i="14701"/>
  <c r="Q156" i="14700" a="1"/>
  <c r="W208" i="14698"/>
  <c r="W205" i="14698"/>
  <c r="W207" i="14698"/>
  <c r="W209" i="14698"/>
  <c r="W210" i="14698"/>
  <c r="W213" i="14698"/>
  <c r="W204" i="14698"/>
  <c r="W211" i="14698"/>
  <c r="W212" i="14698"/>
  <c r="W206" i="14698"/>
  <c r="Q213" i="14698"/>
  <c r="Q212" i="14698"/>
  <c r="Q211" i="14698"/>
  <c r="Q210" i="14698"/>
  <c r="X229" i="14698"/>
  <c r="X221" i="14698"/>
  <c r="X223" i="14698"/>
  <c r="X230" i="14698"/>
  <c r="X222" i="14698"/>
  <c r="X227" i="14698"/>
  <c r="X224" i="14698"/>
  <c r="X231" i="14698"/>
  <c r="X225" i="14698"/>
  <c r="X228" i="14698"/>
  <c r="X226" i="14698"/>
  <c r="U227" i="14698"/>
  <c r="U226" i="14698"/>
  <c r="U225" i="14698"/>
  <c r="U229" i="14698"/>
  <c r="U224" i="14698"/>
  <c r="U231" i="14698"/>
  <c r="U230" i="14698"/>
  <c r="U228" i="14698"/>
  <c r="S173" i="14698"/>
  <c r="S176" i="14698"/>
  <c r="S175" i="14698"/>
  <c r="S174" i="14698"/>
  <c r="S177" i="14698"/>
  <c r="S172" i="14698"/>
  <c r="B178" i="14704"/>
  <c r="N177" i="14702"/>
  <c r="S172" i="14702" a="1"/>
  <c r="G178" i="14704"/>
  <c r="Q178" i="14704"/>
  <c r="P178" i="14704"/>
  <c r="J178" i="14704"/>
  <c r="V169" i="14702" a="1"/>
  <c r="L178" i="14704"/>
  <c r="X167" i="14702" a="1"/>
  <c r="U196" i="14704"/>
  <c r="Q196" i="14704"/>
  <c r="N196" i="14704"/>
  <c r="O194" i="14702"/>
  <c r="C196" i="14704"/>
  <c r="C250" i="14704"/>
  <c r="O248" i="14702"/>
  <c r="B250" i="14704"/>
  <c r="N249" i="14702"/>
  <c r="U242" i="14702" a="1"/>
  <c r="I250" i="14704"/>
  <c r="E250" i="14704"/>
  <c r="Q246" i="14702" a="1"/>
  <c r="R137" i="14698"/>
  <c r="R141" i="14698"/>
  <c r="R139" i="14698"/>
  <c r="R138" i="14698"/>
  <c r="R140" i="14698"/>
  <c r="S139" i="14698"/>
  <c r="S138" i="14698"/>
  <c r="S141" i="14698"/>
  <c r="S136" i="14698"/>
  <c r="S140" i="14698"/>
  <c r="S137" i="14698"/>
  <c r="P247" i="14698"/>
  <c r="P249" i="14698"/>
  <c r="P248" i="14698"/>
  <c r="S246" i="14698"/>
  <c r="S248" i="14698"/>
  <c r="S249" i="14698"/>
  <c r="S244" i="14698"/>
  <c r="S245" i="14698"/>
  <c r="S247" i="14698"/>
  <c r="Y192" i="14698"/>
  <c r="Y184" i="14698"/>
  <c r="Y188" i="14698"/>
  <c r="Y195" i="14698"/>
  <c r="Y186" i="14698"/>
  <c r="Y191" i="14698"/>
  <c r="Y185" i="14698"/>
  <c r="Y194" i="14698"/>
  <c r="Y187" i="14698"/>
  <c r="Y193" i="14698"/>
  <c r="Y190" i="14698"/>
  <c r="Y189" i="14698"/>
  <c r="Y119" i="14698"/>
  <c r="Y122" i="14698"/>
  <c r="Y113" i="14698"/>
  <c r="Y123" i="14698"/>
  <c r="Y117" i="14698"/>
  <c r="Y120" i="14698"/>
  <c r="Y121" i="14698"/>
  <c r="Y115" i="14698"/>
  <c r="Y114" i="14698"/>
  <c r="Y112" i="14698"/>
  <c r="Y118" i="14698"/>
  <c r="Y116" i="14698"/>
  <c r="V121" i="14698"/>
  <c r="V119" i="14698"/>
  <c r="V120" i="14698"/>
  <c r="V123" i="14698"/>
  <c r="V122" i="14698"/>
  <c r="V116" i="14698"/>
  <c r="V115" i="14698"/>
  <c r="V118" i="14698"/>
  <c r="V117" i="14698"/>
  <c r="E74" i="14643"/>
  <c r="X115" i="14698"/>
  <c r="X118" i="14698"/>
  <c r="X113" i="14698"/>
  <c r="X116" i="14698"/>
  <c r="X122" i="14698"/>
  <c r="X117" i="14698"/>
  <c r="X114" i="14698"/>
  <c r="X121" i="14698"/>
  <c r="X120" i="14698"/>
  <c r="X119" i="14698"/>
  <c r="X123" i="14698"/>
  <c r="W79" i="14700"/>
  <c r="W82" i="14700"/>
  <c r="W76" i="14700"/>
  <c r="W78" i="14700"/>
  <c r="W75" i="14700"/>
  <c r="W83" i="14700"/>
  <c r="W81" i="14700"/>
  <c r="W77" i="14700"/>
  <c r="W84" i="14700"/>
  <c r="W80" i="14700"/>
  <c r="R119" i="14700" a="1"/>
  <c r="F124" i="14701"/>
  <c r="T117" i="14700" a="1"/>
  <c r="H124" i="14701"/>
  <c r="R83" i="14700"/>
  <c r="R81" i="14700"/>
  <c r="R82" i="14700"/>
  <c r="R80" i="14700"/>
  <c r="R84" i="14700"/>
  <c r="T81" i="14700"/>
  <c r="T84" i="14700"/>
  <c r="T82" i="14700"/>
  <c r="T80" i="14700"/>
  <c r="T78" i="14700"/>
  <c r="T79" i="14700"/>
  <c r="T83" i="14700"/>
  <c r="I214" i="14701"/>
  <c r="U206" i="14700" a="1"/>
  <c r="L214" i="14701"/>
  <c r="X203" i="14700" a="1"/>
  <c r="Q138" i="14700" a="1"/>
  <c r="E142" i="14701"/>
  <c r="N141" i="14700"/>
  <c r="N142" i="14700" s="1"/>
  <c r="B142" i="14701"/>
  <c r="T135" i="14700" a="1"/>
  <c r="H142" i="14701"/>
  <c r="D142" i="14701"/>
  <c r="P139" i="14700" a="1"/>
  <c r="L142" i="14701"/>
  <c r="X131" i="14700" a="1"/>
  <c r="U211" i="14698"/>
  <c r="U207" i="14698"/>
  <c r="U210" i="14698"/>
  <c r="U213" i="14698"/>
  <c r="U209" i="14698"/>
  <c r="U212" i="14698"/>
  <c r="U206" i="14698"/>
  <c r="U208" i="14698"/>
  <c r="U172" i="14698"/>
  <c r="U170" i="14698"/>
  <c r="U171" i="14698"/>
  <c r="U175" i="14698"/>
  <c r="U177" i="14698"/>
  <c r="U173" i="14698"/>
  <c r="U176" i="14698"/>
  <c r="U174" i="14698"/>
  <c r="Q175" i="14698"/>
  <c r="Q177" i="14698"/>
  <c r="Q176" i="14698"/>
  <c r="Q174" i="14698"/>
  <c r="P84" i="14702"/>
  <c r="P83" i="14702"/>
  <c r="P82" i="14702"/>
  <c r="N123" i="14702"/>
  <c r="B124" i="14704"/>
  <c r="V115" i="14702" a="1"/>
  <c r="J124" i="14704"/>
  <c r="Q120" i="14702" a="1"/>
  <c r="E124" i="14704"/>
  <c r="U80" i="14702"/>
  <c r="U79" i="14702"/>
  <c r="U77" i="14702"/>
  <c r="U78" i="14702"/>
  <c r="U81" i="14702"/>
  <c r="U84" i="14702"/>
  <c r="U83" i="14702"/>
  <c r="U82" i="14702"/>
  <c r="I124" i="14704"/>
  <c r="U116" i="14702" a="1"/>
  <c r="Q94" i="14704" a="1"/>
  <c r="Q94" i="14704" s="1"/>
  <c r="N97" i="14704" a="1"/>
  <c r="N97" i="14704" s="1"/>
  <c r="H40" i="14704"/>
  <c r="M98" i="14704" a="1"/>
  <c r="M98" i="14704" s="1"/>
  <c r="J101" i="14704" a="1"/>
  <c r="J101" i="14704" s="1"/>
  <c r="R93" i="14704" a="1"/>
  <c r="R93" i="14704" s="1"/>
  <c r="L99" i="14704" a="1"/>
  <c r="L99" i="14704" s="1"/>
  <c r="O96" i="14704" a="1"/>
  <c r="O96" i="14704" s="1"/>
  <c r="T91" i="14704" a="1"/>
  <c r="T91" i="14704" s="1"/>
  <c r="K100" i="14704" a="1"/>
  <c r="K100" i="14704" s="1"/>
  <c r="H103" i="14704" a="1"/>
  <c r="H103" i="14704" s="1"/>
  <c r="S92" i="14704" a="1"/>
  <c r="S92" i="14704" s="1"/>
  <c r="I102" i="14704" a="1"/>
  <c r="I102" i="14704" s="1"/>
  <c r="P95" i="14704" a="1"/>
  <c r="P95" i="14704" s="1"/>
  <c r="J98" i="14704" a="1"/>
  <c r="J98" i="14704" s="1"/>
  <c r="L96" i="14704" a="1"/>
  <c r="L96" i="14704" s="1"/>
  <c r="M95" i="14704" a="1"/>
  <c r="M95" i="14704" s="1"/>
  <c r="F102" i="14704" a="1"/>
  <c r="F102" i="14704" s="1"/>
  <c r="I99" i="14704" a="1"/>
  <c r="I99" i="14704" s="1"/>
  <c r="G101" i="14704" a="1"/>
  <c r="G101" i="14704" s="1"/>
  <c r="Q91" i="14704" a="1"/>
  <c r="Q91" i="14704" s="1"/>
  <c r="H100" i="14704" a="1"/>
  <c r="H100" i="14704" s="1"/>
  <c r="E103" i="14704" a="1"/>
  <c r="E103" i="14704" s="1"/>
  <c r="E40" i="14704"/>
  <c r="K97" i="14704" a="1"/>
  <c r="K97" i="14704" s="1"/>
  <c r="P92" i="14704" a="1"/>
  <c r="P92" i="14704" s="1"/>
  <c r="O93" i="14704" a="1"/>
  <c r="O93" i="14704" s="1"/>
  <c r="N94" i="14704" a="1"/>
  <c r="N94" i="14704" s="1"/>
  <c r="O92" i="14704" a="1"/>
  <c r="O92" i="14704" s="1"/>
  <c r="H99" i="14704" a="1"/>
  <c r="H99" i="14704" s="1"/>
  <c r="N93" i="14704" a="1"/>
  <c r="N93" i="14704" s="1"/>
  <c r="K96" i="14704" a="1"/>
  <c r="K96" i="14704" s="1"/>
  <c r="D40" i="14704"/>
  <c r="G100" i="14704" a="1"/>
  <c r="G100" i="14704" s="1"/>
  <c r="J97" i="14704" a="1"/>
  <c r="J97" i="14704" s="1"/>
  <c r="M94" i="14704" a="1"/>
  <c r="M94" i="14704" s="1"/>
  <c r="E102" i="14704" a="1"/>
  <c r="E102" i="14704" s="1"/>
  <c r="L95" i="14704" a="1"/>
  <c r="L95" i="14704" s="1"/>
  <c r="D103" i="14704" a="1"/>
  <c r="D103" i="14704" s="1"/>
  <c r="F101" i="14704" a="1"/>
  <c r="F101" i="14704" s="1"/>
  <c r="I98" i="14704" a="1"/>
  <c r="I98" i="14704" s="1"/>
  <c r="P91" i="14704" a="1"/>
  <c r="P91" i="14704" s="1"/>
  <c r="N91" i="14704" a="1"/>
  <c r="N91" i="14704" s="1"/>
  <c r="M92" i="14704" a="1"/>
  <c r="M92" i="14704" s="1"/>
  <c r="G98" i="14704" a="1"/>
  <c r="G98" i="14704" s="1"/>
  <c r="K94" i="14704" a="1"/>
  <c r="K94" i="14704" s="1"/>
  <c r="L93" i="14704" a="1"/>
  <c r="L93" i="14704" s="1"/>
  <c r="F99" i="14704" a="1"/>
  <c r="F99" i="14704" s="1"/>
  <c r="B103" i="14704" a="1"/>
  <c r="B103" i="14704" s="1"/>
  <c r="N32" i="14704"/>
  <c r="J95" i="14704" a="1"/>
  <c r="J95" i="14704" s="1"/>
  <c r="I96" i="14704" a="1"/>
  <c r="I96" i="14704" s="1"/>
  <c r="C102" i="14704" a="1"/>
  <c r="C102" i="14704" s="1"/>
  <c r="H97" i="14704" a="1"/>
  <c r="H97" i="14704" s="1"/>
  <c r="E100" i="14704" a="1"/>
  <c r="E100" i="14704" s="1"/>
  <c r="D101" i="14704" a="1"/>
  <c r="D101" i="14704" s="1"/>
  <c r="B40" i="14704"/>
  <c r="W92" i="14704" a="1"/>
  <c r="W92" i="14704" s="1"/>
  <c r="Q98" i="14704" a="1"/>
  <c r="Q98" i="14704" s="1"/>
  <c r="U94" i="14704" a="1"/>
  <c r="U94" i="14704" s="1"/>
  <c r="L40" i="14704"/>
  <c r="R97" i="14704" a="1"/>
  <c r="R97" i="14704" s="1"/>
  <c r="M102" i="14704" a="1"/>
  <c r="M102" i="14704" s="1"/>
  <c r="V93" i="14704" a="1"/>
  <c r="V93" i="14704" s="1"/>
  <c r="L103" i="14704" a="1"/>
  <c r="L103" i="14704" s="1"/>
  <c r="O100" i="14704" a="1"/>
  <c r="O100" i="14704" s="1"/>
  <c r="P99" i="14704" a="1"/>
  <c r="P99" i="14704" s="1"/>
  <c r="S96" i="14704" a="1"/>
  <c r="S96" i="14704" s="1"/>
  <c r="T95" i="14704" a="1"/>
  <c r="T95" i="14704" s="1"/>
  <c r="X91" i="14704" a="1"/>
  <c r="X91" i="14704" s="1"/>
  <c r="N101" i="14704" a="1"/>
  <c r="N101" i="14704" s="1"/>
  <c r="S97" i="14704" a="1"/>
  <c r="S97" i="14704" s="1"/>
  <c r="V94" i="14704" a="1"/>
  <c r="V94" i="14704" s="1"/>
  <c r="U95" i="14704" a="1"/>
  <c r="U95" i="14704" s="1"/>
  <c r="Q99" i="14704" a="1"/>
  <c r="Q99" i="14704" s="1"/>
  <c r="R98" i="14704" a="1"/>
  <c r="R98" i="14704" s="1"/>
  <c r="X92" i="14704" a="1"/>
  <c r="X92" i="14704" s="1"/>
  <c r="Y91" i="14704" a="1"/>
  <c r="Y91" i="14704" s="1"/>
  <c r="Y104" i="14704" s="1"/>
  <c r="O101" i="14704" a="1"/>
  <c r="O101" i="14704" s="1"/>
  <c r="W93" i="14704" a="1"/>
  <c r="W93" i="14704" s="1"/>
  <c r="N102" i="14704" a="1"/>
  <c r="N102" i="14704" s="1"/>
  <c r="M40" i="14704"/>
  <c r="T96" i="14704" a="1"/>
  <c r="T96" i="14704" s="1"/>
  <c r="M103" i="14704" a="1"/>
  <c r="M103" i="14704" s="1"/>
  <c r="P100" i="14704" a="1"/>
  <c r="P100" i="14704" s="1"/>
  <c r="J99" i="14704" a="1"/>
  <c r="J99" i="14704" s="1"/>
  <c r="N95" i="14704" a="1"/>
  <c r="N95" i="14704" s="1"/>
  <c r="M96" i="14704" a="1"/>
  <c r="M96" i="14704" s="1"/>
  <c r="I100" i="14704" a="1"/>
  <c r="I100" i="14704" s="1"/>
  <c r="F103" i="14704" a="1"/>
  <c r="F103" i="14704" s="1"/>
  <c r="H101" i="14704" a="1"/>
  <c r="H101" i="14704" s="1"/>
  <c r="R91" i="14704" a="1"/>
  <c r="R91" i="14704" s="1"/>
  <c r="O94" i="14704" a="1"/>
  <c r="O94" i="14704" s="1"/>
  <c r="Q92" i="14704" a="1"/>
  <c r="Q92" i="14704" s="1"/>
  <c r="G102" i="14704" a="1"/>
  <c r="G102" i="14704" s="1"/>
  <c r="K98" i="14704" a="1"/>
  <c r="K98" i="14704" s="1"/>
  <c r="F40" i="14704"/>
  <c r="L97" i="14704" a="1"/>
  <c r="L97" i="14704" s="1"/>
  <c r="P93" i="14704" a="1"/>
  <c r="P93" i="14704" s="1"/>
  <c r="P98" i="14704" a="1"/>
  <c r="P98" i="14704" s="1"/>
  <c r="N100" i="14704" a="1"/>
  <c r="N100" i="14704" s="1"/>
  <c r="Q97" i="14704" a="1"/>
  <c r="Q97" i="14704" s="1"/>
  <c r="M101" i="14704" a="1"/>
  <c r="M101" i="14704" s="1"/>
  <c r="S95" i="14704" a="1"/>
  <c r="S95" i="14704" s="1"/>
  <c r="V92" i="14704" a="1"/>
  <c r="V92" i="14704" s="1"/>
  <c r="L102" i="14704" a="1"/>
  <c r="L102" i="14704" s="1"/>
  <c r="K40" i="14704"/>
  <c r="W91" i="14704" a="1"/>
  <c r="W91" i="14704" s="1"/>
  <c r="U93" i="14704" a="1"/>
  <c r="U93" i="14704" s="1"/>
  <c r="T94" i="14704" a="1"/>
  <c r="T94" i="14704" s="1"/>
  <c r="K103" i="14704" a="1"/>
  <c r="K103" i="14704" s="1"/>
  <c r="R96" i="14704" a="1"/>
  <c r="R96" i="14704" s="1"/>
  <c r="O99" i="14704" a="1"/>
  <c r="O99" i="14704" s="1"/>
  <c r="U91" i="14704" a="1"/>
  <c r="U91" i="14704" s="1"/>
  <c r="L100" i="14704" a="1"/>
  <c r="L100" i="14704" s="1"/>
  <c r="T92" i="14704" a="1"/>
  <c r="T92" i="14704" s="1"/>
  <c r="P96" i="14704" a="1"/>
  <c r="P96" i="14704" s="1"/>
  <c r="S93" i="14704" a="1"/>
  <c r="S93" i="14704" s="1"/>
  <c r="J102" i="14704" a="1"/>
  <c r="J102" i="14704" s="1"/>
  <c r="I40" i="14704"/>
  <c r="Q95" i="14704" a="1"/>
  <c r="Q95" i="14704" s="1"/>
  <c r="M99" i="14704" a="1"/>
  <c r="M99" i="14704" s="1"/>
  <c r="N98" i="14704" a="1"/>
  <c r="N98" i="14704" s="1"/>
  <c r="O97" i="14704" a="1"/>
  <c r="O97" i="14704" s="1"/>
  <c r="I103" i="14704" a="1"/>
  <c r="I103" i="14704" s="1"/>
  <c r="K101" i="14704" a="1"/>
  <c r="K101" i="14704" s="1"/>
  <c r="R94" i="14704" a="1"/>
  <c r="R94" i="14704" s="1"/>
  <c r="B87" i="14704"/>
  <c r="S154" i="14702" a="1"/>
  <c r="G160" i="14704"/>
  <c r="R155" i="14702" a="1"/>
  <c r="F160" i="14704"/>
  <c r="X149" i="14702" a="1"/>
  <c r="L160" i="14704"/>
  <c r="H160" i="14704"/>
  <c r="T153" i="14702" a="1"/>
  <c r="K160" i="14704"/>
  <c r="W150" i="14702" a="1"/>
  <c r="X131" i="14702" a="1"/>
  <c r="L142" i="14704"/>
  <c r="I142" i="14704"/>
  <c r="U134" i="14702" a="1"/>
  <c r="R137" i="14702" a="1"/>
  <c r="F142" i="14704"/>
  <c r="V133" i="14702" a="1"/>
  <c r="J142" i="14704"/>
  <c r="I232" i="14704"/>
  <c r="U224" i="14702" a="1"/>
  <c r="C232" i="14704"/>
  <c r="O230" i="14702"/>
  <c r="R227" i="14702" a="1"/>
  <c r="F232" i="14704"/>
  <c r="P229" i="14702" a="1"/>
  <c r="D232" i="14704"/>
  <c r="E214" i="14704"/>
  <c r="Q210" i="14702" a="1"/>
  <c r="B214" i="14704"/>
  <c r="N213" i="14702"/>
  <c r="L214" i="14704"/>
  <c r="X203" i="14702" a="1"/>
  <c r="T116" i="14702"/>
  <c r="J116" i="14702"/>
  <c r="M116" i="14702"/>
  <c r="P116" i="14702"/>
  <c r="L116" i="14702"/>
  <c r="S116" i="14702"/>
  <c r="K116" i="14702"/>
  <c r="N116" i="14702"/>
  <c r="R116" i="14702"/>
  <c r="I116" i="14702"/>
  <c r="O116" i="14702"/>
  <c r="Q116" i="14702"/>
  <c r="N84" i="14701"/>
  <c r="N85" i="14701" s="1"/>
  <c r="B85" i="14702"/>
  <c r="V114" i="14702"/>
  <c r="L114" i="14702"/>
  <c r="O114" i="14702"/>
  <c r="S114" i="14702"/>
  <c r="K114" i="14702"/>
  <c r="T114" i="14702"/>
  <c r="Q114" i="14702"/>
  <c r="U114" i="14702"/>
  <c r="R114" i="14702"/>
  <c r="N114" i="14702"/>
  <c r="P114" i="14702"/>
  <c r="M114" i="14702"/>
  <c r="J32" i="14702"/>
  <c r="H35" i="14702"/>
  <c r="I38" i="14702"/>
  <c r="K37" i="14702"/>
  <c r="D36" i="14702"/>
  <c r="H37" i="14702"/>
  <c r="E36" i="14702"/>
  <c r="F35" i="14702"/>
  <c r="C36" i="14702"/>
  <c r="M35" i="14702"/>
  <c r="H33" i="14702"/>
  <c r="F36" i="14702"/>
  <c r="B32" i="14702"/>
  <c r="J37" i="14702"/>
  <c r="B34" i="14702"/>
  <c r="B33" i="14702"/>
  <c r="C35" i="14702"/>
  <c r="I33" i="14702"/>
  <c r="C39" i="14702"/>
  <c r="J38" i="14702"/>
  <c r="H38" i="14702"/>
  <c r="F38" i="14702"/>
  <c r="K38" i="14702"/>
  <c r="I32" i="14702"/>
  <c r="G37" i="14702"/>
  <c r="L35" i="14702"/>
  <c r="C37" i="14702"/>
  <c r="D37" i="14702"/>
  <c r="C38" i="14702"/>
  <c r="D34" i="14702"/>
  <c r="D39" i="14702"/>
  <c r="J35" i="14702"/>
  <c r="L38" i="14702"/>
  <c r="G38" i="14702"/>
  <c r="F37" i="14702"/>
  <c r="L37" i="14702"/>
  <c r="F32" i="14702"/>
  <c r="L39" i="14702"/>
  <c r="J39" i="14702"/>
  <c r="C32" i="14702"/>
  <c r="K39" i="14702"/>
  <c r="E38" i="14702"/>
  <c r="K34" i="14702"/>
  <c r="I35" i="14702"/>
  <c r="B39" i="14702"/>
  <c r="K36" i="14702"/>
  <c r="K35" i="14702"/>
  <c r="M39" i="14702"/>
  <c r="G33" i="14702"/>
  <c r="L32" i="14702"/>
  <c r="J34" i="14702"/>
  <c r="M32" i="14702"/>
  <c r="M33" i="14702"/>
  <c r="E34" i="14702"/>
  <c r="M34" i="14702"/>
  <c r="E33" i="14702"/>
  <c r="I37" i="14702"/>
  <c r="L36" i="14702"/>
  <c r="I36" i="14702"/>
  <c r="G36" i="14702"/>
  <c r="H36" i="14702"/>
  <c r="E32" i="14702"/>
  <c r="M38" i="14702"/>
  <c r="J33" i="14702"/>
  <c r="C33" i="14702"/>
  <c r="C34" i="14702"/>
  <c r="F39" i="14702"/>
  <c r="F34" i="14702"/>
  <c r="G32" i="14702"/>
  <c r="H32" i="14702"/>
  <c r="J36" i="14702"/>
  <c r="K32" i="14702"/>
  <c r="B35" i="14702"/>
  <c r="I34" i="14702"/>
  <c r="H34" i="14702"/>
  <c r="E35" i="14702"/>
  <c r="B36" i="14702"/>
  <c r="D32" i="14702"/>
  <c r="B37" i="14702"/>
  <c r="F33" i="14702"/>
  <c r="I39" i="14702"/>
  <c r="M37" i="14702"/>
  <c r="L33" i="14702"/>
  <c r="E37" i="14702"/>
  <c r="D38" i="14702"/>
  <c r="L34" i="14702"/>
  <c r="G39" i="14702"/>
  <c r="H39" i="14702"/>
  <c r="M36" i="14702"/>
  <c r="D35" i="14702"/>
  <c r="G35" i="14702"/>
  <c r="G34" i="14702"/>
  <c r="K33" i="14702"/>
  <c r="E39" i="14702"/>
  <c r="B38" i="14702"/>
  <c r="D33" i="14702"/>
  <c r="H85" i="14702"/>
  <c r="T78" i="14701" a="1"/>
  <c r="U77" i="14701" a="1"/>
  <c r="I85" i="14702"/>
  <c r="K85" i="14702"/>
  <c r="W75" i="14701" a="1"/>
  <c r="F85" i="14702"/>
  <c r="R80" i="14701" a="1"/>
  <c r="J85" i="14702"/>
  <c r="V76" i="14701" a="1"/>
  <c r="J118" i="14702"/>
  <c r="K118" i="14702"/>
  <c r="O118" i="14702"/>
  <c r="R118" i="14702"/>
  <c r="P118" i="14702"/>
  <c r="Q118" i="14702"/>
  <c r="N118" i="14702"/>
  <c r="H118" i="14702"/>
  <c r="I118" i="14702"/>
  <c r="M118" i="14702"/>
  <c r="G118" i="14702"/>
  <c r="L118" i="14702"/>
  <c r="N112" i="14702"/>
  <c r="O112" i="14702"/>
  <c r="X112" i="14702"/>
  <c r="M112" i="14702"/>
  <c r="T112" i="14702"/>
  <c r="S112" i="14702"/>
  <c r="W112" i="14702"/>
  <c r="R112" i="14702"/>
  <c r="Q112" i="14702"/>
  <c r="P112" i="14702"/>
  <c r="V112" i="14702"/>
  <c r="U112" i="14702"/>
  <c r="S115" i="14702"/>
  <c r="M115" i="14702"/>
  <c r="U115" i="14702"/>
  <c r="K115" i="14702"/>
  <c r="N115" i="14702"/>
  <c r="O115" i="14702"/>
  <c r="P115" i="14702"/>
  <c r="L115" i="14702"/>
  <c r="R115" i="14702"/>
  <c r="Q115" i="14702"/>
  <c r="J115" i="14702"/>
  <c r="T115" i="14702"/>
  <c r="N111" i="14702"/>
  <c r="T111" i="14702"/>
  <c r="P111" i="14702"/>
  <c r="W111" i="14702"/>
  <c r="X111" i="14702"/>
  <c r="Q111" i="14702"/>
  <c r="Y111" i="14702"/>
  <c r="R111" i="14702"/>
  <c r="U111" i="14702"/>
  <c r="O111" i="14702"/>
  <c r="S111" i="14702"/>
  <c r="V111" i="14702"/>
  <c r="H122" i="14702"/>
  <c r="L122" i="14702"/>
  <c r="J122" i="14702"/>
  <c r="K122" i="14702"/>
  <c r="G122" i="14702"/>
  <c r="M122" i="14702"/>
  <c r="D122" i="14702"/>
  <c r="C122" i="14702"/>
  <c r="N122" i="14702"/>
  <c r="F122" i="14702"/>
  <c r="E122" i="14702"/>
  <c r="I122" i="14702"/>
  <c r="F248" i="14702"/>
  <c r="K248" i="14702"/>
  <c r="J248" i="14702"/>
  <c r="N248" i="14702"/>
  <c r="L248" i="14702"/>
  <c r="G248" i="14702"/>
  <c r="C248" i="14702"/>
  <c r="I248" i="14702"/>
  <c r="M248" i="14702"/>
  <c r="E248" i="14702"/>
  <c r="H248" i="14702"/>
  <c r="D248" i="14702"/>
  <c r="F245" i="14702"/>
  <c r="M245" i="14702"/>
  <c r="H245" i="14702"/>
  <c r="L245" i="14702"/>
  <c r="K245" i="14702"/>
  <c r="P245" i="14702"/>
  <c r="J245" i="14702"/>
  <c r="N245" i="14702"/>
  <c r="G245" i="14702"/>
  <c r="O245" i="14702"/>
  <c r="I245" i="14702"/>
  <c r="Q245" i="14702"/>
  <c r="Q243" i="14702"/>
  <c r="H243" i="14702"/>
  <c r="I243" i="14702"/>
  <c r="N243" i="14702"/>
  <c r="R243" i="14702"/>
  <c r="J243" i="14702"/>
  <c r="S243" i="14702"/>
  <c r="L243" i="14702"/>
  <c r="K243" i="14702"/>
  <c r="M243" i="14702"/>
  <c r="P243" i="14702"/>
  <c r="O243" i="14702"/>
  <c r="B249" i="14702"/>
  <c r="L249" i="14702"/>
  <c r="J249" i="14702"/>
  <c r="F249" i="14702"/>
  <c r="I249" i="14702"/>
  <c r="K249" i="14702"/>
  <c r="D249" i="14702"/>
  <c r="C249" i="14702"/>
  <c r="O249" i="14701" s="1"/>
  <c r="M249" i="14702"/>
  <c r="G249" i="14702"/>
  <c r="H249" i="14702"/>
  <c r="E249" i="14702"/>
  <c r="D247" i="14702"/>
  <c r="N247" i="14702"/>
  <c r="J247" i="14702"/>
  <c r="I247" i="14702"/>
  <c r="K247" i="14702"/>
  <c r="H247" i="14702"/>
  <c r="O247" i="14702"/>
  <c r="M247" i="14702"/>
  <c r="E247" i="14702"/>
  <c r="L247" i="14702"/>
  <c r="F247" i="14702"/>
  <c r="G247" i="14702"/>
  <c r="N237" i="14702"/>
  <c r="U237" i="14702"/>
  <c r="O237" i="14702"/>
  <c r="S237" i="14702"/>
  <c r="P237" i="14702"/>
  <c r="X237" i="14702"/>
  <c r="T237" i="14702"/>
  <c r="Q237" i="14702"/>
  <c r="R237" i="14702"/>
  <c r="V237" i="14702"/>
  <c r="Y237" i="14702"/>
  <c r="W237" i="14702"/>
  <c r="V147" i="14702"/>
  <c r="O147" i="14702"/>
  <c r="N147" i="14702"/>
  <c r="Y147" i="14702"/>
  <c r="U147" i="14702"/>
  <c r="P147" i="14702"/>
  <c r="R147" i="14702"/>
  <c r="X147" i="14702"/>
  <c r="T147" i="14702"/>
  <c r="S147" i="14702"/>
  <c r="Q147" i="14702"/>
  <c r="W147" i="14702"/>
  <c r="P152" i="14702"/>
  <c r="T152" i="14702"/>
  <c r="L152" i="14702"/>
  <c r="R152" i="14702"/>
  <c r="N152" i="14702"/>
  <c r="S152" i="14702"/>
  <c r="I152" i="14702"/>
  <c r="J152" i="14702"/>
  <c r="O152" i="14702"/>
  <c r="Q152" i="14702"/>
  <c r="K152" i="14702"/>
  <c r="M152" i="14702"/>
  <c r="Q153" i="14702"/>
  <c r="L153" i="14702"/>
  <c r="J153" i="14702"/>
  <c r="N153" i="14702"/>
  <c r="K153" i="14702"/>
  <c r="I153" i="14702"/>
  <c r="H153" i="14702"/>
  <c r="S153" i="14702"/>
  <c r="O153" i="14702"/>
  <c r="M153" i="14702"/>
  <c r="R153" i="14702"/>
  <c r="P153" i="14702"/>
  <c r="W148" i="14702"/>
  <c r="Q148" i="14702"/>
  <c r="X148" i="14702"/>
  <c r="P148" i="14702"/>
  <c r="R148" i="14702"/>
  <c r="U148" i="14702"/>
  <c r="T148" i="14702"/>
  <c r="M148" i="14702"/>
  <c r="S148" i="14702"/>
  <c r="O148" i="14702"/>
  <c r="V148" i="14702"/>
  <c r="N148" i="14702"/>
  <c r="I155" i="14702"/>
  <c r="H155" i="14702"/>
  <c r="L155" i="14702"/>
  <c r="Q155" i="14702"/>
  <c r="P155" i="14702"/>
  <c r="N155" i="14702"/>
  <c r="J155" i="14702"/>
  <c r="O155" i="14702"/>
  <c r="G155" i="14702"/>
  <c r="K155" i="14702"/>
  <c r="F155" i="14702"/>
  <c r="M155" i="14702"/>
  <c r="T149" i="14702"/>
  <c r="N149" i="14702"/>
  <c r="P149" i="14702"/>
  <c r="S149" i="14702"/>
  <c r="W149" i="14702"/>
  <c r="U149" i="14702"/>
  <c r="L149" i="14702"/>
  <c r="R149" i="14702"/>
  <c r="M149" i="14702"/>
  <c r="O149" i="14702"/>
  <c r="Q149" i="14702"/>
  <c r="V149" i="14702"/>
  <c r="T137" i="14698"/>
  <c r="T140" i="14698"/>
  <c r="T135" i="14698"/>
  <c r="T141" i="14698"/>
  <c r="T138" i="14698"/>
  <c r="T136" i="14698"/>
  <c r="T139" i="14698"/>
  <c r="R248" i="14698"/>
  <c r="R247" i="14698"/>
  <c r="R245" i="14698"/>
  <c r="R246" i="14698"/>
  <c r="R249" i="14698"/>
  <c r="R195" i="14698"/>
  <c r="R191" i="14698"/>
  <c r="R194" i="14698"/>
  <c r="R193" i="14698"/>
  <c r="R192" i="14698"/>
  <c r="U85" i="14698"/>
  <c r="V85" i="14698"/>
  <c r="W115" i="14698"/>
  <c r="W117" i="14698"/>
  <c r="W114" i="14698"/>
  <c r="W116" i="14698"/>
  <c r="W122" i="14698"/>
  <c r="W121" i="14698"/>
  <c r="W120" i="14698"/>
  <c r="W123" i="14698"/>
  <c r="W119" i="14698"/>
  <c r="W118" i="14698"/>
  <c r="R158" i="14698"/>
  <c r="R159" i="14698"/>
  <c r="R157" i="14698"/>
  <c r="R156" i="14698"/>
  <c r="R155" i="14698"/>
  <c r="G250" i="14701"/>
  <c r="S244" i="14700" a="1"/>
  <c r="D250" i="14701"/>
  <c r="P247" i="14700" a="1"/>
  <c r="O248" i="14700"/>
  <c r="O250" i="14700" s="1"/>
  <c r="C250" i="14701"/>
  <c r="R245" i="14700" a="1"/>
  <c r="F250" i="14701"/>
  <c r="I232" i="14701"/>
  <c r="U224" i="14700" a="1"/>
  <c r="D232" i="14701"/>
  <c r="P229" i="14700" a="1"/>
  <c r="L232" i="14701"/>
  <c r="X221" i="14700" a="1"/>
  <c r="F232" i="14701"/>
  <c r="R227" i="14700" a="1"/>
  <c r="X185" i="14700" a="1"/>
  <c r="L196" i="14701"/>
  <c r="W186" i="14700" a="1"/>
  <c r="K196" i="14701"/>
  <c r="T189" i="14700" a="1"/>
  <c r="H196" i="14701"/>
  <c r="X149" i="14700" a="1"/>
  <c r="L160" i="14701"/>
  <c r="N159" i="14700"/>
  <c r="N160" i="14700" s="1"/>
  <c r="B160" i="14701"/>
  <c r="W150" i="14700" a="1"/>
  <c r="K160" i="14701"/>
  <c r="P212" i="14698"/>
  <c r="P211" i="14698"/>
  <c r="P213" i="14698"/>
  <c r="T230" i="14698"/>
  <c r="T228" i="14698"/>
  <c r="T229" i="14698"/>
  <c r="T225" i="14698"/>
  <c r="T227" i="14698"/>
  <c r="T226" i="14698"/>
  <c r="T231" i="14698"/>
  <c r="V228" i="14698"/>
  <c r="V227" i="14698"/>
  <c r="V229" i="14698"/>
  <c r="V224" i="14698"/>
  <c r="V231" i="14698"/>
  <c r="V230" i="14698"/>
  <c r="V226" i="14698"/>
  <c r="V225" i="14698"/>
  <c r="V223" i="14698"/>
  <c r="R173" i="14698"/>
  <c r="R177" i="14698"/>
  <c r="R175" i="14698"/>
  <c r="R176" i="14698"/>
  <c r="R174" i="14698"/>
  <c r="P175" i="14702" a="1"/>
  <c r="D178" i="14704"/>
  <c r="K178" i="14704"/>
  <c r="W168" i="14702" a="1"/>
  <c r="U170" i="14702" a="1"/>
  <c r="I178" i="14704"/>
  <c r="E178" i="14704"/>
  <c r="Q174" i="14702" a="1"/>
  <c r="I196" i="14704"/>
  <c r="U188" i="14702" a="1"/>
  <c r="Y184" i="14702" a="1"/>
  <c r="M196" i="14704"/>
  <c r="F196" i="14704"/>
  <c r="R191" i="14702" a="1"/>
  <c r="K250" i="14704"/>
  <c r="W240" i="14702" a="1"/>
  <c r="P250" i="14704"/>
  <c r="N250" i="14704"/>
  <c r="T250" i="14704"/>
  <c r="R250" i="14704"/>
  <c r="S250" i="14704"/>
  <c r="O250" i="14704"/>
  <c r="V241" i="14702" a="1"/>
  <c r="J250" i="14704"/>
  <c r="F250" i="14704"/>
  <c r="R245" i="14702" a="1"/>
  <c r="X141" i="14698"/>
  <c r="X133" i="14698"/>
  <c r="X138" i="14698"/>
  <c r="X139" i="14698"/>
  <c r="X135" i="14698"/>
  <c r="X132" i="14698"/>
  <c r="X131" i="14698"/>
  <c r="X136" i="14698"/>
  <c r="X134" i="14698"/>
  <c r="X137" i="14698"/>
  <c r="X140" i="14698"/>
  <c r="U248" i="14698"/>
  <c r="U246" i="14698"/>
  <c r="U247" i="14698"/>
  <c r="U249" i="14698"/>
  <c r="U243" i="14698"/>
  <c r="U242" i="14698"/>
  <c r="U245" i="14698"/>
  <c r="U244" i="14698"/>
  <c r="W246" i="14698"/>
  <c r="W240" i="14698"/>
  <c r="W249" i="14698"/>
  <c r="W248" i="14698"/>
  <c r="W247" i="14698"/>
  <c r="W243" i="14698"/>
  <c r="W244" i="14698"/>
  <c r="W245" i="14698"/>
  <c r="W241" i="14698"/>
  <c r="W242" i="14698"/>
  <c r="T193" i="14698"/>
  <c r="T189" i="14698"/>
  <c r="T195" i="14698"/>
  <c r="T192" i="14698"/>
  <c r="T191" i="14698"/>
  <c r="T190" i="14698"/>
  <c r="T194" i="14698"/>
  <c r="Q193" i="14698"/>
  <c r="Q195" i="14698"/>
  <c r="Q192" i="14698"/>
  <c r="Q194" i="14698"/>
  <c r="X185" i="14698"/>
  <c r="X188" i="14698"/>
  <c r="X187" i="14698"/>
  <c r="X194" i="14698"/>
  <c r="X192" i="14698"/>
  <c r="X195" i="14698"/>
  <c r="X189" i="14698"/>
  <c r="X190" i="14698"/>
  <c r="X193" i="14698"/>
  <c r="X191" i="14698"/>
  <c r="X186" i="14698"/>
  <c r="P195" i="14698"/>
  <c r="P193" i="14698"/>
  <c r="P194" i="14698"/>
  <c r="P157" i="14698"/>
  <c r="P159" i="14698"/>
  <c r="P158" i="14698"/>
  <c r="S82" i="14700"/>
  <c r="S84" i="14700"/>
  <c r="S83" i="14700"/>
  <c r="S79" i="14700"/>
  <c r="S81" i="14700"/>
  <c r="S80" i="14700"/>
  <c r="G36" i="14683"/>
  <c r="G40" i="14683"/>
  <c r="G37" i="14683"/>
  <c r="G35" i="14683"/>
  <c r="G41" i="14683"/>
  <c r="G39" i="14683"/>
  <c r="G38" i="14683"/>
  <c r="G34" i="14683"/>
  <c r="V115" i="14700" a="1"/>
  <c r="J124" i="14701"/>
  <c r="Q83" i="14700"/>
  <c r="Q82" i="14700"/>
  <c r="Q81" i="14700"/>
  <c r="Q84" i="14700"/>
  <c r="R92" i="14701" a="1"/>
  <c r="R92" i="14701" s="1"/>
  <c r="L98" i="14701" a="1"/>
  <c r="L98" i="14701" s="1"/>
  <c r="Q93" i="14701" a="1"/>
  <c r="Q93" i="14701" s="1"/>
  <c r="J100" i="14701" a="1"/>
  <c r="J100" i="14701" s="1"/>
  <c r="P94" i="14701" a="1"/>
  <c r="P94" i="14701" s="1"/>
  <c r="O95" i="14701" a="1"/>
  <c r="O95" i="14701" s="1"/>
  <c r="G40" i="14701"/>
  <c r="K99" i="14701" a="1"/>
  <c r="K99" i="14701" s="1"/>
  <c r="N96" i="14701" a="1"/>
  <c r="N96" i="14701" s="1"/>
  <c r="G103" i="14701" a="1"/>
  <c r="G103" i="14701" s="1"/>
  <c r="I101" i="14701" a="1"/>
  <c r="I101" i="14701" s="1"/>
  <c r="M97" i="14701" a="1"/>
  <c r="M97" i="14701" s="1"/>
  <c r="H102" i="14701" a="1"/>
  <c r="H102" i="14701" s="1"/>
  <c r="S91" i="14701" a="1"/>
  <c r="S91" i="14701" s="1"/>
  <c r="M103" i="14701" a="1"/>
  <c r="M103" i="14701" s="1"/>
  <c r="P100" i="14701" a="1"/>
  <c r="P100" i="14701" s="1"/>
  <c r="V94" i="14701" a="1"/>
  <c r="V94" i="14701" s="1"/>
  <c r="R98" i="14701" a="1"/>
  <c r="R98" i="14701" s="1"/>
  <c r="U95" i="14701" a="1"/>
  <c r="U95" i="14701" s="1"/>
  <c r="Q99" i="14701" a="1"/>
  <c r="Q99" i="14701" s="1"/>
  <c r="T96" i="14701" a="1"/>
  <c r="T96" i="14701" s="1"/>
  <c r="W93" i="14701" a="1"/>
  <c r="W93" i="14701" s="1"/>
  <c r="Y91" i="14701" a="1"/>
  <c r="Y91" i="14701" s="1"/>
  <c r="N102" i="14701" a="1"/>
  <c r="N102" i="14701" s="1"/>
  <c r="X92" i="14701" a="1"/>
  <c r="X92" i="14701" s="1"/>
  <c r="S97" i="14701" a="1"/>
  <c r="S97" i="14701" s="1"/>
  <c r="O101" i="14701" a="1"/>
  <c r="O101" i="14701" s="1"/>
  <c r="M40" i="14701"/>
  <c r="H103" i="14701" a="1"/>
  <c r="H103" i="14701" s="1"/>
  <c r="L99" i="14701" a="1"/>
  <c r="L99" i="14701" s="1"/>
  <c r="K100" i="14701" a="1"/>
  <c r="K100" i="14701" s="1"/>
  <c r="J101" i="14701" a="1"/>
  <c r="J101" i="14701" s="1"/>
  <c r="O96" i="14701" a="1"/>
  <c r="O96" i="14701" s="1"/>
  <c r="I102" i="14701" a="1"/>
  <c r="I102" i="14701" s="1"/>
  <c r="R93" i="14701" a="1"/>
  <c r="R93" i="14701" s="1"/>
  <c r="P95" i="14701" a="1"/>
  <c r="P95" i="14701" s="1"/>
  <c r="T91" i="14701" a="1"/>
  <c r="T91" i="14701" s="1"/>
  <c r="S92" i="14701" a="1"/>
  <c r="S92" i="14701" s="1"/>
  <c r="N97" i="14701" a="1"/>
  <c r="N97" i="14701" s="1"/>
  <c r="M98" i="14701" a="1"/>
  <c r="M98" i="14701" s="1"/>
  <c r="Q94" i="14701" a="1"/>
  <c r="Q94" i="14701" s="1"/>
  <c r="H40" i="14701"/>
  <c r="N33" i="14701"/>
  <c r="L97" i="14701" a="1"/>
  <c r="L97" i="14701" s="1"/>
  <c r="H101" i="14701" a="1"/>
  <c r="H101" i="14701" s="1"/>
  <c r="J99" i="14701" a="1"/>
  <c r="J99" i="14701" s="1"/>
  <c r="O94" i="14701" a="1"/>
  <c r="O94" i="14701" s="1"/>
  <c r="M96" i="14701" a="1"/>
  <c r="M96" i="14701" s="1"/>
  <c r="P93" i="14701" a="1"/>
  <c r="P93" i="14701" s="1"/>
  <c r="R91" i="14701" a="1"/>
  <c r="R91" i="14701" s="1"/>
  <c r="F40" i="14701"/>
  <c r="G102" i="14701" a="1"/>
  <c r="G102" i="14701" s="1"/>
  <c r="N95" i="14701" a="1"/>
  <c r="N95" i="14701" s="1"/>
  <c r="I100" i="14701" a="1"/>
  <c r="I100" i="14701" s="1"/>
  <c r="Q92" i="14701" a="1"/>
  <c r="Q92" i="14701" s="1"/>
  <c r="K98" i="14701" a="1"/>
  <c r="K98" i="14701" s="1"/>
  <c r="F103" i="14701" a="1"/>
  <c r="F103" i="14701" s="1"/>
  <c r="N35" i="14701"/>
  <c r="C102" i="14701" a="1"/>
  <c r="C102" i="14701" s="1"/>
  <c r="L93" i="14701" a="1"/>
  <c r="L93" i="14701" s="1"/>
  <c r="H97" i="14701" a="1"/>
  <c r="H97" i="14701" s="1"/>
  <c r="K94" i="14701" a="1"/>
  <c r="K94" i="14701" s="1"/>
  <c r="B40" i="14701"/>
  <c r="N91" i="14701" a="1"/>
  <c r="N91" i="14701" s="1"/>
  <c r="M92" i="14701" a="1"/>
  <c r="M92" i="14701" s="1"/>
  <c r="N32" i="14701"/>
  <c r="I96" i="14701" a="1"/>
  <c r="I96" i="14701" s="1"/>
  <c r="F99" i="14701" a="1"/>
  <c r="F99" i="14701" s="1"/>
  <c r="J95" i="14701" a="1"/>
  <c r="J95" i="14701" s="1"/>
  <c r="E100" i="14701" a="1"/>
  <c r="E100" i="14701" s="1"/>
  <c r="D101" i="14701" a="1"/>
  <c r="D101" i="14701" s="1"/>
  <c r="B103" i="14701" a="1"/>
  <c r="B103" i="14701" s="1"/>
  <c r="G98" i="14701" a="1"/>
  <c r="G98" i="14701" s="1"/>
  <c r="N34" i="14701"/>
  <c r="N37" i="14701"/>
  <c r="N38" i="14701"/>
  <c r="X84" i="14700"/>
  <c r="X82" i="14700"/>
  <c r="X74" i="14700"/>
  <c r="X81" i="14700"/>
  <c r="X76" i="14700"/>
  <c r="X75" i="14700"/>
  <c r="X77" i="14700"/>
  <c r="X83" i="14700"/>
  <c r="X78" i="14700"/>
  <c r="X80" i="14700"/>
  <c r="X79" i="14700"/>
  <c r="E42" i="14622"/>
  <c r="B87" i="14701"/>
  <c r="N123" i="14700"/>
  <c r="N124" i="14700" s="1"/>
  <c r="B124" i="14701"/>
  <c r="O212" i="14700"/>
  <c r="O214" i="14700" s="1"/>
  <c r="C214" i="14701"/>
  <c r="H214" i="14701"/>
  <c r="T207" i="14700" a="1"/>
  <c r="W204" i="14700" a="1"/>
  <c r="K214" i="14701"/>
  <c r="O140" i="14700"/>
  <c r="O142" i="14700" s="1"/>
  <c r="C142" i="14701"/>
  <c r="S136" i="14700" a="1"/>
  <c r="G142" i="14701"/>
  <c r="J142" i="14701"/>
  <c r="V133" i="14700" a="1"/>
  <c r="W223" i="14698"/>
  <c r="W226" i="14698"/>
  <c r="W222" i="14698"/>
  <c r="W231" i="14698"/>
  <c r="W229" i="14698"/>
  <c r="W227" i="14698"/>
  <c r="W228" i="14698"/>
  <c r="W224" i="14698"/>
  <c r="W225" i="14698"/>
  <c r="W230" i="14698"/>
  <c r="Y224" i="14698"/>
  <c r="Y229" i="14698"/>
  <c r="Y227" i="14698"/>
  <c r="Y225" i="14698"/>
  <c r="Y221" i="14698"/>
  <c r="Y228" i="14698"/>
  <c r="Y222" i="14698"/>
  <c r="Y226" i="14698"/>
  <c r="Y223" i="14698"/>
  <c r="Y230" i="14698"/>
  <c r="Y220" i="14698"/>
  <c r="Y231" i="14698"/>
  <c r="Y175" i="14698"/>
  <c r="Y177" i="14698"/>
  <c r="Y172" i="14698"/>
  <c r="Y166" i="14698"/>
  <c r="Y171" i="14698"/>
  <c r="Y173" i="14698"/>
  <c r="Y168" i="14698"/>
  <c r="Y174" i="14698"/>
  <c r="Y167" i="14698"/>
  <c r="Y170" i="14698"/>
  <c r="Y169" i="14698"/>
  <c r="Y176" i="14698"/>
  <c r="V79" i="14702"/>
  <c r="V84" i="14702"/>
  <c r="V80" i="14702"/>
  <c r="V82" i="14702"/>
  <c r="V76" i="14702"/>
  <c r="V83" i="14702"/>
  <c r="V77" i="14702"/>
  <c r="V78" i="14702"/>
  <c r="V81" i="14702"/>
  <c r="T82" i="14702"/>
  <c r="T78" i="14702"/>
  <c r="T79" i="14702"/>
  <c r="T83" i="14702"/>
  <c r="T80" i="14702"/>
  <c r="T81" i="14702"/>
  <c r="T84" i="14702"/>
  <c r="F124" i="14704"/>
  <c r="R119" i="14702" a="1"/>
  <c r="C124" i="14704"/>
  <c r="O122" i="14702"/>
  <c r="W114" i="14702" a="1"/>
  <c r="K124" i="14704"/>
  <c r="Y82" i="14702"/>
  <c r="Y81" i="14702"/>
  <c r="Y78" i="14702"/>
  <c r="Y77" i="14702"/>
  <c r="Y75" i="14702"/>
  <c r="Y80" i="14702"/>
  <c r="Y76" i="14702"/>
  <c r="Y79" i="14702"/>
  <c r="Y84" i="14702"/>
  <c r="Y74" i="14702"/>
  <c r="Y83" i="14702"/>
  <c r="Y73" i="14702"/>
  <c r="C160" i="14704"/>
  <c r="O158" i="14702"/>
  <c r="Q156" i="14702" a="1"/>
  <c r="E160" i="14704"/>
  <c r="V160" i="14704"/>
  <c r="N160" i="14704"/>
  <c r="T160" i="14704"/>
  <c r="O160" i="14704"/>
  <c r="S160" i="14704"/>
  <c r="V151" i="14702" a="1"/>
  <c r="J160" i="14704"/>
  <c r="O140" i="14702"/>
  <c r="C142" i="14704"/>
  <c r="D142" i="14704"/>
  <c r="P139" i="14702" a="1"/>
  <c r="S136" i="14702" a="1"/>
  <c r="G142" i="14704"/>
  <c r="W142" i="14704"/>
  <c r="O142" i="14704"/>
  <c r="U142" i="14704"/>
  <c r="P142" i="14704"/>
  <c r="S142" i="14704"/>
  <c r="K142" i="14704"/>
  <c r="W132" i="14702" a="1"/>
  <c r="N231" i="14702"/>
  <c r="B232" i="14704"/>
  <c r="S232" i="14704"/>
  <c r="U232" i="14704"/>
  <c r="N232" i="14704"/>
  <c r="Q232" i="14704"/>
  <c r="V232" i="14704"/>
  <c r="E232" i="14704"/>
  <c r="Q228" i="14702" a="1"/>
  <c r="J214" i="14704"/>
  <c r="V205" i="14702" a="1"/>
  <c r="P211" i="14702" a="1"/>
  <c r="D214" i="14704"/>
  <c r="P214" i="14704"/>
  <c r="U214" i="14704"/>
  <c r="V214" i="14704"/>
  <c r="S214" i="14704"/>
  <c r="Q214" i="14704"/>
  <c r="I189" i="14702"/>
  <c r="H189" i="14702"/>
  <c r="S189" i="14702"/>
  <c r="J189" i="14702"/>
  <c r="K189" i="14702"/>
  <c r="N189" i="14702"/>
  <c r="Q189" i="14702"/>
  <c r="O189" i="14702"/>
  <c r="L189" i="14702"/>
  <c r="M189" i="14702"/>
  <c r="P189" i="14702"/>
  <c r="R189" i="14702"/>
  <c r="N184" i="14702"/>
  <c r="R184" i="14702"/>
  <c r="U184" i="14702"/>
  <c r="V184" i="14702"/>
  <c r="S184" i="14702"/>
  <c r="W184" i="14702"/>
  <c r="Q184" i="14702"/>
  <c r="P184" i="14702"/>
  <c r="M184" i="14702"/>
  <c r="X184" i="14702"/>
  <c r="T184" i="14702"/>
  <c r="O184" i="14702"/>
  <c r="U186" i="14702"/>
  <c r="P186" i="14702"/>
  <c r="V186" i="14702"/>
  <c r="R186" i="14702"/>
  <c r="M186" i="14702"/>
  <c r="S186" i="14702"/>
  <c r="T186" i="14702"/>
  <c r="O186" i="14702"/>
  <c r="K186" i="14702"/>
  <c r="L186" i="14702"/>
  <c r="N186" i="14702"/>
  <c r="Q186" i="14702"/>
  <c r="L188" i="14702"/>
  <c r="Q188" i="14702"/>
  <c r="K188" i="14702"/>
  <c r="N188" i="14702"/>
  <c r="R188" i="14702"/>
  <c r="S188" i="14702"/>
  <c r="J188" i="14702"/>
  <c r="T188" i="14702"/>
  <c r="O188" i="14702"/>
  <c r="M188" i="14702"/>
  <c r="P188" i="14702"/>
  <c r="I188" i="14702"/>
  <c r="G190" i="14702"/>
  <c r="J190" i="14702"/>
  <c r="P190" i="14702"/>
  <c r="R190" i="14702"/>
  <c r="M190" i="14702"/>
  <c r="L190" i="14702"/>
  <c r="Q190" i="14702"/>
  <c r="H190" i="14702"/>
  <c r="N190" i="14702"/>
  <c r="K190" i="14702"/>
  <c r="I190" i="14702"/>
  <c r="O190" i="14702"/>
  <c r="L185" i="14702"/>
  <c r="U185" i="14702"/>
  <c r="V185" i="14702"/>
  <c r="N185" i="14702"/>
  <c r="T185" i="14702"/>
  <c r="W185" i="14702"/>
  <c r="P185" i="14702"/>
  <c r="Q185" i="14702"/>
  <c r="S185" i="14702"/>
  <c r="O185" i="14702"/>
  <c r="R185" i="14702"/>
  <c r="M185" i="14702"/>
  <c r="P183" i="14702"/>
  <c r="W183" i="14702"/>
  <c r="X183" i="14702"/>
  <c r="U183" i="14702"/>
  <c r="R183" i="14702"/>
  <c r="V183" i="14702"/>
  <c r="Q183" i="14702"/>
  <c r="Y183" i="14702"/>
  <c r="N183" i="14702"/>
  <c r="S183" i="14702"/>
  <c r="T183" i="14702"/>
  <c r="O183" i="14702"/>
  <c r="K177" i="14702"/>
  <c r="J177" i="14702"/>
  <c r="G177" i="14702"/>
  <c r="H177" i="14702"/>
  <c r="L177" i="14702"/>
  <c r="C177" i="14702"/>
  <c r="O177" i="14701" s="1"/>
  <c r="M177" i="14702"/>
  <c r="I177" i="14702"/>
  <c r="B177" i="14702"/>
  <c r="E177" i="14702"/>
  <c r="D177" i="14702"/>
  <c r="F177" i="14702"/>
  <c r="P172" i="14702"/>
  <c r="I172" i="14702"/>
  <c r="R172" i="14702"/>
  <c r="M172" i="14702"/>
  <c r="Q172" i="14702"/>
  <c r="L172" i="14702"/>
  <c r="N172" i="14702"/>
  <c r="O172" i="14702"/>
  <c r="J172" i="14702"/>
  <c r="K172" i="14702"/>
  <c r="G172" i="14702"/>
  <c r="H172" i="14702"/>
  <c r="W166" i="14702"/>
  <c r="S166" i="14702"/>
  <c r="P166" i="14702"/>
  <c r="Q166" i="14702"/>
  <c r="R166" i="14702"/>
  <c r="U166" i="14702"/>
  <c r="M166" i="14702"/>
  <c r="N166" i="14702"/>
  <c r="O166" i="14702"/>
  <c r="V166" i="14702"/>
  <c r="T166" i="14702"/>
  <c r="X166" i="14702"/>
  <c r="K170" i="14702"/>
  <c r="Q170" i="14702"/>
  <c r="T170" i="14702"/>
  <c r="J170" i="14702"/>
  <c r="M170" i="14702"/>
  <c r="O170" i="14702"/>
  <c r="S170" i="14702"/>
  <c r="I170" i="14702"/>
  <c r="R170" i="14702"/>
  <c r="N170" i="14702"/>
  <c r="L170" i="14702"/>
  <c r="P170" i="14702"/>
  <c r="C176" i="14702"/>
  <c r="M176" i="14702"/>
  <c r="I176" i="14702"/>
  <c r="J176" i="14702"/>
  <c r="L176" i="14702"/>
  <c r="D176" i="14702"/>
  <c r="N176" i="14702"/>
  <c r="E176" i="14702"/>
  <c r="F176" i="14702"/>
  <c r="K176" i="14702"/>
  <c r="G176" i="14702"/>
  <c r="H176" i="14702"/>
  <c r="P165" i="14702"/>
  <c r="T165" i="14702"/>
  <c r="Q165" i="14702"/>
  <c r="N165" i="14702"/>
  <c r="S165" i="14702"/>
  <c r="O165" i="14702"/>
  <c r="X165" i="14702"/>
  <c r="R165" i="14702"/>
  <c r="W165" i="14702"/>
  <c r="Y165" i="14702"/>
  <c r="U165" i="14702"/>
  <c r="V165" i="14702"/>
  <c r="I230" i="14702"/>
  <c r="N230" i="14702"/>
  <c r="E230" i="14702"/>
  <c r="M230" i="14702"/>
  <c r="J230" i="14702"/>
  <c r="F230" i="14702"/>
  <c r="D230" i="14702"/>
  <c r="K230" i="14702"/>
  <c r="H230" i="14702"/>
  <c r="C230" i="14702"/>
  <c r="L230" i="14702"/>
  <c r="G230" i="14702"/>
  <c r="H226" i="14702"/>
  <c r="J226" i="14702"/>
  <c r="P226" i="14702"/>
  <c r="L226" i="14702"/>
  <c r="M226" i="14702"/>
  <c r="Q226" i="14702"/>
  <c r="I226" i="14702"/>
  <c r="G226" i="14702"/>
  <c r="K226" i="14702"/>
  <c r="R226" i="14702"/>
  <c r="O226" i="14702"/>
  <c r="N226" i="14702"/>
  <c r="I224" i="14702"/>
  <c r="R224" i="14702"/>
  <c r="J224" i="14702"/>
  <c r="M224" i="14702"/>
  <c r="Q224" i="14702"/>
  <c r="P224" i="14702"/>
  <c r="O224" i="14702"/>
  <c r="K224" i="14702"/>
  <c r="L224" i="14702"/>
  <c r="T224" i="14702"/>
  <c r="N224" i="14702"/>
  <c r="S224" i="14702"/>
  <c r="N225" i="14702"/>
  <c r="Q225" i="14702"/>
  <c r="K225" i="14702"/>
  <c r="H225" i="14702"/>
  <c r="O225" i="14702"/>
  <c r="P225" i="14702"/>
  <c r="L225" i="14702"/>
  <c r="M225" i="14702"/>
  <c r="R225" i="14702"/>
  <c r="I225" i="14702"/>
  <c r="S225" i="14702"/>
  <c r="J225" i="14702"/>
  <c r="M222" i="14702"/>
  <c r="O222" i="14702"/>
  <c r="T222" i="14702"/>
  <c r="R222" i="14702"/>
  <c r="Q222" i="14702"/>
  <c r="U222" i="14702"/>
  <c r="V222" i="14702"/>
  <c r="P222" i="14702"/>
  <c r="K222" i="14702"/>
  <c r="N222" i="14702"/>
  <c r="S222" i="14702"/>
  <c r="L222" i="14702"/>
  <c r="P221" i="14702"/>
  <c r="N221" i="14702"/>
  <c r="R221" i="14702"/>
  <c r="T221" i="14702"/>
  <c r="S221" i="14702"/>
  <c r="M221" i="14702"/>
  <c r="V221" i="14702"/>
  <c r="L221" i="14702"/>
  <c r="W221" i="14702"/>
  <c r="O221" i="14702"/>
  <c r="Q221" i="14702"/>
  <c r="U221" i="14702"/>
  <c r="U129" i="14702"/>
  <c r="O129" i="14702"/>
  <c r="T129" i="14702"/>
  <c r="X129" i="14702"/>
  <c r="P129" i="14702"/>
  <c r="R129" i="14702"/>
  <c r="V129" i="14702"/>
  <c r="Y129" i="14702"/>
  <c r="N129" i="14702"/>
  <c r="W129" i="14702"/>
  <c r="S129" i="14702"/>
  <c r="Q129" i="14702"/>
  <c r="G137" i="14702"/>
  <c r="H137" i="14702"/>
  <c r="Q137" i="14702"/>
  <c r="O137" i="14702"/>
  <c r="P137" i="14702"/>
  <c r="J137" i="14702"/>
  <c r="L137" i="14702"/>
  <c r="I137" i="14702"/>
  <c r="K137" i="14702"/>
  <c r="N137" i="14702"/>
  <c r="F137" i="14702"/>
  <c r="M137" i="14702"/>
  <c r="S130" i="14702"/>
  <c r="P130" i="14702"/>
  <c r="W130" i="14702"/>
  <c r="X130" i="14702"/>
  <c r="T130" i="14702"/>
  <c r="O130" i="14702"/>
  <c r="V130" i="14702"/>
  <c r="R130" i="14702"/>
  <c r="M130" i="14702"/>
  <c r="N130" i="14702"/>
  <c r="Q130" i="14702"/>
  <c r="U130" i="14702"/>
  <c r="G139" i="14702"/>
  <c r="D139" i="14702"/>
  <c r="J139" i="14702"/>
  <c r="L139" i="14702"/>
  <c r="F139" i="14702"/>
  <c r="N139" i="14702"/>
  <c r="K139" i="14702"/>
  <c r="I139" i="14702"/>
  <c r="E139" i="14702"/>
  <c r="O139" i="14702"/>
  <c r="M139" i="14702"/>
  <c r="H139" i="14702"/>
  <c r="R133" i="14702"/>
  <c r="T133" i="14702"/>
  <c r="J133" i="14702"/>
  <c r="S133" i="14702"/>
  <c r="U133" i="14702"/>
  <c r="N133" i="14702"/>
  <c r="M133" i="14702"/>
  <c r="L133" i="14702"/>
  <c r="P133" i="14702"/>
  <c r="Q133" i="14702"/>
  <c r="O133" i="14702"/>
  <c r="K133" i="14702"/>
  <c r="N134" i="14702"/>
  <c r="Q134" i="14702"/>
  <c r="L134" i="14702"/>
  <c r="K134" i="14702"/>
  <c r="P134" i="14702"/>
  <c r="O134" i="14702"/>
  <c r="R134" i="14702"/>
  <c r="T134" i="14702"/>
  <c r="M134" i="14702"/>
  <c r="I134" i="14702"/>
  <c r="S134" i="14702"/>
  <c r="J134" i="14702"/>
  <c r="S205" i="14702"/>
  <c r="O205" i="14702"/>
  <c r="T205" i="14702"/>
  <c r="U205" i="14702"/>
  <c r="J205" i="14702"/>
  <c r="L205" i="14702"/>
  <c r="M205" i="14702"/>
  <c r="R205" i="14702"/>
  <c r="N205" i="14702"/>
  <c r="Q205" i="14702"/>
  <c r="K205" i="14702"/>
  <c r="P205" i="14702"/>
  <c r="K212" i="14702"/>
  <c r="J212" i="14702"/>
  <c r="D212" i="14702"/>
  <c r="N212" i="14702"/>
  <c r="G212" i="14702"/>
  <c r="H212" i="14702"/>
  <c r="F212" i="14702"/>
  <c r="I212" i="14702"/>
  <c r="L212" i="14702"/>
  <c r="M212" i="14702"/>
  <c r="C212" i="14702"/>
  <c r="E212" i="14702"/>
  <c r="I213" i="14702"/>
  <c r="L213" i="14702"/>
  <c r="F213" i="14702"/>
  <c r="J213" i="14702"/>
  <c r="K213" i="14702"/>
  <c r="B213" i="14702"/>
  <c r="G213" i="14702"/>
  <c r="D213" i="14702"/>
  <c r="C213" i="14702"/>
  <c r="O213" i="14701" s="1"/>
  <c r="E213" i="14702"/>
  <c r="H213" i="14702"/>
  <c r="M213" i="14702"/>
  <c r="M202" i="14702"/>
  <c r="O202" i="14702"/>
  <c r="U202" i="14702"/>
  <c r="P202" i="14702"/>
  <c r="N202" i="14702"/>
  <c r="X202" i="14702"/>
  <c r="T202" i="14702"/>
  <c r="R202" i="14702"/>
  <c r="S202" i="14702"/>
  <c r="Q202" i="14702"/>
  <c r="V202" i="14702"/>
  <c r="W202" i="14702"/>
  <c r="G209" i="14702"/>
  <c r="L209" i="14702"/>
  <c r="P209" i="14702"/>
  <c r="H209" i="14702"/>
  <c r="Q209" i="14702"/>
  <c r="J209" i="14702"/>
  <c r="N209" i="14702"/>
  <c r="K209" i="14702"/>
  <c r="O209" i="14702"/>
  <c r="M209" i="14702"/>
  <c r="I209" i="14702"/>
  <c r="F209" i="14702"/>
  <c r="J211" i="14702"/>
  <c r="I211" i="14702"/>
  <c r="E211" i="14702"/>
  <c r="D211" i="14702"/>
  <c r="K211" i="14702"/>
  <c r="H211" i="14702"/>
  <c r="N211" i="14702"/>
  <c r="O211" i="14702"/>
  <c r="M211" i="14702"/>
  <c r="F211" i="14702"/>
  <c r="G211" i="14702"/>
  <c r="L211" i="14702"/>
  <c r="U135" i="14698"/>
  <c r="U138" i="14698"/>
  <c r="U137" i="14698"/>
  <c r="U140" i="14698"/>
  <c r="U141" i="14698"/>
  <c r="U136" i="14698"/>
  <c r="U139" i="14698"/>
  <c r="U134" i="14698"/>
  <c r="V141" i="14698"/>
  <c r="V139" i="14698"/>
  <c r="V133" i="14698"/>
  <c r="V134" i="14698"/>
  <c r="V140" i="14698"/>
  <c r="V138" i="14698"/>
  <c r="V135" i="14698"/>
  <c r="V136" i="14698"/>
  <c r="V137" i="14698"/>
  <c r="T249" i="14698"/>
  <c r="T246" i="14698"/>
  <c r="T243" i="14698"/>
  <c r="T247" i="14698"/>
  <c r="T244" i="14698"/>
  <c r="T248" i="14698"/>
  <c r="T245" i="14698"/>
  <c r="X244" i="14698"/>
  <c r="X240" i="14698"/>
  <c r="X243" i="14698"/>
  <c r="X242" i="14698"/>
  <c r="X245" i="14698"/>
  <c r="X246" i="14698"/>
  <c r="X241" i="14698"/>
  <c r="X247" i="14698"/>
  <c r="X239" i="14698"/>
  <c r="X248" i="14698"/>
  <c r="X249" i="14698"/>
  <c r="U189" i="14698"/>
  <c r="U191" i="14698"/>
  <c r="U188" i="14698"/>
  <c r="U193" i="14698"/>
  <c r="U192" i="14698"/>
  <c r="U194" i="14698"/>
  <c r="U195" i="14698"/>
  <c r="U190" i="14698"/>
  <c r="S195" i="14698"/>
  <c r="S191" i="14698"/>
  <c r="S193" i="14698"/>
  <c r="S194" i="14698"/>
  <c r="S190" i="14698"/>
  <c r="S192" i="14698"/>
  <c r="S123" i="14698"/>
  <c r="S118" i="14698"/>
  <c r="S121" i="14698"/>
  <c r="S120" i="14698"/>
  <c r="S119" i="14698"/>
  <c r="S122" i="14698"/>
  <c r="X85" i="14698"/>
  <c r="Q85" i="14698"/>
  <c r="N40" i="14700"/>
  <c r="U96" i="14698" a="1"/>
  <c r="I104" i="14700"/>
  <c r="Y92" i="14698" a="1"/>
  <c r="M104" i="14700"/>
  <c r="E104" i="14700"/>
  <c r="Q100" i="14698" a="1"/>
  <c r="O102" i="14698"/>
  <c r="O104" i="14698" s="1"/>
  <c r="C104" i="14700"/>
  <c r="W94" i="14698" a="1"/>
  <c r="K104" i="14700"/>
  <c r="T97" i="14698" a="1"/>
  <c r="H104" i="14700"/>
  <c r="F104" i="14700"/>
  <c r="R99" i="14698" a="1"/>
  <c r="U120" i="14698"/>
  <c r="U118" i="14698"/>
  <c r="U117" i="14698"/>
  <c r="U121" i="14698"/>
  <c r="U119" i="14698"/>
  <c r="U123" i="14698"/>
  <c r="U116" i="14698"/>
  <c r="U122" i="14698"/>
  <c r="U157" i="14698"/>
  <c r="U159" i="14698"/>
  <c r="U158" i="14698"/>
  <c r="U155" i="14698"/>
  <c r="U154" i="14698"/>
  <c r="U156" i="14698"/>
  <c r="U153" i="14698"/>
  <c r="U152" i="14698"/>
  <c r="T157" i="14698"/>
  <c r="T158" i="14698"/>
  <c r="T154" i="14698"/>
  <c r="T156" i="14698"/>
  <c r="T155" i="14698"/>
  <c r="T153" i="14698"/>
  <c r="T159" i="14698"/>
  <c r="U242" i="14700" a="1"/>
  <c r="I250" i="14701"/>
  <c r="X239" i="14700" a="1"/>
  <c r="L250" i="14701"/>
  <c r="E232" i="14701"/>
  <c r="Q228" i="14700" a="1"/>
  <c r="N231" i="14700"/>
  <c r="N232" i="14700" s="1"/>
  <c r="B232" i="14701"/>
  <c r="S226" i="14700" a="1"/>
  <c r="G232" i="14701"/>
  <c r="F178" i="14701"/>
  <c r="R173" i="14700" a="1"/>
  <c r="U170" i="14700" a="1"/>
  <c r="I178" i="14701"/>
  <c r="S172" i="14700" a="1"/>
  <c r="G178" i="14701"/>
  <c r="E178" i="14701"/>
  <c r="Q174" i="14700" a="1"/>
  <c r="N195" i="14700"/>
  <c r="N196" i="14700" s="1"/>
  <c r="B196" i="14701"/>
  <c r="P193" i="14700" a="1"/>
  <c r="D196" i="14701"/>
  <c r="R155" i="14700" a="1"/>
  <c r="F160" i="14701"/>
  <c r="T153" i="14700" a="1"/>
  <c r="H160" i="14701"/>
  <c r="D160" i="14701"/>
  <c r="P157" i="14700" a="1"/>
  <c r="C40" i="14637"/>
  <c r="L40" i="14637"/>
  <c r="F40" i="14637"/>
  <c r="D40" i="14637"/>
  <c r="B40" i="14637"/>
  <c r="H40" i="14637"/>
  <c r="K40" i="14637"/>
  <c r="I40" i="14637"/>
  <c r="G40" i="14637"/>
  <c r="E40" i="14637"/>
  <c r="J40" i="14637"/>
  <c r="E11" i="14657"/>
  <c r="M6" i="14659"/>
  <c r="M30" i="14659" s="1"/>
  <c r="D19" i="4129"/>
  <c r="N31" i="14653"/>
  <c r="B27" i="14645" s="1" a="1"/>
  <c r="N57" i="14653"/>
  <c r="B48" i="14645" s="1" a="1"/>
  <c r="C77" i="14665" a="1"/>
  <c r="D5" i="14661" a="1"/>
  <c r="Q46" i="14679"/>
  <c r="R57" i="14679" s="1"/>
  <c r="R30" i="14679"/>
  <c r="A54" i="14695"/>
  <c r="A59" i="14692"/>
  <c r="E69" i="14653"/>
  <c r="A58" i="14694"/>
  <c r="K1" i="14704"/>
  <c r="Q46" i="14678"/>
  <c r="R57" i="14678" s="1"/>
  <c r="R30" i="14678"/>
  <c r="R30" i="14638"/>
  <c r="Q46" i="14638"/>
  <c r="R57" i="14638" s="1"/>
  <c r="R30" i="14632"/>
  <c r="Q46" i="14632"/>
  <c r="R57" i="14632" s="1"/>
  <c r="R30" i="14623"/>
  <c r="Q46" i="14623"/>
  <c r="R57" i="14623" s="1"/>
  <c r="C54" i="14703"/>
  <c r="F54" i="14703"/>
  <c r="K54" i="14703"/>
  <c r="I54" i="14703"/>
  <c r="J54" i="14703"/>
  <c r="B60" i="14703" a="1"/>
  <c r="B61" i="14703" a="1"/>
  <c r="B54" i="14703"/>
  <c r="N46" i="14703"/>
  <c r="B65" i="14703" a="1"/>
  <c r="N53" i="14703"/>
  <c r="N48" i="14703"/>
  <c r="B59" i="14703" a="1"/>
  <c r="N49" i="14703"/>
  <c r="N50" i="14703"/>
  <c r="B66" i="14703" a="1"/>
  <c r="B62" i="14703" a="1"/>
  <c r="H54" i="14703"/>
  <c r="D54" i="14703"/>
  <c r="G54" i="14703"/>
  <c r="M54" i="14703"/>
  <c r="L54" i="14703"/>
  <c r="E54" i="14703"/>
  <c r="B63" i="14703" a="1"/>
  <c r="N47" i="14703"/>
  <c r="N51" i="14703"/>
  <c r="N52" i="14703"/>
  <c r="B64" i="14703" a="1"/>
  <c r="O39" i="14639"/>
  <c r="C41" i="14639" a="1"/>
  <c r="E27" i="14638"/>
  <c r="E10" i="14670" s="1"/>
  <c r="F27" i="14638"/>
  <c r="F10" i="14670" s="1"/>
  <c r="O19" i="14639"/>
  <c r="G27" i="14638"/>
  <c r="G10" i="14670" s="1"/>
  <c r="H27" i="14638"/>
  <c r="H10" i="14670" s="1"/>
  <c r="K27" i="14638"/>
  <c r="K10" i="14670" s="1"/>
  <c r="D67" i="14690"/>
  <c r="E32" i="14707"/>
  <c r="F24" i="14707" s="1" a="1"/>
  <c r="C74" i="14643"/>
  <c r="G66" i="14643" a="1"/>
  <c r="D27" i="14638"/>
  <c r="D10" i="14670" s="1"/>
  <c r="J27" i="14638"/>
  <c r="J10" i="14670" s="1"/>
  <c r="R28" i="14638"/>
  <c r="F25" i="14678" a="1"/>
  <c r="M27" i="14638"/>
  <c r="D23" i="14678" a="1"/>
  <c r="P28" i="14638"/>
  <c r="O28" i="14638"/>
  <c r="C22" i="14678" a="1"/>
  <c r="B36" i="14681"/>
  <c r="N36" i="14681" s="1"/>
  <c r="F23" i="14657" s="1"/>
  <c r="B5" i="14670" a="1"/>
  <c r="N25" i="14668"/>
  <c r="B32" i="14668" a="1"/>
  <c r="G19" i="14683" a="1"/>
  <c r="C79" i="14643" a="1"/>
  <c r="G24" i="14707" a="1"/>
  <c r="N5" i="14640"/>
  <c r="G5" i="14617" s="1" a="1"/>
  <c r="B7" i="14640" a="1"/>
  <c r="N38" i="14637"/>
  <c r="N39" i="14637"/>
  <c r="N34" i="14637"/>
  <c r="N35" i="14637"/>
  <c r="N36" i="14637"/>
  <c r="N37" i="14637"/>
  <c r="F58" i="14707"/>
  <c r="F60" i="14707"/>
  <c r="F55" i="14707"/>
  <c r="F62" i="14707"/>
  <c r="F56" i="14707"/>
  <c r="F59" i="14707"/>
  <c r="F57" i="14707"/>
  <c r="F61" i="14707"/>
  <c r="B71" i="14701" a="1"/>
  <c r="N71" i="14700" a="1"/>
  <c r="B19" i="14638" a="1"/>
  <c r="L27" i="14638"/>
  <c r="L10" i="14670" s="1"/>
  <c r="I36" i="14652"/>
  <c r="I39" i="14652"/>
  <c r="I38" i="14652"/>
  <c r="I34" i="14652"/>
  <c r="I37" i="14652"/>
  <c r="I33" i="14652"/>
  <c r="I40" i="14652"/>
  <c r="I35" i="14652"/>
  <c r="B19" i="14678" a="1"/>
  <c r="B37" i="14645" a="1"/>
  <c r="N71" i="14701" a="1"/>
  <c r="B71" i="14702" a="1"/>
  <c r="B7" i="14645" a="1"/>
  <c r="N71" i="14703" a="1"/>
  <c r="B19" i="14623" a="1"/>
  <c r="B71" i="14698" a="1"/>
  <c r="B27" i="14638"/>
  <c r="N15" i="14638"/>
  <c r="I27" i="14638"/>
  <c r="I10" i="14670" s="1"/>
  <c r="G26" i="14678"/>
  <c r="S28" i="14638"/>
  <c r="Q28" i="14638"/>
  <c r="E24" i="14678" a="1"/>
  <c r="B21" i="14678" a="1"/>
  <c r="N28" i="14638"/>
  <c r="C27" i="14638"/>
  <c r="C10" i="14670" s="1"/>
  <c r="L11" i="14678"/>
  <c r="I11" i="14678"/>
  <c r="K9" i="14678"/>
  <c r="G14" i="14678"/>
  <c r="K14" i="14678"/>
  <c r="M7" i="14678"/>
  <c r="J13" i="14678"/>
  <c r="J11" i="14678"/>
  <c r="E13" i="14678"/>
  <c r="C8" i="14678"/>
  <c r="K8" i="14678"/>
  <c r="G10" i="14678"/>
  <c r="L7" i="14678"/>
  <c r="E14" i="14678"/>
  <c r="D11" i="14678"/>
  <c r="B13" i="14678"/>
  <c r="D13" i="14678"/>
  <c r="I12" i="14678"/>
  <c r="G13" i="14678"/>
  <c r="J9" i="14678"/>
  <c r="B14" i="14678"/>
  <c r="M14" i="14678"/>
  <c r="E10" i="14678"/>
  <c r="D10" i="14678"/>
  <c r="E11" i="14678"/>
  <c r="M9" i="14678"/>
  <c r="G8" i="14678"/>
  <c r="J12" i="14678"/>
  <c r="M10" i="14678"/>
  <c r="L13" i="14678"/>
  <c r="F14" i="14678"/>
  <c r="D14" i="14678"/>
  <c r="K11" i="14678"/>
  <c r="G12" i="14678"/>
  <c r="C12" i="14678"/>
  <c r="L10" i="14678"/>
  <c r="C7" i="14678"/>
  <c r="K10" i="14678"/>
  <c r="H12" i="14678"/>
  <c r="J10" i="14678"/>
  <c r="D8" i="14678"/>
  <c r="B9" i="14678"/>
  <c r="I7" i="14678"/>
  <c r="I13" i="14678"/>
  <c r="B11" i="14678"/>
  <c r="L14" i="14678"/>
  <c r="L9" i="14678"/>
  <c r="C10" i="14678"/>
  <c r="E7" i="14678"/>
  <c r="F12" i="14678"/>
  <c r="K7" i="14678"/>
  <c r="C11" i="14678"/>
  <c r="F8" i="14678"/>
  <c r="E9" i="14678"/>
  <c r="M8" i="14678"/>
  <c r="M11" i="14678"/>
  <c r="J14" i="14678"/>
  <c r="D9" i="14678"/>
  <c r="M13" i="14678"/>
  <c r="I9" i="14678"/>
  <c r="K12" i="14678"/>
  <c r="D7" i="14678"/>
  <c r="L8" i="14678"/>
  <c r="E12" i="14678"/>
  <c r="E8" i="14678"/>
  <c r="H10" i="14678"/>
  <c r="I14" i="14678"/>
  <c r="B10" i="14678"/>
  <c r="B12" i="14678"/>
  <c r="J7" i="14678"/>
  <c r="I8" i="14678"/>
  <c r="M12" i="14678"/>
  <c r="K13" i="14678"/>
  <c r="G9" i="14678"/>
  <c r="H8" i="14678"/>
  <c r="G11" i="14678"/>
  <c r="G7" i="14678"/>
  <c r="C9" i="14678"/>
  <c r="H7" i="14678"/>
  <c r="F13" i="14678"/>
  <c r="C14" i="14678"/>
  <c r="D12" i="14678"/>
  <c r="B7" i="14678"/>
  <c r="H9" i="14678"/>
  <c r="F7" i="14678"/>
  <c r="L12" i="14678"/>
  <c r="I10" i="14678"/>
  <c r="F11" i="14678"/>
  <c r="J8" i="14678"/>
  <c r="F9" i="14678"/>
  <c r="H13" i="14678"/>
  <c r="F10" i="14678"/>
  <c r="H14" i="14678"/>
  <c r="H11" i="14678"/>
  <c r="C13" i="14678"/>
  <c r="B8" i="14678"/>
  <c r="K35" i="14674"/>
  <c r="N34" i="14674"/>
  <c r="G35" i="14674"/>
  <c r="M34" i="14674"/>
  <c r="J31" i="14674"/>
  <c r="M32" i="14674"/>
  <c r="M40" i="14674" s="1"/>
  <c r="G37" i="14674"/>
  <c r="G36" i="14674"/>
  <c r="M33" i="14674"/>
  <c r="K31" i="14674"/>
  <c r="D32" i="14674"/>
  <c r="D40" i="14674" s="1"/>
  <c r="L35" i="14674"/>
  <c r="C38" i="14674"/>
  <c r="I31" i="14674"/>
  <c r="C34" i="14674"/>
  <c r="N33" i="14674"/>
  <c r="I38" i="14674"/>
  <c r="L37" i="14674"/>
  <c r="L33" i="14674"/>
  <c r="K36" i="14674"/>
  <c r="D33" i="14674"/>
  <c r="N35" i="14674"/>
  <c r="F32" i="14674"/>
  <c r="F40" i="14674" s="1"/>
  <c r="N31" i="14674"/>
  <c r="E36" i="14674"/>
  <c r="H34" i="14674"/>
  <c r="F31" i="14674"/>
  <c r="F38" i="14674"/>
  <c r="J38" i="14674"/>
  <c r="F33" i="14674"/>
  <c r="L38" i="14674"/>
  <c r="I33" i="14674"/>
  <c r="G38" i="14674"/>
  <c r="N32" i="14674"/>
  <c r="N40" i="14674" s="1"/>
  <c r="E35" i="14674"/>
  <c r="C32" i="14674"/>
  <c r="C40" i="14674" s="1"/>
  <c r="H32" i="14674"/>
  <c r="H40" i="14674" s="1"/>
  <c r="C36" i="14674"/>
  <c r="D31" i="14674"/>
  <c r="G31" i="14674"/>
  <c r="K32" i="14674"/>
  <c r="K40" i="14674" s="1"/>
  <c r="M37" i="14674"/>
  <c r="C35" i="14674"/>
  <c r="F34" i="14674"/>
  <c r="H38" i="14674"/>
  <c r="I36" i="14674"/>
  <c r="M38" i="14674"/>
  <c r="K34" i="14674"/>
  <c r="I34" i="14674"/>
  <c r="L31" i="14674"/>
  <c r="F37" i="14674"/>
  <c r="M35" i="14674"/>
  <c r="N36" i="14674"/>
  <c r="E32" i="14674"/>
  <c r="E40" i="14674" s="1"/>
  <c r="E37" i="14674"/>
  <c r="D36" i="14674"/>
  <c r="H37" i="14674"/>
  <c r="C37" i="14674"/>
  <c r="L32" i="14674"/>
  <c r="L40" i="14674" s="1"/>
  <c r="H36" i="14674"/>
  <c r="H33" i="14674"/>
  <c r="L36" i="14674"/>
  <c r="F35" i="14674"/>
  <c r="E34" i="14674"/>
  <c r="G32" i="14674"/>
  <c r="G40" i="14674" s="1"/>
  <c r="F36" i="14674"/>
  <c r="H31" i="14674"/>
  <c r="I37" i="14674"/>
  <c r="D37" i="14674"/>
  <c r="K38" i="14674"/>
  <c r="L34" i="14674"/>
  <c r="D34" i="14674"/>
  <c r="M36" i="14674"/>
  <c r="D35" i="14674"/>
  <c r="E31" i="14674"/>
  <c r="J37" i="14674"/>
  <c r="C33" i="14674"/>
  <c r="I32" i="14674"/>
  <c r="I40" i="14674" s="1"/>
  <c r="J34" i="14674"/>
  <c r="N38" i="14674"/>
  <c r="E33" i="14674"/>
  <c r="H35" i="14674"/>
  <c r="J35" i="14674"/>
  <c r="M31" i="14674"/>
  <c r="I35" i="14674"/>
  <c r="J32" i="14674"/>
  <c r="J40" i="14674" s="1"/>
  <c r="G33" i="14674"/>
  <c r="N37" i="14674"/>
  <c r="E38" i="14674"/>
  <c r="C31" i="14674"/>
  <c r="D38" i="14674"/>
  <c r="G34" i="14674"/>
  <c r="J36" i="14674"/>
  <c r="K33" i="14674"/>
  <c r="K37" i="14674"/>
  <c r="J33" i="14674"/>
  <c r="E27" i="14683"/>
  <c r="F19" i="14683" s="1" a="1"/>
  <c r="E49" i="14683" a="1"/>
  <c r="N33" i="14637"/>
  <c r="N32" i="14637"/>
  <c r="G22" i="14669"/>
  <c r="L22" i="14669"/>
  <c r="K20" i="14669"/>
  <c r="F18" i="14669"/>
  <c r="D23" i="14669"/>
  <c r="H19" i="14669"/>
  <c r="E24" i="14669"/>
  <c r="D24" i="14669"/>
  <c r="G21" i="14669"/>
  <c r="I22" i="14669"/>
  <c r="I24" i="14669"/>
  <c r="G17" i="14669"/>
  <c r="H21" i="14669"/>
  <c r="B18" i="14669"/>
  <c r="M18" i="14669"/>
  <c r="L18" i="14669"/>
  <c r="M20" i="14669"/>
  <c r="H20" i="14669"/>
  <c r="C21" i="14669"/>
  <c r="C19" i="14669"/>
  <c r="C22" i="14669"/>
  <c r="F24" i="14669"/>
  <c r="L19" i="14669"/>
  <c r="C24" i="14669"/>
  <c r="C17" i="14669"/>
  <c r="F22" i="14669"/>
  <c r="F23" i="14669"/>
  <c r="D22" i="14669"/>
  <c r="D19" i="14669"/>
  <c r="I20" i="14669"/>
  <c r="K23" i="14669"/>
  <c r="M22" i="14669"/>
  <c r="I18" i="14669"/>
  <c r="M23" i="14669"/>
  <c r="K18" i="14669"/>
  <c r="F21" i="14669"/>
  <c r="J21" i="14669"/>
  <c r="L23" i="14669"/>
  <c r="C20" i="14669"/>
  <c r="B21" i="14669"/>
  <c r="J19" i="14669"/>
  <c r="B23" i="14669"/>
  <c r="H18" i="14669"/>
  <c r="H23" i="14669"/>
  <c r="L21" i="14669"/>
  <c r="H22" i="14669"/>
  <c r="D20" i="14669"/>
  <c r="B22" i="14669"/>
  <c r="K22" i="14669"/>
  <c r="B19" i="14669"/>
  <c r="M24" i="14669"/>
  <c r="G20" i="14669"/>
  <c r="F20" i="14669"/>
  <c r="H24" i="14669"/>
  <c r="G19" i="14669"/>
  <c r="G23" i="14669"/>
  <c r="J17" i="14669"/>
  <c r="J22" i="14669"/>
  <c r="D21" i="14669"/>
  <c r="I19" i="14669"/>
  <c r="J20" i="14669"/>
  <c r="E21" i="14669"/>
  <c r="K17" i="14669"/>
  <c r="E22" i="14669"/>
  <c r="D17" i="14669"/>
  <c r="B24" i="14669"/>
  <c r="G18" i="14669"/>
  <c r="H17" i="14669"/>
  <c r="J23" i="14669"/>
  <c r="K21" i="14669"/>
  <c r="G24" i="14669"/>
  <c r="K19" i="14669"/>
  <c r="M21" i="14669"/>
  <c r="M19" i="14669"/>
  <c r="J18" i="14669"/>
  <c r="I21" i="14669"/>
  <c r="E17" i="14669"/>
  <c r="C23" i="14669"/>
  <c r="L20" i="14669"/>
  <c r="E19" i="14669"/>
  <c r="B20" i="14669"/>
  <c r="D18" i="14669"/>
  <c r="L24" i="14669"/>
  <c r="I23" i="14669"/>
  <c r="M17" i="14669"/>
  <c r="C18" i="14669"/>
  <c r="I17" i="14669"/>
  <c r="F19" i="14669"/>
  <c r="B17" i="14669"/>
  <c r="K24" i="14669"/>
  <c r="E23" i="14669"/>
  <c r="E20" i="14669"/>
  <c r="L17" i="14669"/>
  <c r="F17" i="14669"/>
  <c r="J24" i="14669"/>
  <c r="E18" i="14669"/>
  <c r="J37" i="14652"/>
  <c r="J35" i="14652"/>
  <c r="J38" i="14652"/>
  <c r="J39" i="14652"/>
  <c r="J34" i="14652"/>
  <c r="J36" i="14652"/>
  <c r="J40" i="14652"/>
  <c r="J33" i="14652"/>
  <c r="B19" i="14679" a="1"/>
  <c r="N71" i="14702" a="1"/>
  <c r="B71" i="14704" a="1"/>
  <c r="B19" i="14632" a="1"/>
  <c r="B71" i="14700" a="1"/>
  <c r="N71" i="14698" a="1"/>
  <c r="B17" i="14645" a="1"/>
  <c r="N19" i="14679" a="1"/>
  <c r="N71" i="14704" a="1"/>
  <c r="D22" i="11" l="1"/>
  <c r="D45" i="14667"/>
  <c r="O21" i="14625"/>
  <c r="D46" i="14706"/>
  <c r="B22" i="14667"/>
  <c r="B6" i="14706"/>
  <c r="G28" i="14622"/>
  <c r="D15" i="14667"/>
  <c r="C21" i="14626"/>
  <c r="D13" i="14706"/>
  <c r="F34" i="14706"/>
  <c r="H35" i="14706"/>
  <c r="H33" i="14667"/>
  <c r="F32" i="14667"/>
  <c r="W104" i="14704"/>
  <c r="O40" i="14674"/>
  <c r="T160" i="14698"/>
  <c r="U160" i="14698"/>
  <c r="S196" i="14698"/>
  <c r="U142" i="14698"/>
  <c r="O178" i="14702"/>
  <c r="N178" i="14702"/>
  <c r="O196" i="14702"/>
  <c r="Y85" i="14702"/>
  <c r="N40" i="14701"/>
  <c r="Q85" i="14700"/>
  <c r="P214" i="14698"/>
  <c r="R160" i="14698"/>
  <c r="U104" i="14704"/>
  <c r="X104" i="14704"/>
  <c r="P85" i="14702"/>
  <c r="U214" i="14698"/>
  <c r="B50" i="14704" a="1"/>
  <c r="Q214" i="14698"/>
  <c r="Q232" i="14698"/>
  <c r="R232" i="14698"/>
  <c r="V214" i="14698"/>
  <c r="T214" i="14698"/>
  <c r="Q160" i="14698"/>
  <c r="Q142" i="14698"/>
  <c r="S85" i="14702"/>
  <c r="O85" i="14700"/>
  <c r="X160" i="14698"/>
  <c r="W142" i="14698"/>
  <c r="P159" i="14700"/>
  <c r="P157" i="14700"/>
  <c r="P158" i="14700"/>
  <c r="Q176" i="14700"/>
  <c r="Q177" i="14700"/>
  <c r="Q175" i="14700"/>
  <c r="Q174" i="14700"/>
  <c r="R175" i="14700"/>
  <c r="R173" i="14700"/>
  <c r="R174" i="14700"/>
  <c r="R176" i="14700"/>
  <c r="R177" i="14700"/>
  <c r="Q230" i="14700"/>
  <c r="Q228" i="14700"/>
  <c r="Q229" i="14700"/>
  <c r="Q231" i="14700"/>
  <c r="U124" i="14698"/>
  <c r="T103" i="14698"/>
  <c r="T100" i="14698"/>
  <c r="T101" i="14698"/>
  <c r="T99" i="14698"/>
  <c r="T98" i="14698"/>
  <c r="T97" i="14698"/>
  <c r="T102" i="14698"/>
  <c r="W95" i="14698"/>
  <c r="W94" i="14698"/>
  <c r="W99" i="14698"/>
  <c r="W96" i="14698"/>
  <c r="W97" i="14698"/>
  <c r="W100" i="14698"/>
  <c r="W103" i="14698"/>
  <c r="W102" i="14698"/>
  <c r="W101" i="14698"/>
  <c r="W98" i="14698"/>
  <c r="Y102" i="14698"/>
  <c r="Y94" i="14698"/>
  <c r="Y101" i="14698"/>
  <c r="Y92" i="14698"/>
  <c r="Y100" i="14698"/>
  <c r="Y103" i="14698"/>
  <c r="Y98" i="14698"/>
  <c r="Y93" i="14698"/>
  <c r="Y96" i="14698"/>
  <c r="Y99" i="14698"/>
  <c r="Y95" i="14698"/>
  <c r="Y97" i="14698"/>
  <c r="U100" i="14698"/>
  <c r="U102" i="14698"/>
  <c r="U103" i="14698"/>
  <c r="U101" i="14698"/>
  <c r="U98" i="14698"/>
  <c r="U97" i="14698"/>
  <c r="U99" i="14698"/>
  <c r="U96" i="14698"/>
  <c r="S124" i="14698"/>
  <c r="X250" i="14698"/>
  <c r="V142" i="14698"/>
  <c r="M214" i="14702"/>
  <c r="Y202" i="14701" a="1"/>
  <c r="O212" i="14701"/>
  <c r="O214" i="14701" s="1"/>
  <c r="C214" i="14702"/>
  <c r="J214" i="14702"/>
  <c r="V205" i="14701" a="1"/>
  <c r="J142" i="14702"/>
  <c r="V133" i="14701" a="1"/>
  <c r="M142" i="14702"/>
  <c r="Y130" i="14701" a="1"/>
  <c r="R137" i="14701" a="1"/>
  <c r="F142" i="14702"/>
  <c r="N142" i="14702"/>
  <c r="W222" i="14701" a="1"/>
  <c r="K232" i="14702"/>
  <c r="I232" i="14702"/>
  <c r="U224" i="14701" a="1"/>
  <c r="C178" i="14702"/>
  <c r="O176" i="14701"/>
  <c r="O178" i="14701" s="1"/>
  <c r="Y166" i="14701" a="1"/>
  <c r="M178" i="14702"/>
  <c r="S172" i="14701" a="1"/>
  <c r="G178" i="14702"/>
  <c r="B178" i="14702"/>
  <c r="N177" i="14701"/>
  <c r="N178" i="14701" s="1"/>
  <c r="N196" i="14702"/>
  <c r="L196" i="14702"/>
  <c r="X185" i="14701" a="1"/>
  <c r="S190" i="14701" a="1"/>
  <c r="G196" i="14702"/>
  <c r="K196" i="14702"/>
  <c r="W186" i="14701" a="1"/>
  <c r="M196" i="14702"/>
  <c r="Y184" i="14701" a="1"/>
  <c r="V211" i="14702"/>
  <c r="V205" i="14702"/>
  <c r="V210" i="14702"/>
  <c r="V208" i="14702"/>
  <c r="V212" i="14702"/>
  <c r="V213" i="14702"/>
  <c r="V207" i="14702"/>
  <c r="V209" i="14702"/>
  <c r="V206" i="14702"/>
  <c r="Q229" i="14702"/>
  <c r="Q230" i="14702"/>
  <c r="Q228" i="14702"/>
  <c r="Q231" i="14702"/>
  <c r="B52" i="14704" a="1"/>
  <c r="P140" i="14702"/>
  <c r="P141" i="14702"/>
  <c r="P139" i="14702"/>
  <c r="Q156" i="14702"/>
  <c r="Q159" i="14702"/>
  <c r="Q157" i="14702"/>
  <c r="Q158" i="14702"/>
  <c r="W117" i="14702"/>
  <c r="W121" i="14702"/>
  <c r="W116" i="14702"/>
  <c r="W123" i="14702"/>
  <c r="W119" i="14702"/>
  <c r="W122" i="14702"/>
  <c r="W120" i="14702"/>
  <c r="W114" i="14702"/>
  <c r="W115" i="14702"/>
  <c r="W118" i="14702"/>
  <c r="T85" i="14702"/>
  <c r="V85" i="14702"/>
  <c r="Y232" i="14698"/>
  <c r="W232" i="14698"/>
  <c r="S140" i="14700"/>
  <c r="S136" i="14700"/>
  <c r="S137" i="14700"/>
  <c r="S138" i="14700"/>
  <c r="S139" i="14700"/>
  <c r="S141" i="14700"/>
  <c r="W211" i="14700"/>
  <c r="W206" i="14700"/>
  <c r="W210" i="14700"/>
  <c r="W209" i="14700"/>
  <c r="W204" i="14700"/>
  <c r="W207" i="14700"/>
  <c r="W205" i="14700"/>
  <c r="W213" i="14700"/>
  <c r="W208" i="14700"/>
  <c r="W212" i="14700"/>
  <c r="B104" i="14701"/>
  <c r="N103" i="14700"/>
  <c r="N104" i="14700" s="1"/>
  <c r="E104" i="14701"/>
  <c r="Q100" i="14700" a="1"/>
  <c r="F104" i="14701"/>
  <c r="R99" i="14700" a="1"/>
  <c r="W94" i="14700" a="1"/>
  <c r="K104" i="14701"/>
  <c r="L104" i="14701"/>
  <c r="X93" i="14700" a="1"/>
  <c r="G42" i="14683"/>
  <c r="H34" i="14683" s="1" a="1"/>
  <c r="S85" i="14700"/>
  <c r="P160" i="14698"/>
  <c r="P196" i="14698"/>
  <c r="X196" i="14698"/>
  <c r="Q196" i="14698"/>
  <c r="T196" i="14698"/>
  <c r="W250" i="14698"/>
  <c r="U250" i="14698"/>
  <c r="X142" i="14698"/>
  <c r="V244" i="14702"/>
  <c r="V245" i="14702"/>
  <c r="V241" i="14702"/>
  <c r="V243" i="14702"/>
  <c r="V248" i="14702"/>
  <c r="V242" i="14702"/>
  <c r="V247" i="14702"/>
  <c r="V249" i="14702"/>
  <c r="V246" i="14702"/>
  <c r="Y186" i="14702"/>
  <c r="Y195" i="14702"/>
  <c r="Y187" i="14702"/>
  <c r="Y188" i="14702"/>
  <c r="Y192" i="14702"/>
  <c r="Y193" i="14702"/>
  <c r="Y185" i="14702"/>
  <c r="Y194" i="14702"/>
  <c r="Y184" i="14702"/>
  <c r="Y189" i="14702"/>
  <c r="Y190" i="14702"/>
  <c r="Y191" i="14702"/>
  <c r="U173" i="14702"/>
  <c r="U176" i="14702"/>
  <c r="U171" i="14702"/>
  <c r="U174" i="14702"/>
  <c r="U172" i="14702"/>
  <c r="U175" i="14702"/>
  <c r="U177" i="14702"/>
  <c r="U170" i="14702"/>
  <c r="P177" i="14702"/>
  <c r="P176" i="14702"/>
  <c r="P175" i="14702"/>
  <c r="V232" i="14698"/>
  <c r="T232" i="14698"/>
  <c r="W156" i="14700"/>
  <c r="W157" i="14700"/>
  <c r="W152" i="14700"/>
  <c r="W150" i="14700"/>
  <c r="W159" i="14700"/>
  <c r="W153" i="14700"/>
  <c r="W158" i="14700"/>
  <c r="W155" i="14700"/>
  <c r="W154" i="14700"/>
  <c r="W151" i="14700"/>
  <c r="X149" i="14700"/>
  <c r="X152" i="14700"/>
  <c r="X155" i="14700"/>
  <c r="X157" i="14700"/>
  <c r="X150" i="14700"/>
  <c r="X158" i="14700"/>
  <c r="X153" i="14700"/>
  <c r="X151" i="14700"/>
  <c r="X159" i="14700"/>
  <c r="X154" i="14700"/>
  <c r="X156" i="14700"/>
  <c r="T192" i="14700"/>
  <c r="T194" i="14700"/>
  <c r="T193" i="14700"/>
  <c r="T189" i="14700"/>
  <c r="T190" i="14700"/>
  <c r="T195" i="14700"/>
  <c r="T191" i="14700"/>
  <c r="W192" i="14700"/>
  <c r="W193" i="14700"/>
  <c r="W191" i="14700"/>
  <c r="W190" i="14700"/>
  <c r="W194" i="14700"/>
  <c r="W189" i="14700"/>
  <c r="W188" i="14700"/>
  <c r="W186" i="14700"/>
  <c r="W195" i="14700"/>
  <c r="W187" i="14700"/>
  <c r="X185" i="14700"/>
  <c r="X187" i="14700"/>
  <c r="X193" i="14700"/>
  <c r="X195" i="14700"/>
  <c r="X186" i="14700"/>
  <c r="X190" i="14700"/>
  <c r="X192" i="14700"/>
  <c r="X188" i="14700"/>
  <c r="X194" i="14700"/>
  <c r="X191" i="14700"/>
  <c r="X189" i="14700"/>
  <c r="R246" i="14700"/>
  <c r="R245" i="14700"/>
  <c r="R247" i="14700"/>
  <c r="R249" i="14700"/>
  <c r="R248" i="14700"/>
  <c r="T142" i="14698"/>
  <c r="X149" i="14701" a="1"/>
  <c r="L160" i="14702"/>
  <c r="R155" i="14701" a="1"/>
  <c r="F160" i="14702"/>
  <c r="T153" i="14701" a="1"/>
  <c r="H160" i="14702"/>
  <c r="I160" i="14702"/>
  <c r="U152" i="14701" a="1"/>
  <c r="N160" i="14702"/>
  <c r="O250" i="14702"/>
  <c r="N250" i="14702"/>
  <c r="D250" i="14702"/>
  <c r="P247" i="14701" a="1"/>
  <c r="B250" i="14702"/>
  <c r="N249" i="14701"/>
  <c r="N250" i="14701" s="1"/>
  <c r="R245" i="14701" a="1"/>
  <c r="F250" i="14702"/>
  <c r="O248" i="14701"/>
  <c r="O250" i="14701" s="1"/>
  <c r="C250" i="14702"/>
  <c r="N124" i="14702"/>
  <c r="J124" i="14702"/>
  <c r="V115" i="14701" a="1"/>
  <c r="G124" i="14702"/>
  <c r="S118" i="14701" a="1"/>
  <c r="U79" i="14701"/>
  <c r="U77" i="14701"/>
  <c r="U81" i="14701"/>
  <c r="U80" i="14701"/>
  <c r="U82" i="14701"/>
  <c r="U78" i="14701"/>
  <c r="U84" i="14701"/>
  <c r="U83" i="14701"/>
  <c r="N38" i="14702"/>
  <c r="N37" i="14702"/>
  <c r="N36" i="14702"/>
  <c r="N35" i="14702"/>
  <c r="S91" i="14702" a="1"/>
  <c r="S91" i="14702" s="1"/>
  <c r="K99" i="14702" a="1"/>
  <c r="K99" i="14702" s="1"/>
  <c r="I101" i="14702" a="1"/>
  <c r="I101" i="14702" s="1"/>
  <c r="R92" i="14702" a="1"/>
  <c r="R92" i="14702" s="1"/>
  <c r="H102" i="14702" a="1"/>
  <c r="H102" i="14702" s="1"/>
  <c r="M97" i="14702" a="1"/>
  <c r="M97" i="14702" s="1"/>
  <c r="J100" i="14702" a="1"/>
  <c r="J100" i="14702" s="1"/>
  <c r="L98" i="14702" a="1"/>
  <c r="L98" i="14702" s="1"/>
  <c r="O95" i="14702" a="1"/>
  <c r="O95" i="14702" s="1"/>
  <c r="G40" i="14702"/>
  <c r="G103" i="14702" a="1"/>
  <c r="G103" i="14702" s="1"/>
  <c r="Q93" i="14702" a="1"/>
  <c r="Q93" i="14702" s="1"/>
  <c r="N96" i="14702" a="1"/>
  <c r="N96" i="14702" s="1"/>
  <c r="P94" i="14702" a="1"/>
  <c r="P94" i="14702" s="1"/>
  <c r="N39" i="14702"/>
  <c r="R91" i="14702" a="1"/>
  <c r="R91" i="14702" s="1"/>
  <c r="P93" i="14702" a="1"/>
  <c r="P93" i="14702" s="1"/>
  <c r="J99" i="14702" a="1"/>
  <c r="J99" i="14702" s="1"/>
  <c r="F103" i="14702" a="1"/>
  <c r="F103" i="14702" s="1"/>
  <c r="L97" i="14702" a="1"/>
  <c r="L97" i="14702" s="1"/>
  <c r="G102" i="14702" a="1"/>
  <c r="G102" i="14702" s="1"/>
  <c r="O94" i="14702" a="1"/>
  <c r="O94" i="14702" s="1"/>
  <c r="F40" i="14702"/>
  <c r="I100" i="14702" a="1"/>
  <c r="I100" i="14702" s="1"/>
  <c r="N95" i="14702" a="1"/>
  <c r="N95" i="14702" s="1"/>
  <c r="H101" i="14702" a="1"/>
  <c r="H101" i="14702" s="1"/>
  <c r="Q92" i="14702" a="1"/>
  <c r="Q92" i="14702" s="1"/>
  <c r="K98" i="14702" a="1"/>
  <c r="K98" i="14702" s="1"/>
  <c r="M96" i="14702" a="1"/>
  <c r="M96" i="14702" s="1"/>
  <c r="N34" i="14702"/>
  <c r="B103" i="14702" a="1"/>
  <c r="B103" i="14702" s="1"/>
  <c r="N32" i="14702"/>
  <c r="G98" i="14702" a="1"/>
  <c r="G98" i="14702" s="1"/>
  <c r="C102" i="14702" a="1"/>
  <c r="C102" i="14702" s="1"/>
  <c r="M92" i="14702" a="1"/>
  <c r="M92" i="14702" s="1"/>
  <c r="I96" i="14702" a="1"/>
  <c r="I96" i="14702" s="1"/>
  <c r="H97" i="14702" a="1"/>
  <c r="H97" i="14702" s="1"/>
  <c r="L93" i="14702" a="1"/>
  <c r="L93" i="14702" s="1"/>
  <c r="E100" i="14702" a="1"/>
  <c r="E100" i="14702" s="1"/>
  <c r="J95" i="14702" a="1"/>
  <c r="J95" i="14702" s="1"/>
  <c r="K94" i="14702" a="1"/>
  <c r="K94" i="14702" s="1"/>
  <c r="D101" i="14702" a="1"/>
  <c r="D101" i="14702" s="1"/>
  <c r="F99" i="14702" a="1"/>
  <c r="F99" i="14702" s="1"/>
  <c r="B40" i="14702"/>
  <c r="N91" i="14702" a="1"/>
  <c r="N91" i="14702" s="1"/>
  <c r="K102" i="14702" a="1"/>
  <c r="K102" i="14702" s="1"/>
  <c r="M100" i="14702" a="1"/>
  <c r="M100" i="14702" s="1"/>
  <c r="T93" i="14702" a="1"/>
  <c r="T93" i="14702" s="1"/>
  <c r="L101" i="14702" a="1"/>
  <c r="L101" i="14702" s="1"/>
  <c r="V91" i="14702" a="1"/>
  <c r="V91" i="14702" s="1"/>
  <c r="U92" i="14702" a="1"/>
  <c r="U92" i="14702" s="1"/>
  <c r="S94" i="14702" a="1"/>
  <c r="S94" i="14702" s="1"/>
  <c r="P97" i="14702" a="1"/>
  <c r="P97" i="14702" s="1"/>
  <c r="N99" i="14702" a="1"/>
  <c r="N99" i="14702" s="1"/>
  <c r="Q96" i="14702" a="1"/>
  <c r="Q96" i="14702" s="1"/>
  <c r="J103" i="14702" a="1"/>
  <c r="J103" i="14702" s="1"/>
  <c r="J40" i="14702"/>
  <c r="O98" i="14702" a="1"/>
  <c r="O98" i="14702" s="1"/>
  <c r="R95" i="14702" a="1"/>
  <c r="R95" i="14702" s="1"/>
  <c r="W114" i="14701" a="1"/>
  <c r="K124" i="14702"/>
  <c r="B215" i="14704" a="1"/>
  <c r="P231" i="14702"/>
  <c r="P229" i="14702"/>
  <c r="P230" i="14702"/>
  <c r="R230" i="14702"/>
  <c r="R228" i="14702"/>
  <c r="R227" i="14702"/>
  <c r="R229" i="14702"/>
  <c r="R231" i="14702"/>
  <c r="V136" i="14702"/>
  <c r="V137" i="14702"/>
  <c r="V133" i="14702"/>
  <c r="V140" i="14702"/>
  <c r="V138" i="14702"/>
  <c r="V139" i="14702"/>
  <c r="V135" i="14702"/>
  <c r="V141" i="14702"/>
  <c r="V134" i="14702"/>
  <c r="R138" i="14702"/>
  <c r="R141" i="14702"/>
  <c r="R139" i="14702"/>
  <c r="R140" i="14702"/>
  <c r="R137" i="14702"/>
  <c r="X132" i="14702"/>
  <c r="X133" i="14702"/>
  <c r="X135" i="14702"/>
  <c r="X137" i="14702"/>
  <c r="X136" i="14702"/>
  <c r="X134" i="14702"/>
  <c r="X131" i="14702"/>
  <c r="X141" i="14702"/>
  <c r="X139" i="14702"/>
  <c r="X138" i="14702"/>
  <c r="X140" i="14702"/>
  <c r="X153" i="14702"/>
  <c r="X158" i="14702"/>
  <c r="X149" i="14702"/>
  <c r="X154" i="14702"/>
  <c r="X155" i="14702"/>
  <c r="X151" i="14702"/>
  <c r="X159" i="14702"/>
  <c r="X152" i="14702"/>
  <c r="X156" i="14702"/>
  <c r="X150" i="14702"/>
  <c r="X157" i="14702"/>
  <c r="R157" i="14702"/>
  <c r="R158" i="14702"/>
  <c r="R155" i="14702"/>
  <c r="R159" i="14702"/>
  <c r="R156" i="14702"/>
  <c r="S156" i="14702"/>
  <c r="S157" i="14702"/>
  <c r="S158" i="14702"/>
  <c r="S154" i="14702"/>
  <c r="S159" i="14702"/>
  <c r="S155" i="14702"/>
  <c r="N40" i="14704"/>
  <c r="Q100" i="14702" a="1"/>
  <c r="E104" i="14704"/>
  <c r="O102" i="14702"/>
  <c r="C104" i="14704"/>
  <c r="J104" i="14704"/>
  <c r="V95" i="14702" a="1"/>
  <c r="B104" i="14704"/>
  <c r="N103" i="14702"/>
  <c r="X93" i="14702" a="1"/>
  <c r="L104" i="14704"/>
  <c r="G104" i="14704"/>
  <c r="S98" i="14702" a="1"/>
  <c r="N104" i="14704"/>
  <c r="Q104" i="14704"/>
  <c r="T104" i="14704"/>
  <c r="U85" i="14702"/>
  <c r="Q121" i="14702"/>
  <c r="Q120" i="14702"/>
  <c r="Q122" i="14702"/>
  <c r="Q123" i="14702"/>
  <c r="V116" i="14702"/>
  <c r="V122" i="14702"/>
  <c r="V118" i="14702"/>
  <c r="V123" i="14702"/>
  <c r="V115" i="14702"/>
  <c r="V121" i="14702"/>
  <c r="V119" i="14702"/>
  <c r="V120" i="14702"/>
  <c r="V117" i="14702"/>
  <c r="Q178" i="14698"/>
  <c r="U178" i="14698"/>
  <c r="X137" i="14700"/>
  <c r="X132" i="14700"/>
  <c r="X138" i="14700"/>
  <c r="X135" i="14700"/>
  <c r="X136" i="14700"/>
  <c r="X133" i="14700"/>
  <c r="X134" i="14700"/>
  <c r="X140" i="14700"/>
  <c r="X131" i="14700"/>
  <c r="X141" i="14700"/>
  <c r="X139" i="14700"/>
  <c r="P141" i="14700"/>
  <c r="P140" i="14700"/>
  <c r="P139" i="14700"/>
  <c r="X207" i="14700"/>
  <c r="X212" i="14700"/>
  <c r="X208" i="14700"/>
  <c r="X206" i="14700"/>
  <c r="X213" i="14700"/>
  <c r="X211" i="14700"/>
  <c r="X205" i="14700"/>
  <c r="X203" i="14700"/>
  <c r="X204" i="14700"/>
  <c r="X209" i="14700"/>
  <c r="X210" i="14700"/>
  <c r="U207" i="14700"/>
  <c r="U211" i="14700"/>
  <c r="U210" i="14700"/>
  <c r="U213" i="14700"/>
  <c r="U212" i="14700"/>
  <c r="U209" i="14700"/>
  <c r="U206" i="14700"/>
  <c r="U208" i="14700"/>
  <c r="T85" i="14700"/>
  <c r="R85" i="14700"/>
  <c r="X124" i="14698"/>
  <c r="V124" i="14698"/>
  <c r="S142" i="14698"/>
  <c r="R142" i="14698"/>
  <c r="U246" i="14702"/>
  <c r="U248" i="14702"/>
  <c r="U249" i="14702"/>
  <c r="U243" i="14702"/>
  <c r="U242" i="14702"/>
  <c r="U245" i="14702"/>
  <c r="U244" i="14702"/>
  <c r="U247" i="14702"/>
  <c r="B251" i="14704" a="1"/>
  <c r="X175" i="14702"/>
  <c r="X177" i="14702"/>
  <c r="X176" i="14702"/>
  <c r="X174" i="14702"/>
  <c r="X173" i="14702"/>
  <c r="X170" i="14702"/>
  <c r="X172" i="14702"/>
  <c r="X169" i="14702"/>
  <c r="X171" i="14702"/>
  <c r="X167" i="14702"/>
  <c r="X168" i="14702"/>
  <c r="V171" i="14702"/>
  <c r="V169" i="14702"/>
  <c r="V175" i="14702"/>
  <c r="V177" i="14702"/>
  <c r="V173" i="14702"/>
  <c r="V176" i="14702"/>
  <c r="V174" i="14702"/>
  <c r="V172" i="14702"/>
  <c r="V170" i="14702"/>
  <c r="S178" i="14698"/>
  <c r="W214" i="14698"/>
  <c r="U158" i="14700"/>
  <c r="U153" i="14700"/>
  <c r="U154" i="14700"/>
  <c r="U156" i="14700"/>
  <c r="U155" i="14700"/>
  <c r="U152" i="14700"/>
  <c r="U159" i="14700"/>
  <c r="U157" i="14700"/>
  <c r="W245" i="14700"/>
  <c r="W249" i="14700"/>
  <c r="W243" i="14700"/>
  <c r="W247" i="14700"/>
  <c r="W248" i="14700"/>
  <c r="W244" i="14700"/>
  <c r="W240" i="14700"/>
  <c r="W241" i="14700"/>
  <c r="W242" i="14700"/>
  <c r="W246" i="14700"/>
  <c r="V160" i="14698"/>
  <c r="S160" i="14698"/>
  <c r="P103" i="14698"/>
  <c r="P101" i="14698"/>
  <c r="P102" i="14698"/>
  <c r="B106" i="14700"/>
  <c r="G214" i="14702"/>
  <c r="S208" i="14701" a="1"/>
  <c r="T207" i="14701" a="1"/>
  <c r="H214" i="14702"/>
  <c r="W204" i="14701" a="1"/>
  <c r="K214" i="14702"/>
  <c r="O214" i="14702"/>
  <c r="S136" i="14701" a="1"/>
  <c r="G142" i="14702"/>
  <c r="E142" i="14702"/>
  <c r="Q138" i="14701" a="1"/>
  <c r="B142" i="14702"/>
  <c r="N141" i="14701"/>
  <c r="N142" i="14701" s="1"/>
  <c r="J232" i="14702"/>
  <c r="V223" i="14701" a="1"/>
  <c r="M232" i="14702"/>
  <c r="Y220" i="14701" a="1"/>
  <c r="N231" i="14701"/>
  <c r="N232" i="14701" s="1"/>
  <c r="B232" i="14702"/>
  <c r="N232" i="14702"/>
  <c r="P229" i="14701" a="1"/>
  <c r="D232" i="14702"/>
  <c r="F178" i="14702"/>
  <c r="R173" i="14701" a="1"/>
  <c r="X167" i="14701" a="1"/>
  <c r="L178" i="14702"/>
  <c r="K178" i="14702"/>
  <c r="W168" i="14701" a="1"/>
  <c r="V169" i="14701" a="1"/>
  <c r="J178" i="14702"/>
  <c r="E178" i="14702"/>
  <c r="Q174" i="14701" a="1"/>
  <c r="H178" i="14702"/>
  <c r="T171" i="14701" a="1"/>
  <c r="D196" i="14702"/>
  <c r="P193" i="14701" a="1"/>
  <c r="O194" i="14701"/>
  <c r="O196" i="14701" s="1"/>
  <c r="C196" i="14702"/>
  <c r="B51" i="14704" a="1"/>
  <c r="W206" i="14702"/>
  <c r="W212" i="14702"/>
  <c r="W210" i="14702"/>
  <c r="W205" i="14702"/>
  <c r="W204" i="14702"/>
  <c r="W207" i="14702"/>
  <c r="W209" i="14702"/>
  <c r="W213" i="14702"/>
  <c r="W211" i="14702"/>
  <c r="W208" i="14702"/>
  <c r="X228" i="14702"/>
  <c r="X229" i="14702"/>
  <c r="X222" i="14702"/>
  <c r="X230" i="14702"/>
  <c r="X231" i="14702"/>
  <c r="X227" i="14702"/>
  <c r="X221" i="14702"/>
  <c r="X225" i="14702"/>
  <c r="X223" i="14702"/>
  <c r="X224" i="14702"/>
  <c r="X226" i="14702"/>
  <c r="T228" i="14702"/>
  <c r="T229" i="14702"/>
  <c r="T225" i="14702"/>
  <c r="T227" i="14702"/>
  <c r="T231" i="14702"/>
  <c r="T226" i="14702"/>
  <c r="T230" i="14702"/>
  <c r="V223" i="14702"/>
  <c r="V230" i="14702"/>
  <c r="V228" i="14702"/>
  <c r="V227" i="14702"/>
  <c r="V226" i="14702"/>
  <c r="V229" i="14702"/>
  <c r="V224" i="14702"/>
  <c r="V231" i="14702"/>
  <c r="V225" i="14702"/>
  <c r="Y151" i="14702"/>
  <c r="Y148" i="14702"/>
  <c r="Y156" i="14702"/>
  <c r="Y150" i="14702"/>
  <c r="Y154" i="14702"/>
  <c r="Y157" i="14702"/>
  <c r="Y153" i="14702"/>
  <c r="Y149" i="14702"/>
  <c r="Y159" i="14702"/>
  <c r="Y155" i="14702"/>
  <c r="Y158" i="14702"/>
  <c r="Y152" i="14702"/>
  <c r="Q85" i="14702"/>
  <c r="P123" i="14702"/>
  <c r="P122" i="14702"/>
  <c r="P121" i="14702"/>
  <c r="R214" i="14698"/>
  <c r="Y214" i="14698"/>
  <c r="W140" i="14700"/>
  <c r="W139" i="14700"/>
  <c r="W138" i="14700"/>
  <c r="W137" i="14700"/>
  <c r="W136" i="14700"/>
  <c r="W135" i="14700"/>
  <c r="W134" i="14700"/>
  <c r="W141" i="14700"/>
  <c r="W132" i="14700"/>
  <c r="W133" i="14700"/>
  <c r="S211" i="14700"/>
  <c r="S208" i="14700"/>
  <c r="S212" i="14700"/>
  <c r="S213" i="14700"/>
  <c r="S209" i="14700"/>
  <c r="S210" i="14700"/>
  <c r="R210" i="14700"/>
  <c r="R209" i="14700"/>
  <c r="R212" i="14700"/>
  <c r="R211" i="14700"/>
  <c r="R213" i="14700"/>
  <c r="P85" i="14700"/>
  <c r="Q120" i="14700"/>
  <c r="Q122" i="14700"/>
  <c r="Q123" i="14700"/>
  <c r="Q121" i="14700"/>
  <c r="E87" i="14643"/>
  <c r="Y250" i="14698"/>
  <c r="P247" i="14702"/>
  <c r="P248" i="14702"/>
  <c r="P249" i="14702"/>
  <c r="P194" i="14702"/>
  <c r="P195" i="14702"/>
  <c r="P193" i="14702"/>
  <c r="Y171" i="14702"/>
  <c r="Y169" i="14702"/>
  <c r="Y172" i="14702"/>
  <c r="Y175" i="14702"/>
  <c r="Y168" i="14702"/>
  <c r="Y167" i="14702"/>
  <c r="Y166" i="14702"/>
  <c r="Y177" i="14702"/>
  <c r="Y173" i="14702"/>
  <c r="Y174" i="14702"/>
  <c r="Y176" i="14702"/>
  <c r="Y170" i="14702"/>
  <c r="T177" i="14702"/>
  <c r="T176" i="14702"/>
  <c r="T175" i="14702"/>
  <c r="T171" i="14702"/>
  <c r="T174" i="14702"/>
  <c r="T173" i="14702"/>
  <c r="T172" i="14702"/>
  <c r="W178" i="14698"/>
  <c r="Y150" i="14700"/>
  <c r="Y155" i="14700"/>
  <c r="Y151" i="14700"/>
  <c r="Y156" i="14700"/>
  <c r="Y152" i="14700"/>
  <c r="Y148" i="14700"/>
  <c r="Y158" i="14700"/>
  <c r="Y159" i="14700"/>
  <c r="Y154" i="14700"/>
  <c r="Y149" i="14700"/>
  <c r="Y157" i="14700"/>
  <c r="Y153" i="14700"/>
  <c r="Q195" i="14700"/>
  <c r="Q192" i="14700"/>
  <c r="Q193" i="14700"/>
  <c r="Q194" i="14700"/>
  <c r="V226" i="14700"/>
  <c r="V224" i="14700"/>
  <c r="V227" i="14700"/>
  <c r="V228" i="14700"/>
  <c r="V225" i="14700"/>
  <c r="V230" i="14700"/>
  <c r="V231" i="14700"/>
  <c r="V229" i="14700"/>
  <c r="V223" i="14700"/>
  <c r="Y221" i="14700"/>
  <c r="Y223" i="14700"/>
  <c r="Y225" i="14700"/>
  <c r="Y229" i="14700"/>
  <c r="Y226" i="14700"/>
  <c r="Y227" i="14700"/>
  <c r="Y228" i="14700"/>
  <c r="Y230" i="14700"/>
  <c r="Y224" i="14700"/>
  <c r="Y231" i="14700"/>
  <c r="Y220" i="14700"/>
  <c r="Y222" i="14700"/>
  <c r="S154" i="14701" a="1"/>
  <c r="G160" i="14702"/>
  <c r="K160" i="14702"/>
  <c r="W150" i="14701" a="1"/>
  <c r="I250" i="14702"/>
  <c r="U242" i="14701" a="1"/>
  <c r="X239" i="14701" a="1"/>
  <c r="L250" i="14702"/>
  <c r="G250" i="14702"/>
  <c r="S244" i="14701" a="1"/>
  <c r="Q82" i="14701"/>
  <c r="Q81" i="14701"/>
  <c r="Q83" i="14701"/>
  <c r="Q84" i="14701"/>
  <c r="T117" i="14701" a="1"/>
  <c r="H124" i="14702"/>
  <c r="I38" i="14683"/>
  <c r="I40" i="14683"/>
  <c r="I35" i="14683"/>
  <c r="I41" i="14683"/>
  <c r="I34" i="14683"/>
  <c r="I36" i="14683"/>
  <c r="I37" i="14683"/>
  <c r="I39" i="14683"/>
  <c r="H9" i="14671"/>
  <c r="D9" i="14671"/>
  <c r="E9" i="14671"/>
  <c r="F9" i="14671"/>
  <c r="I9" i="14671"/>
  <c r="C9" i="14671"/>
  <c r="L9" i="14671"/>
  <c r="K9" i="14671"/>
  <c r="B9" i="14671"/>
  <c r="G9" i="14671"/>
  <c r="J9" i="14671"/>
  <c r="M9" i="14671"/>
  <c r="N123" i="14701"/>
  <c r="N124" i="14701" s="1"/>
  <c r="B124" i="14702"/>
  <c r="S79" i="14701"/>
  <c r="S83" i="14701"/>
  <c r="S82" i="14701"/>
  <c r="S80" i="14701"/>
  <c r="S84" i="14701"/>
  <c r="S81" i="14701"/>
  <c r="S208" i="14702"/>
  <c r="S209" i="14702"/>
  <c r="S213" i="14702"/>
  <c r="S210" i="14702"/>
  <c r="S212" i="14702"/>
  <c r="S211" i="14702"/>
  <c r="W226" i="14702"/>
  <c r="W229" i="14702"/>
  <c r="W227" i="14702"/>
  <c r="W228" i="14702"/>
  <c r="W222" i="14702"/>
  <c r="W225" i="14702"/>
  <c r="W231" i="14702"/>
  <c r="W224" i="14702"/>
  <c r="W223" i="14702"/>
  <c r="W230" i="14702"/>
  <c r="Y140" i="14702"/>
  <c r="Y132" i="14702"/>
  <c r="Y139" i="14702"/>
  <c r="Y137" i="14702"/>
  <c r="Y131" i="14702"/>
  <c r="Y130" i="14702"/>
  <c r="Y133" i="14702"/>
  <c r="Y135" i="14702"/>
  <c r="Y138" i="14702"/>
  <c r="Y134" i="14702"/>
  <c r="Y141" i="14702"/>
  <c r="Y136" i="14702"/>
  <c r="P158" i="14702"/>
  <c r="P157" i="14702"/>
  <c r="P159" i="14702"/>
  <c r="S104" i="14704"/>
  <c r="V104" i="14704"/>
  <c r="O85" i="14702"/>
  <c r="X117" i="14702"/>
  <c r="X119" i="14702"/>
  <c r="X115" i="14702"/>
  <c r="X122" i="14702"/>
  <c r="X113" i="14702"/>
  <c r="X114" i="14702"/>
  <c r="X118" i="14702"/>
  <c r="X120" i="14702"/>
  <c r="X121" i="14702"/>
  <c r="X116" i="14702"/>
  <c r="X123" i="14702"/>
  <c r="T117" i="14702"/>
  <c r="T121" i="14702"/>
  <c r="T119" i="14702"/>
  <c r="T123" i="14702"/>
  <c r="T122" i="14702"/>
  <c r="T118" i="14702"/>
  <c r="T120" i="14702"/>
  <c r="Y121" i="14702"/>
  <c r="Y117" i="14702"/>
  <c r="Y118" i="14702"/>
  <c r="Y114" i="14702"/>
  <c r="Y112" i="14702"/>
  <c r="Y113" i="14702"/>
  <c r="Y120" i="14702"/>
  <c r="Y123" i="14702"/>
  <c r="Y122" i="14702"/>
  <c r="Y115" i="14702"/>
  <c r="Y119" i="14702"/>
  <c r="Y116" i="14702"/>
  <c r="B46" i="14704" a="1"/>
  <c r="P178" i="14698"/>
  <c r="S232" i="14698"/>
  <c r="Y132" i="14700"/>
  <c r="Y130" i="14700"/>
  <c r="Y136" i="14700"/>
  <c r="Y133" i="14700"/>
  <c r="Y131" i="14700"/>
  <c r="Y138" i="14700"/>
  <c r="Y137" i="14700"/>
  <c r="Y139" i="14700"/>
  <c r="Y140" i="14700"/>
  <c r="Y141" i="14700"/>
  <c r="Y135" i="14700"/>
  <c r="Y134" i="14700"/>
  <c r="U138" i="14700"/>
  <c r="U141" i="14700"/>
  <c r="U140" i="14700"/>
  <c r="U136" i="14700"/>
  <c r="U139" i="14700"/>
  <c r="U135" i="14700"/>
  <c r="U137" i="14700"/>
  <c r="U134" i="14700"/>
  <c r="Y85" i="14700"/>
  <c r="Y115" i="14700"/>
  <c r="Y119" i="14700"/>
  <c r="Y123" i="14700"/>
  <c r="Y122" i="14700"/>
  <c r="Y116" i="14700"/>
  <c r="Y113" i="14700"/>
  <c r="Y117" i="14700"/>
  <c r="Y121" i="14700"/>
  <c r="Y118" i="14700"/>
  <c r="Y114" i="14700"/>
  <c r="Y112" i="14700"/>
  <c r="Y120" i="14700"/>
  <c r="U85" i="14700"/>
  <c r="Q124" i="14698"/>
  <c r="V196" i="14698"/>
  <c r="S246" i="14702"/>
  <c r="S249" i="14702"/>
  <c r="S245" i="14702"/>
  <c r="S244" i="14702"/>
  <c r="S247" i="14702"/>
  <c r="S248" i="14702"/>
  <c r="Y245" i="14702"/>
  <c r="Y240" i="14702"/>
  <c r="Y241" i="14702"/>
  <c r="Y242" i="14702"/>
  <c r="Y244" i="14702"/>
  <c r="Y249" i="14702"/>
  <c r="Y246" i="14702"/>
  <c r="Y243" i="14702"/>
  <c r="Y248" i="14702"/>
  <c r="Y247" i="14702"/>
  <c r="Y239" i="14702"/>
  <c r="Y238" i="14702"/>
  <c r="X190" i="14702"/>
  <c r="X187" i="14702"/>
  <c r="X188" i="14702"/>
  <c r="X185" i="14702"/>
  <c r="X194" i="14702"/>
  <c r="X186" i="14702"/>
  <c r="X192" i="14702"/>
  <c r="X193" i="14702"/>
  <c r="X189" i="14702"/>
  <c r="X195" i="14702"/>
  <c r="X191" i="14702"/>
  <c r="V191" i="14702"/>
  <c r="V194" i="14702"/>
  <c r="V187" i="14702"/>
  <c r="V193" i="14702"/>
  <c r="V190" i="14702"/>
  <c r="V189" i="14702"/>
  <c r="V192" i="14702"/>
  <c r="V188" i="14702"/>
  <c r="V195" i="14702"/>
  <c r="S195" i="14702"/>
  <c r="S193" i="14702"/>
  <c r="S190" i="14702"/>
  <c r="S194" i="14702"/>
  <c r="S192" i="14702"/>
  <c r="S191" i="14702"/>
  <c r="R177" i="14702"/>
  <c r="R176" i="14702"/>
  <c r="R174" i="14702"/>
  <c r="R173" i="14702"/>
  <c r="R175" i="14702"/>
  <c r="T156" i="14700"/>
  <c r="T157" i="14700"/>
  <c r="T159" i="14700"/>
  <c r="T155" i="14700"/>
  <c r="T154" i="14700"/>
  <c r="T158" i="14700"/>
  <c r="T153" i="14700"/>
  <c r="R157" i="14700"/>
  <c r="R158" i="14700"/>
  <c r="R155" i="14700"/>
  <c r="R156" i="14700"/>
  <c r="R159" i="14700"/>
  <c r="P193" i="14700"/>
  <c r="P195" i="14700"/>
  <c r="P194" i="14700"/>
  <c r="S176" i="14700"/>
  <c r="S174" i="14700"/>
  <c r="S173" i="14700"/>
  <c r="S172" i="14700"/>
  <c r="S177" i="14700"/>
  <c r="S175" i="14700"/>
  <c r="U173" i="14700"/>
  <c r="U171" i="14700"/>
  <c r="U176" i="14700"/>
  <c r="U177" i="14700"/>
  <c r="U170" i="14700"/>
  <c r="U172" i="14700"/>
  <c r="U174" i="14700"/>
  <c r="U175" i="14700"/>
  <c r="S229" i="14700"/>
  <c r="S230" i="14700"/>
  <c r="S228" i="14700"/>
  <c r="S226" i="14700"/>
  <c r="S227" i="14700"/>
  <c r="S231" i="14700"/>
  <c r="X239" i="14700"/>
  <c r="X245" i="14700"/>
  <c r="X246" i="14700"/>
  <c r="X244" i="14700"/>
  <c r="X249" i="14700"/>
  <c r="X242" i="14700"/>
  <c r="X248" i="14700"/>
  <c r="X247" i="14700"/>
  <c r="X243" i="14700"/>
  <c r="X241" i="14700"/>
  <c r="X240" i="14700"/>
  <c r="U242" i="14700"/>
  <c r="U247" i="14700"/>
  <c r="U244" i="14700"/>
  <c r="U248" i="14700"/>
  <c r="U245" i="14700"/>
  <c r="U246" i="14700"/>
  <c r="U249" i="14700"/>
  <c r="U243" i="14700"/>
  <c r="R101" i="14698"/>
  <c r="R103" i="14698"/>
  <c r="R102" i="14698"/>
  <c r="R100" i="14698"/>
  <c r="R99" i="14698"/>
  <c r="Q103" i="14698"/>
  <c r="Q100" i="14698"/>
  <c r="Q102" i="14698"/>
  <c r="Q101" i="14698"/>
  <c r="U196" i="14698"/>
  <c r="T250" i="14698"/>
  <c r="D214" i="14702"/>
  <c r="P211" i="14701" a="1"/>
  <c r="F214" i="14702"/>
  <c r="R209" i="14701" a="1"/>
  <c r="N213" i="14701"/>
  <c r="N214" i="14701" s="1"/>
  <c r="B214" i="14702"/>
  <c r="I142" i="14702"/>
  <c r="U134" i="14701" a="1"/>
  <c r="P139" i="14701" a="1"/>
  <c r="D142" i="14702"/>
  <c r="O142" i="14702"/>
  <c r="X221" i="14701" a="1"/>
  <c r="L232" i="14702"/>
  <c r="H232" i="14702"/>
  <c r="T225" i="14701" a="1"/>
  <c r="S226" i="14701" a="1"/>
  <c r="G232" i="14702"/>
  <c r="C232" i="14702"/>
  <c r="O230" i="14701"/>
  <c r="O232" i="14701" s="1"/>
  <c r="U170" i="14701" a="1"/>
  <c r="I178" i="14702"/>
  <c r="U188" i="14701" a="1"/>
  <c r="I196" i="14702"/>
  <c r="T189" i="14701" a="1"/>
  <c r="H196" i="14702"/>
  <c r="P213" i="14702"/>
  <c r="P212" i="14702"/>
  <c r="P211" i="14702"/>
  <c r="B233" i="14704" a="1"/>
  <c r="W133" i="14702"/>
  <c r="W139" i="14702"/>
  <c r="W134" i="14702"/>
  <c r="W136" i="14702"/>
  <c r="W138" i="14702"/>
  <c r="W132" i="14702"/>
  <c r="W141" i="14702"/>
  <c r="W140" i="14702"/>
  <c r="W137" i="14702"/>
  <c r="W135" i="14702"/>
  <c r="S138" i="14702"/>
  <c r="S139" i="14702"/>
  <c r="S136" i="14702"/>
  <c r="S140" i="14702"/>
  <c r="S137" i="14702"/>
  <c r="S141" i="14702"/>
  <c r="V153" i="14702"/>
  <c r="V154" i="14702"/>
  <c r="V152" i="14702"/>
  <c r="V158" i="14702"/>
  <c r="V159" i="14702"/>
  <c r="V157" i="14702"/>
  <c r="V156" i="14702"/>
  <c r="V151" i="14702"/>
  <c r="V155" i="14702"/>
  <c r="B48" i="14704" a="1"/>
  <c r="R120" i="14702"/>
  <c r="R121" i="14702"/>
  <c r="R119" i="14702"/>
  <c r="R122" i="14702"/>
  <c r="R123" i="14702"/>
  <c r="Y178" i="14698"/>
  <c r="V134" i="14700"/>
  <c r="V141" i="14700"/>
  <c r="V137" i="14700"/>
  <c r="V133" i="14700"/>
  <c r="V140" i="14700"/>
  <c r="V138" i="14700"/>
  <c r="V136" i="14700"/>
  <c r="V139" i="14700"/>
  <c r="V135" i="14700"/>
  <c r="T210" i="14700"/>
  <c r="T208" i="14700"/>
  <c r="T209" i="14700"/>
  <c r="T212" i="14700"/>
  <c r="T211" i="14700"/>
  <c r="T207" i="14700"/>
  <c r="T213" i="14700"/>
  <c r="B55" i="14701"/>
  <c r="X85" i="14700"/>
  <c r="S98" i="14700" a="1"/>
  <c r="G104" i="14701"/>
  <c r="D104" i="14701"/>
  <c r="P101" i="14700" a="1"/>
  <c r="J104" i="14701"/>
  <c r="V95" i="14700" a="1"/>
  <c r="U96" i="14700" a="1"/>
  <c r="I104" i="14701"/>
  <c r="Y92" i="14700" a="1"/>
  <c r="M104" i="14701"/>
  <c r="H104" i="14701"/>
  <c r="T97" i="14700" a="1"/>
  <c r="O102" i="14700"/>
  <c r="O104" i="14700" s="1"/>
  <c r="C104" i="14701"/>
  <c r="V117" i="14700"/>
  <c r="V120" i="14700"/>
  <c r="V121" i="14700"/>
  <c r="V115" i="14700"/>
  <c r="V118" i="14700"/>
  <c r="V119" i="14700"/>
  <c r="V123" i="14700"/>
  <c r="V116" i="14700"/>
  <c r="V122" i="14700"/>
  <c r="R246" i="14702"/>
  <c r="R248" i="14702"/>
  <c r="R249" i="14702"/>
  <c r="R245" i="14702"/>
  <c r="R247" i="14702"/>
  <c r="B53" i="14704" a="1"/>
  <c r="W249" i="14702"/>
  <c r="W243" i="14702"/>
  <c r="W240" i="14702"/>
  <c r="W245" i="14702"/>
  <c r="W247" i="14702"/>
  <c r="W244" i="14702"/>
  <c r="W246" i="14702"/>
  <c r="W242" i="14702"/>
  <c r="W241" i="14702"/>
  <c r="W248" i="14702"/>
  <c r="R194" i="14702"/>
  <c r="R191" i="14702"/>
  <c r="R195" i="14702"/>
  <c r="R192" i="14702"/>
  <c r="R193" i="14702"/>
  <c r="U188" i="14702"/>
  <c r="U194" i="14702"/>
  <c r="U189" i="14702"/>
  <c r="U190" i="14702"/>
  <c r="U195" i="14702"/>
  <c r="U193" i="14702"/>
  <c r="U191" i="14702"/>
  <c r="U192" i="14702"/>
  <c r="Q176" i="14702"/>
  <c r="Q174" i="14702"/>
  <c r="Q175" i="14702"/>
  <c r="Q177" i="14702"/>
  <c r="W169" i="14702"/>
  <c r="W172" i="14702"/>
  <c r="W173" i="14702"/>
  <c r="W176" i="14702"/>
  <c r="W174" i="14702"/>
  <c r="W171" i="14702"/>
  <c r="W168" i="14702"/>
  <c r="W170" i="14702"/>
  <c r="W175" i="14702"/>
  <c r="W177" i="14702"/>
  <c r="R178" i="14698"/>
  <c r="R228" i="14700"/>
  <c r="R230" i="14700"/>
  <c r="R231" i="14700"/>
  <c r="R229" i="14700"/>
  <c r="R227" i="14700"/>
  <c r="X221" i="14700"/>
  <c r="X226" i="14700"/>
  <c r="X223" i="14700"/>
  <c r="X228" i="14700"/>
  <c r="X231" i="14700"/>
  <c r="X225" i="14700"/>
  <c r="X230" i="14700"/>
  <c r="X222" i="14700"/>
  <c r="X229" i="14700"/>
  <c r="X227" i="14700"/>
  <c r="X224" i="14700"/>
  <c r="P229" i="14700"/>
  <c r="P230" i="14700"/>
  <c r="P231" i="14700"/>
  <c r="U230" i="14700"/>
  <c r="U224" i="14700"/>
  <c r="U231" i="14700"/>
  <c r="U226" i="14700"/>
  <c r="U229" i="14700"/>
  <c r="U227" i="14700"/>
  <c r="U228" i="14700"/>
  <c r="U225" i="14700"/>
  <c r="P247" i="14700"/>
  <c r="P249" i="14700"/>
  <c r="P248" i="14700"/>
  <c r="S249" i="14700"/>
  <c r="S248" i="14700"/>
  <c r="S247" i="14700"/>
  <c r="S245" i="14700"/>
  <c r="S246" i="14700"/>
  <c r="S244" i="14700"/>
  <c r="W124" i="14698"/>
  <c r="R196" i="14698"/>
  <c r="R250" i="14698"/>
  <c r="Y148" i="14701" a="1"/>
  <c r="M160" i="14702"/>
  <c r="O160" i="14702"/>
  <c r="T243" i="14701" a="1"/>
  <c r="H250" i="14702"/>
  <c r="C124" i="14702"/>
  <c r="O122" i="14701"/>
  <c r="O124" i="14701" s="1"/>
  <c r="O124" i="14702"/>
  <c r="M124" i="14702"/>
  <c r="Y112" i="14701" a="1"/>
  <c r="V82" i="14701"/>
  <c r="V84" i="14701"/>
  <c r="V79" i="14701"/>
  <c r="V80" i="14701"/>
  <c r="V78" i="14701"/>
  <c r="V76" i="14701"/>
  <c r="V81" i="14701"/>
  <c r="V77" i="14701"/>
  <c r="V83" i="14701"/>
  <c r="R81" i="14701"/>
  <c r="R80" i="14701"/>
  <c r="R84" i="14701"/>
  <c r="R83" i="14701"/>
  <c r="R82" i="14701"/>
  <c r="W78" i="14701"/>
  <c r="W84" i="14701"/>
  <c r="W77" i="14701"/>
  <c r="W79" i="14701"/>
  <c r="W76" i="14701"/>
  <c r="W83" i="14701"/>
  <c r="W80" i="14701"/>
  <c r="W75" i="14701"/>
  <c r="W82" i="14701"/>
  <c r="W81" i="14701"/>
  <c r="T82" i="14701"/>
  <c r="T78" i="14701"/>
  <c r="T79" i="14701"/>
  <c r="T83" i="14701"/>
  <c r="T84" i="14701"/>
  <c r="T81" i="14701"/>
  <c r="T80" i="14701"/>
  <c r="G100" i="14702" a="1"/>
  <c r="G100" i="14702" s="1"/>
  <c r="H99" i="14702" a="1"/>
  <c r="H99" i="14702" s="1"/>
  <c r="F101" i="14702" a="1"/>
  <c r="F101" i="14702" s="1"/>
  <c r="M94" i="14702" a="1"/>
  <c r="M94" i="14702" s="1"/>
  <c r="D40" i="14702"/>
  <c r="E102" i="14702" a="1"/>
  <c r="E102" i="14702" s="1"/>
  <c r="J97" i="14702" a="1"/>
  <c r="J97" i="14702" s="1"/>
  <c r="O92" i="14702" a="1"/>
  <c r="O92" i="14702" s="1"/>
  <c r="N93" i="14702" a="1"/>
  <c r="N93" i="14702" s="1"/>
  <c r="D103" i="14702" a="1"/>
  <c r="D103" i="14702" s="1"/>
  <c r="L95" i="14702" a="1"/>
  <c r="L95" i="14702" s="1"/>
  <c r="K96" i="14702" a="1"/>
  <c r="K96" i="14702" s="1"/>
  <c r="P91" i="14702" a="1"/>
  <c r="P91" i="14702" s="1"/>
  <c r="I98" i="14702" a="1"/>
  <c r="I98" i="14702" s="1"/>
  <c r="P98" i="14702" a="1"/>
  <c r="P98" i="14702" s="1"/>
  <c r="W91" i="14702" a="1"/>
  <c r="W91" i="14702" s="1"/>
  <c r="K40" i="14702"/>
  <c r="R96" i="14702" a="1"/>
  <c r="R96" i="14702" s="1"/>
  <c r="Q97" i="14702" a="1"/>
  <c r="Q97" i="14702" s="1"/>
  <c r="K103" i="14702" a="1"/>
  <c r="K103" i="14702" s="1"/>
  <c r="V92" i="14702" a="1"/>
  <c r="V92" i="14702" s="1"/>
  <c r="U93" i="14702" a="1"/>
  <c r="U93" i="14702" s="1"/>
  <c r="M101" i="14702" a="1"/>
  <c r="M101" i="14702" s="1"/>
  <c r="L102" i="14702" a="1"/>
  <c r="L102" i="14702" s="1"/>
  <c r="N100" i="14702" a="1"/>
  <c r="N100" i="14702" s="1"/>
  <c r="O99" i="14702" a="1"/>
  <c r="O99" i="14702" s="1"/>
  <c r="T94" i="14702" a="1"/>
  <c r="T94" i="14702" s="1"/>
  <c r="S95" i="14702" a="1"/>
  <c r="S95" i="14702" s="1"/>
  <c r="H103" i="14702" a="1"/>
  <c r="H103" i="14702" s="1"/>
  <c r="H40" i="14702"/>
  <c r="S92" i="14702" a="1"/>
  <c r="S92" i="14702" s="1"/>
  <c r="J101" i="14702" a="1"/>
  <c r="J101" i="14702" s="1"/>
  <c r="Q94" i="14702" a="1"/>
  <c r="Q94" i="14702" s="1"/>
  <c r="P95" i="14702" a="1"/>
  <c r="P95" i="14702" s="1"/>
  <c r="R93" i="14702" a="1"/>
  <c r="R93" i="14702" s="1"/>
  <c r="N97" i="14702" a="1"/>
  <c r="N97" i="14702" s="1"/>
  <c r="K100" i="14702" a="1"/>
  <c r="K100" i="14702" s="1"/>
  <c r="M98" i="14702" a="1"/>
  <c r="M98" i="14702" s="1"/>
  <c r="I102" i="14702" a="1"/>
  <c r="I102" i="14702" s="1"/>
  <c r="O96" i="14702" a="1"/>
  <c r="O96" i="14702" s="1"/>
  <c r="L99" i="14702" a="1"/>
  <c r="L99" i="14702" s="1"/>
  <c r="T91" i="14702" a="1"/>
  <c r="T91" i="14702" s="1"/>
  <c r="H100" i="14702" a="1"/>
  <c r="H100" i="14702" s="1"/>
  <c r="F102" i="14702" a="1"/>
  <c r="F102" i="14702" s="1"/>
  <c r="E40" i="14702"/>
  <c r="G101" i="14702" a="1"/>
  <c r="G101" i="14702" s="1"/>
  <c r="M95" i="14702" a="1"/>
  <c r="M95" i="14702" s="1"/>
  <c r="E103" i="14702" a="1"/>
  <c r="E103" i="14702" s="1"/>
  <c r="J98" i="14702" a="1"/>
  <c r="J98" i="14702" s="1"/>
  <c r="Q91" i="14702" a="1"/>
  <c r="Q91" i="14702" s="1"/>
  <c r="P92" i="14702" a="1"/>
  <c r="P92" i="14702" s="1"/>
  <c r="K97" i="14702" a="1"/>
  <c r="K97" i="14702" s="1"/>
  <c r="O93" i="14702" a="1"/>
  <c r="O93" i="14702" s="1"/>
  <c r="N94" i="14702" a="1"/>
  <c r="N94" i="14702" s="1"/>
  <c r="I99" i="14702" a="1"/>
  <c r="I99" i="14702" s="1"/>
  <c r="L96" i="14702" a="1"/>
  <c r="L96" i="14702" s="1"/>
  <c r="T96" i="14702" a="1"/>
  <c r="T96" i="14702" s="1"/>
  <c r="V94" i="14702" a="1"/>
  <c r="V94" i="14702" s="1"/>
  <c r="Y91" i="14702" a="1"/>
  <c r="Y91" i="14702" s="1"/>
  <c r="S97" i="14702" a="1"/>
  <c r="S97" i="14702" s="1"/>
  <c r="U95" i="14702" a="1"/>
  <c r="U95" i="14702" s="1"/>
  <c r="R98" i="14702" a="1"/>
  <c r="R98" i="14702" s="1"/>
  <c r="N102" i="14702" a="1"/>
  <c r="N102" i="14702" s="1"/>
  <c r="Q99" i="14702" a="1"/>
  <c r="Q99" i="14702" s="1"/>
  <c r="W93" i="14702" a="1"/>
  <c r="W93" i="14702" s="1"/>
  <c r="M103" i="14702" a="1"/>
  <c r="M103" i="14702" s="1"/>
  <c r="O101" i="14702" a="1"/>
  <c r="O101" i="14702" s="1"/>
  <c r="P100" i="14702" a="1"/>
  <c r="P100" i="14702" s="1"/>
  <c r="X92" i="14702" a="1"/>
  <c r="X92" i="14702" s="1"/>
  <c r="M40" i="14702"/>
  <c r="W92" i="14702" a="1"/>
  <c r="W92" i="14702" s="1"/>
  <c r="L103" i="14702" a="1"/>
  <c r="L103" i="14702" s="1"/>
  <c r="R97" i="14702" a="1"/>
  <c r="R97" i="14702" s="1"/>
  <c r="T95" i="14702" a="1"/>
  <c r="T95" i="14702" s="1"/>
  <c r="Q98" i="14702" a="1"/>
  <c r="Q98" i="14702" s="1"/>
  <c r="O100" i="14702" a="1"/>
  <c r="O100" i="14702" s="1"/>
  <c r="S96" i="14702" a="1"/>
  <c r="S96" i="14702" s="1"/>
  <c r="M102" i="14702" a="1"/>
  <c r="M102" i="14702" s="1"/>
  <c r="P99" i="14702" a="1"/>
  <c r="P99" i="14702" s="1"/>
  <c r="U94" i="14702" a="1"/>
  <c r="U94" i="14702" s="1"/>
  <c r="N101" i="14702" a="1"/>
  <c r="N101" i="14702" s="1"/>
  <c r="L40" i="14702"/>
  <c r="V93" i="14702" a="1"/>
  <c r="V93" i="14702" s="1"/>
  <c r="X91" i="14702" a="1"/>
  <c r="X91" i="14702" s="1"/>
  <c r="E101" i="14702" a="1"/>
  <c r="E101" i="14702" s="1"/>
  <c r="L94" i="14702" a="1"/>
  <c r="L94" i="14702" s="1"/>
  <c r="N92" i="14702" a="1"/>
  <c r="N92" i="14702" s="1"/>
  <c r="K95" i="14702" a="1"/>
  <c r="K95" i="14702" s="1"/>
  <c r="C103" i="14702" a="1"/>
  <c r="C103" i="14702" s="1"/>
  <c r="O103" i="14701" s="1"/>
  <c r="C40" i="14702"/>
  <c r="O91" i="14702" a="1"/>
  <c r="O91" i="14702" s="1"/>
  <c r="F100" i="14702" a="1"/>
  <c r="F100" i="14702" s="1"/>
  <c r="J96" i="14702" a="1"/>
  <c r="J96" i="14702" s="1"/>
  <c r="G99" i="14702" a="1"/>
  <c r="G99" i="14702" s="1"/>
  <c r="I97" i="14702" a="1"/>
  <c r="I97" i="14702" s="1"/>
  <c r="D102" i="14702" a="1"/>
  <c r="D102" i="14702" s="1"/>
  <c r="M93" i="14702" a="1"/>
  <c r="M93" i="14702" s="1"/>
  <c r="H98" i="14702" a="1"/>
  <c r="H98" i="14702" s="1"/>
  <c r="J102" i="14702" a="1"/>
  <c r="J102" i="14702" s="1"/>
  <c r="I40" i="14702"/>
  <c r="N98" i="14702" a="1"/>
  <c r="N98" i="14702" s="1"/>
  <c r="M99" i="14702" a="1"/>
  <c r="M99" i="14702" s="1"/>
  <c r="R94" i="14702" a="1"/>
  <c r="R94" i="14702" s="1"/>
  <c r="S93" i="14702" a="1"/>
  <c r="S93" i="14702" s="1"/>
  <c r="I103" i="14702" a="1"/>
  <c r="I103" i="14702" s="1"/>
  <c r="Q95" i="14702" a="1"/>
  <c r="Q95" i="14702" s="1"/>
  <c r="O97" i="14702" a="1"/>
  <c r="O97" i="14702" s="1"/>
  <c r="P96" i="14702" a="1"/>
  <c r="P96" i="14702" s="1"/>
  <c r="K101" i="14702" a="1"/>
  <c r="K101" i="14702" s="1"/>
  <c r="L100" i="14702" a="1"/>
  <c r="L100" i="14702" s="1"/>
  <c r="U91" i="14702" a="1"/>
  <c r="U91" i="14702" s="1"/>
  <c r="T92" i="14702" a="1"/>
  <c r="T92" i="14702" s="1"/>
  <c r="N33" i="14702"/>
  <c r="B87" i="14702"/>
  <c r="F42" i="14622"/>
  <c r="I124" i="14702"/>
  <c r="U116" i="14701" a="1"/>
  <c r="X210" i="14702"/>
  <c r="X208" i="14702"/>
  <c r="X203" i="14702"/>
  <c r="X211" i="14702"/>
  <c r="X212" i="14702"/>
  <c r="X209" i="14702"/>
  <c r="X213" i="14702"/>
  <c r="X204" i="14702"/>
  <c r="X206" i="14702"/>
  <c r="X205" i="14702"/>
  <c r="X207" i="14702"/>
  <c r="Q212" i="14702"/>
  <c r="Q211" i="14702"/>
  <c r="Q210" i="14702"/>
  <c r="Q213" i="14702"/>
  <c r="U227" i="14702"/>
  <c r="U228" i="14702"/>
  <c r="U231" i="14702"/>
  <c r="U230" i="14702"/>
  <c r="U226" i="14702"/>
  <c r="U224" i="14702"/>
  <c r="U229" i="14702"/>
  <c r="U225" i="14702"/>
  <c r="U137" i="14702"/>
  <c r="U141" i="14702"/>
  <c r="U139" i="14702"/>
  <c r="U140" i="14702"/>
  <c r="U135" i="14702"/>
  <c r="U134" i="14702"/>
  <c r="U138" i="14702"/>
  <c r="U136" i="14702"/>
  <c r="W159" i="14702"/>
  <c r="W158" i="14702"/>
  <c r="W156" i="14702"/>
  <c r="W150" i="14702"/>
  <c r="W151" i="14702"/>
  <c r="W152" i="14702"/>
  <c r="W153" i="14702"/>
  <c r="W154" i="14702"/>
  <c r="W155" i="14702"/>
  <c r="W157" i="14702"/>
  <c r="T153" i="14702"/>
  <c r="T154" i="14702"/>
  <c r="T156" i="14702"/>
  <c r="T155" i="14702"/>
  <c r="T159" i="14702"/>
  <c r="T158" i="14702"/>
  <c r="T157" i="14702"/>
  <c r="R104" i="14704"/>
  <c r="D104" i="14704"/>
  <c r="P101" i="14702" a="1"/>
  <c r="H104" i="14704"/>
  <c r="T97" i="14702" a="1"/>
  <c r="I104" i="14704"/>
  <c r="U96" i="14702" a="1"/>
  <c r="R99" i="14702" a="1"/>
  <c r="F104" i="14704"/>
  <c r="K104" i="14704"/>
  <c r="W94" i="14702" a="1"/>
  <c r="M104" i="14704"/>
  <c r="Y92" i="14702" a="1"/>
  <c r="P104" i="14704"/>
  <c r="U117" i="14702"/>
  <c r="U116" i="14702"/>
  <c r="U119" i="14702"/>
  <c r="U122" i="14702"/>
  <c r="U123" i="14702"/>
  <c r="U118" i="14702"/>
  <c r="U120" i="14702"/>
  <c r="U121" i="14702"/>
  <c r="B55" i="14704"/>
  <c r="B125" i="14704" a="1"/>
  <c r="T138" i="14700"/>
  <c r="T136" i="14700"/>
  <c r="T137" i="14700"/>
  <c r="T139" i="14700"/>
  <c r="T141" i="14700"/>
  <c r="T135" i="14700"/>
  <c r="T140" i="14700"/>
  <c r="Q141" i="14700"/>
  <c r="Q140" i="14700"/>
  <c r="Q139" i="14700"/>
  <c r="Q138" i="14700"/>
  <c r="T119" i="14700"/>
  <c r="T120" i="14700"/>
  <c r="T118" i="14700"/>
  <c r="T122" i="14700"/>
  <c r="T121" i="14700"/>
  <c r="T117" i="14700"/>
  <c r="T123" i="14700"/>
  <c r="R121" i="14700"/>
  <c r="R120" i="14700"/>
  <c r="R119" i="14700"/>
  <c r="R123" i="14700"/>
  <c r="R122" i="14700"/>
  <c r="W85" i="14700"/>
  <c r="F73" i="14643"/>
  <c r="F70" i="14643"/>
  <c r="F67" i="14643"/>
  <c r="F69" i="14643"/>
  <c r="F72" i="14643"/>
  <c r="F71" i="14643"/>
  <c r="F68" i="14643"/>
  <c r="F66" i="14643"/>
  <c r="Y124" i="14698"/>
  <c r="Y196" i="14698"/>
  <c r="S250" i="14698"/>
  <c r="P250" i="14698"/>
  <c r="Q246" i="14702"/>
  <c r="Q247" i="14702"/>
  <c r="Q248" i="14702"/>
  <c r="Q249" i="14702"/>
  <c r="S174" i="14702"/>
  <c r="S177" i="14702"/>
  <c r="S173" i="14702"/>
  <c r="S175" i="14702"/>
  <c r="S172" i="14702"/>
  <c r="S176" i="14702"/>
  <c r="B179" i="14704" a="1"/>
  <c r="U232" i="14698"/>
  <c r="X232" i="14698"/>
  <c r="Q156" i="14700"/>
  <c r="Q157" i="14700"/>
  <c r="Q158" i="14700"/>
  <c r="Q159" i="14700"/>
  <c r="S154" i="14700"/>
  <c r="S158" i="14700"/>
  <c r="S156" i="14700"/>
  <c r="S155" i="14700"/>
  <c r="S157" i="14700"/>
  <c r="S159" i="14700"/>
  <c r="S193" i="14700"/>
  <c r="S191" i="14700"/>
  <c r="S194" i="14700"/>
  <c r="S190" i="14700"/>
  <c r="S192" i="14700"/>
  <c r="S195" i="14700"/>
  <c r="Y191" i="14700"/>
  <c r="Y188" i="14700"/>
  <c r="Y184" i="14700"/>
  <c r="Y194" i="14700"/>
  <c r="Y192" i="14700"/>
  <c r="Y195" i="14700"/>
  <c r="Y185" i="14700"/>
  <c r="Y186" i="14700"/>
  <c r="Y193" i="14700"/>
  <c r="Y187" i="14700"/>
  <c r="Y189" i="14700"/>
  <c r="Y190" i="14700"/>
  <c r="P175" i="14700"/>
  <c r="P177" i="14700"/>
  <c r="P176" i="14700"/>
  <c r="V177" i="14700"/>
  <c r="V173" i="14700"/>
  <c r="V175" i="14700"/>
  <c r="V170" i="14700"/>
  <c r="V174" i="14700"/>
  <c r="V176" i="14700"/>
  <c r="V172" i="14700"/>
  <c r="V171" i="14700"/>
  <c r="V169" i="14700"/>
  <c r="X167" i="14700"/>
  <c r="X168" i="14700"/>
  <c r="X169" i="14700"/>
  <c r="X177" i="14700"/>
  <c r="X176" i="14700"/>
  <c r="X171" i="14700"/>
  <c r="X173" i="14700"/>
  <c r="X175" i="14700"/>
  <c r="X170" i="14700"/>
  <c r="X172" i="14700"/>
  <c r="X174" i="14700"/>
  <c r="T228" i="14700"/>
  <c r="T225" i="14700"/>
  <c r="T230" i="14700"/>
  <c r="T226" i="14700"/>
  <c r="T231" i="14700"/>
  <c r="T229" i="14700"/>
  <c r="T227" i="14700"/>
  <c r="W226" i="14700"/>
  <c r="W223" i="14700"/>
  <c r="W228" i="14700"/>
  <c r="W230" i="14700"/>
  <c r="W227" i="14700"/>
  <c r="W231" i="14700"/>
  <c r="W229" i="14700"/>
  <c r="W225" i="14700"/>
  <c r="W222" i="14700"/>
  <c r="W224" i="14700"/>
  <c r="T244" i="14700"/>
  <c r="T246" i="14700"/>
  <c r="T249" i="14700"/>
  <c r="T243" i="14700"/>
  <c r="T245" i="14700"/>
  <c r="T248" i="14700"/>
  <c r="T247" i="14700"/>
  <c r="V249" i="14700"/>
  <c r="V248" i="14700"/>
  <c r="V243" i="14700"/>
  <c r="V247" i="14700"/>
  <c r="V242" i="14700"/>
  <c r="V245" i="14700"/>
  <c r="V244" i="14700"/>
  <c r="V246" i="14700"/>
  <c r="V241" i="14700"/>
  <c r="Q247" i="14700"/>
  <c r="Q246" i="14700"/>
  <c r="Q248" i="14700"/>
  <c r="Q249" i="14700"/>
  <c r="S103" i="14698"/>
  <c r="S102" i="14698"/>
  <c r="S101" i="14698"/>
  <c r="S100" i="14698"/>
  <c r="S99" i="14698"/>
  <c r="S98" i="14698"/>
  <c r="V101" i="14698"/>
  <c r="V98" i="14698"/>
  <c r="V95" i="14698"/>
  <c r="V103" i="14698"/>
  <c r="V100" i="14698"/>
  <c r="V97" i="14698"/>
  <c r="V102" i="14698"/>
  <c r="V96" i="14698"/>
  <c r="V99" i="14698"/>
  <c r="X96" i="14698"/>
  <c r="X95" i="14698"/>
  <c r="X97" i="14698"/>
  <c r="X99" i="14698"/>
  <c r="X100" i="14698"/>
  <c r="X94" i="14698"/>
  <c r="X101" i="14698"/>
  <c r="X93" i="14698"/>
  <c r="X98" i="14698"/>
  <c r="X102" i="14698"/>
  <c r="X103" i="14698"/>
  <c r="W196" i="14698"/>
  <c r="Y142" i="14698"/>
  <c r="E214" i="14702"/>
  <c r="Q210" i="14701" a="1"/>
  <c r="L214" i="14702"/>
  <c r="X203" i="14701" a="1"/>
  <c r="U206" i="14701" a="1"/>
  <c r="I214" i="14702"/>
  <c r="N214" i="14702"/>
  <c r="K142" i="14702"/>
  <c r="W132" i="14701" a="1"/>
  <c r="X131" i="14701" a="1"/>
  <c r="L142" i="14702"/>
  <c r="O140" i="14701"/>
  <c r="O142" i="14701" s="1"/>
  <c r="C142" i="14702"/>
  <c r="T135" i="14701" a="1"/>
  <c r="H142" i="14702"/>
  <c r="F232" i="14702"/>
  <c r="R227" i="14701" a="1"/>
  <c r="O232" i="14702"/>
  <c r="E232" i="14702"/>
  <c r="Q228" i="14701" a="1"/>
  <c r="D178" i="14702"/>
  <c r="P175" i="14701" a="1"/>
  <c r="F196" i="14702"/>
  <c r="R191" i="14701" a="1"/>
  <c r="Q192" i="14701" a="1"/>
  <c r="E196" i="14702"/>
  <c r="J196" i="14702"/>
  <c r="V187" i="14701" a="1"/>
  <c r="N195" i="14701"/>
  <c r="N196" i="14701" s="1"/>
  <c r="B196" i="14702"/>
  <c r="R211" i="14702"/>
  <c r="R210" i="14702"/>
  <c r="R209" i="14702"/>
  <c r="R212" i="14702"/>
  <c r="R213" i="14702"/>
  <c r="Y222" i="14702"/>
  <c r="Y229" i="14702"/>
  <c r="Y221" i="14702"/>
  <c r="Y228" i="14702"/>
  <c r="Y220" i="14702"/>
  <c r="Y226" i="14702"/>
  <c r="Y225" i="14702"/>
  <c r="Y230" i="14702"/>
  <c r="Y227" i="14702"/>
  <c r="Y223" i="14702"/>
  <c r="Y231" i="14702"/>
  <c r="Y224" i="14702"/>
  <c r="B143" i="14704" a="1"/>
  <c r="B47" i="14704" a="1"/>
  <c r="B161" i="14704" a="1"/>
  <c r="R85" i="14702"/>
  <c r="W85" i="14702"/>
  <c r="X85" i="14702"/>
  <c r="V178" i="14698"/>
  <c r="R141" i="14700"/>
  <c r="R138" i="14700"/>
  <c r="R137" i="14700"/>
  <c r="R139" i="14700"/>
  <c r="R140" i="14700"/>
  <c r="P211" i="14700"/>
  <c r="P212" i="14700"/>
  <c r="P213" i="14700"/>
  <c r="S120" i="14700"/>
  <c r="S123" i="14700"/>
  <c r="S119" i="14700"/>
  <c r="S118" i="14700"/>
  <c r="S122" i="14700"/>
  <c r="S121" i="14700"/>
  <c r="U118" i="14700"/>
  <c r="U119" i="14700"/>
  <c r="U116" i="14700"/>
  <c r="U120" i="14700"/>
  <c r="U123" i="14700"/>
  <c r="U121" i="14700"/>
  <c r="U122" i="14700"/>
  <c r="U117" i="14700"/>
  <c r="P122" i="14700"/>
  <c r="P121" i="14700"/>
  <c r="P123" i="14700"/>
  <c r="X118" i="14700"/>
  <c r="X113" i="14700"/>
  <c r="X119" i="14700"/>
  <c r="X115" i="14700"/>
  <c r="X114" i="14700"/>
  <c r="X121" i="14700"/>
  <c r="X116" i="14700"/>
  <c r="X122" i="14700"/>
  <c r="X117" i="14700"/>
  <c r="X123" i="14700"/>
  <c r="X120" i="14700"/>
  <c r="Y160" i="14698"/>
  <c r="W160" i="14698"/>
  <c r="F35" i="14683"/>
  <c r="F36" i="14683"/>
  <c r="F41" i="14683"/>
  <c r="F34" i="14683"/>
  <c r="F42" i="14683"/>
  <c r="F39" i="14683"/>
  <c r="F37" i="14683"/>
  <c r="F40" i="14683"/>
  <c r="F38" i="14683"/>
  <c r="Q250" i="14698"/>
  <c r="X242" i="14702"/>
  <c r="X249" i="14702"/>
  <c r="X243" i="14702"/>
  <c r="X246" i="14702"/>
  <c r="X247" i="14702"/>
  <c r="X240" i="14702"/>
  <c r="X248" i="14702"/>
  <c r="X241" i="14702"/>
  <c r="X245" i="14702"/>
  <c r="X239" i="14702"/>
  <c r="X244" i="14702"/>
  <c r="W190" i="14702"/>
  <c r="W192" i="14702"/>
  <c r="W186" i="14702"/>
  <c r="W187" i="14702"/>
  <c r="W194" i="14702"/>
  <c r="W189" i="14702"/>
  <c r="W193" i="14702"/>
  <c r="W191" i="14702"/>
  <c r="W195" i="14702"/>
  <c r="W188" i="14702"/>
  <c r="Q194" i="14702"/>
  <c r="Q192" i="14702"/>
  <c r="Q195" i="14702"/>
  <c r="Q193" i="14702"/>
  <c r="T178" i="14698"/>
  <c r="S214" i="14698"/>
  <c r="V154" i="14700"/>
  <c r="V158" i="14700"/>
  <c r="V151" i="14700"/>
  <c r="V159" i="14700"/>
  <c r="V152" i="14700"/>
  <c r="V157" i="14700"/>
  <c r="V156" i="14700"/>
  <c r="V153" i="14700"/>
  <c r="V155" i="14700"/>
  <c r="R192" i="14700"/>
  <c r="R191" i="14700"/>
  <c r="R195" i="14700"/>
  <c r="R193" i="14700"/>
  <c r="R194" i="14700"/>
  <c r="V195" i="14700"/>
  <c r="V194" i="14700"/>
  <c r="V189" i="14700"/>
  <c r="V191" i="14700"/>
  <c r="V188" i="14700"/>
  <c r="V193" i="14700"/>
  <c r="V190" i="14700"/>
  <c r="V192" i="14700"/>
  <c r="V187" i="14700"/>
  <c r="U189" i="14700"/>
  <c r="U191" i="14700"/>
  <c r="U192" i="14700"/>
  <c r="U188" i="14700"/>
  <c r="U195" i="14700"/>
  <c r="U194" i="14700"/>
  <c r="U190" i="14700"/>
  <c r="U193" i="14700"/>
  <c r="Y176" i="14700"/>
  <c r="Y168" i="14700"/>
  <c r="Y175" i="14700"/>
  <c r="Y174" i="14700"/>
  <c r="Y166" i="14700"/>
  <c r="Y173" i="14700"/>
  <c r="Y170" i="14700"/>
  <c r="Y167" i="14700"/>
  <c r="Y171" i="14700"/>
  <c r="Y177" i="14700"/>
  <c r="Y172" i="14700"/>
  <c r="Y169" i="14700"/>
  <c r="W169" i="14700"/>
  <c r="W177" i="14700"/>
  <c r="W168" i="14700"/>
  <c r="W175" i="14700"/>
  <c r="W176" i="14700"/>
  <c r="W172" i="14700"/>
  <c r="W170" i="14700"/>
  <c r="W174" i="14700"/>
  <c r="W171" i="14700"/>
  <c r="W173" i="14700"/>
  <c r="T172" i="14700"/>
  <c r="T177" i="14700"/>
  <c r="T175" i="14700"/>
  <c r="T174" i="14700"/>
  <c r="T176" i="14700"/>
  <c r="T173" i="14700"/>
  <c r="T171" i="14700"/>
  <c r="Y248" i="14700"/>
  <c r="Y249" i="14700"/>
  <c r="Y241" i="14700"/>
  <c r="Y245" i="14700"/>
  <c r="Y246" i="14700"/>
  <c r="Y244" i="14700"/>
  <c r="Y239" i="14700"/>
  <c r="Y247" i="14700"/>
  <c r="Y242" i="14700"/>
  <c r="Y238" i="14700"/>
  <c r="Y240" i="14700"/>
  <c r="Y243" i="14700"/>
  <c r="R124" i="14698"/>
  <c r="V250" i="14698"/>
  <c r="P142" i="14698"/>
  <c r="N159" i="14701"/>
  <c r="N160" i="14701" s="1"/>
  <c r="B160" i="14702"/>
  <c r="J160" i="14702"/>
  <c r="V151" i="14701" a="1"/>
  <c r="O158" i="14701"/>
  <c r="O160" i="14701" s="1"/>
  <c r="C160" i="14702"/>
  <c r="E160" i="14702"/>
  <c r="Q156" i="14701" a="1"/>
  <c r="P157" i="14701" a="1"/>
  <c r="D160" i="14702"/>
  <c r="V241" i="14701" a="1"/>
  <c r="J250" i="14702"/>
  <c r="Q246" i="14701" a="1"/>
  <c r="E250" i="14702"/>
  <c r="W240" i="14701" a="1"/>
  <c r="K250" i="14702"/>
  <c r="Y238" i="14701" a="1"/>
  <c r="M250" i="14702"/>
  <c r="P84" i="14701"/>
  <c r="P83" i="14701"/>
  <c r="P82" i="14701"/>
  <c r="F124" i="14702"/>
  <c r="R119" i="14701" a="1"/>
  <c r="E124" i="14702"/>
  <c r="Q120" i="14701" a="1"/>
  <c r="O83" i="14701"/>
  <c r="O84" i="14701"/>
  <c r="X77" i="14701"/>
  <c r="X75" i="14701"/>
  <c r="X83" i="14701"/>
  <c r="X79" i="14701"/>
  <c r="X74" i="14701"/>
  <c r="X76" i="14701"/>
  <c r="X82" i="14701"/>
  <c r="X81" i="14701"/>
  <c r="X78" i="14701"/>
  <c r="X80" i="14701"/>
  <c r="X84" i="14701"/>
  <c r="E92" i="14643"/>
  <c r="E94" i="14643"/>
  <c r="E97" i="14643"/>
  <c r="E96" i="14643"/>
  <c r="E95" i="14643"/>
  <c r="E99" i="14643"/>
  <c r="E93" i="14643"/>
  <c r="E98" i="14643"/>
  <c r="D124" i="14702"/>
  <c r="P121" i="14701" a="1"/>
  <c r="Y84" i="14701"/>
  <c r="Y81" i="14701"/>
  <c r="Y79" i="14701"/>
  <c r="Y76" i="14701"/>
  <c r="Y78" i="14701"/>
  <c r="Y82" i="14701"/>
  <c r="Y75" i="14701"/>
  <c r="Y74" i="14701"/>
  <c r="Y80" i="14701"/>
  <c r="Y73" i="14701"/>
  <c r="Y77" i="14701"/>
  <c r="Y83" i="14701"/>
  <c r="L124" i="14702"/>
  <c r="X113" i="14701" a="1"/>
  <c r="U209" i="14702"/>
  <c r="U211" i="14702"/>
  <c r="U210" i="14702"/>
  <c r="U206" i="14702"/>
  <c r="U213" i="14702"/>
  <c r="U207" i="14702"/>
  <c r="U208" i="14702"/>
  <c r="U212" i="14702"/>
  <c r="T210" i="14702"/>
  <c r="T208" i="14702"/>
  <c r="T209" i="14702"/>
  <c r="T212" i="14702"/>
  <c r="T213" i="14702"/>
  <c r="T207" i="14702"/>
  <c r="T211" i="14702"/>
  <c r="Y210" i="14702"/>
  <c r="Y211" i="14702"/>
  <c r="Y203" i="14702"/>
  <c r="Y202" i="14702"/>
  <c r="Y204" i="14702"/>
  <c r="Y206" i="14702"/>
  <c r="Y209" i="14702"/>
  <c r="Y208" i="14702"/>
  <c r="Y207" i="14702"/>
  <c r="Y205" i="14702"/>
  <c r="Y213" i="14702"/>
  <c r="Y212" i="14702"/>
  <c r="S227" i="14702"/>
  <c r="S230" i="14702"/>
  <c r="S228" i="14702"/>
  <c r="S226" i="14702"/>
  <c r="S229" i="14702"/>
  <c r="S231" i="14702"/>
  <c r="Q141" i="14702"/>
  <c r="Q138" i="14702"/>
  <c r="Q140" i="14702"/>
  <c r="Q139" i="14702"/>
  <c r="T138" i="14702"/>
  <c r="T139" i="14702"/>
  <c r="T140" i="14702"/>
  <c r="T135" i="14702"/>
  <c r="T137" i="14702"/>
  <c r="T136" i="14702"/>
  <c r="T141" i="14702"/>
  <c r="U158" i="14702"/>
  <c r="U159" i="14702"/>
  <c r="U152" i="14702"/>
  <c r="U157" i="14702"/>
  <c r="U154" i="14702"/>
  <c r="U153" i="14702"/>
  <c r="U155" i="14702"/>
  <c r="U156" i="14702"/>
  <c r="O104" i="14704"/>
  <c r="S123" i="14702"/>
  <c r="S118" i="14702"/>
  <c r="S122" i="14702"/>
  <c r="S121" i="14702"/>
  <c r="S120" i="14702"/>
  <c r="S119" i="14702"/>
  <c r="X178" i="14698"/>
  <c r="X214" i="14698"/>
  <c r="Q212" i="14700"/>
  <c r="Q213" i="14700"/>
  <c r="Q211" i="14700"/>
  <c r="Q210" i="14700"/>
  <c r="V206" i="14700"/>
  <c r="V213" i="14700"/>
  <c r="V209" i="14700"/>
  <c r="V208" i="14700"/>
  <c r="V210" i="14700"/>
  <c r="V211" i="14700"/>
  <c r="V212" i="14700"/>
  <c r="V207" i="14700"/>
  <c r="V205" i="14700"/>
  <c r="Y208" i="14700"/>
  <c r="Y205" i="14700"/>
  <c r="Y204" i="14700"/>
  <c r="Y209" i="14700"/>
  <c r="Y211" i="14700"/>
  <c r="Y202" i="14700"/>
  <c r="Y210" i="14700"/>
  <c r="Y206" i="14700"/>
  <c r="Y212" i="14700"/>
  <c r="Y213" i="14700"/>
  <c r="Y203" i="14700"/>
  <c r="Y207" i="14700"/>
  <c r="W123" i="14700"/>
  <c r="W115" i="14700"/>
  <c r="W114" i="14700"/>
  <c r="W118" i="14700"/>
  <c r="W121" i="14700"/>
  <c r="W116" i="14700"/>
  <c r="W120" i="14700"/>
  <c r="W122" i="14700"/>
  <c r="W117" i="14700"/>
  <c r="W119" i="14700"/>
  <c r="N9" i="14670"/>
  <c r="V85" i="14700"/>
  <c r="T124" i="14698"/>
  <c r="P124" i="14698"/>
  <c r="T247" i="14702"/>
  <c r="T245" i="14702"/>
  <c r="T244" i="14702"/>
  <c r="T243" i="14702"/>
  <c r="T248" i="14702"/>
  <c r="T249" i="14702"/>
  <c r="T246" i="14702"/>
  <c r="B197" i="14704" a="1"/>
  <c r="T189" i="14702"/>
  <c r="T195" i="14702"/>
  <c r="T194" i="14702"/>
  <c r="T192" i="14702"/>
  <c r="T190" i="14702"/>
  <c r="T191" i="14702"/>
  <c r="T193" i="14702"/>
  <c r="B49" i="14704" a="1"/>
  <c r="P232" i="14698"/>
  <c r="K33" i="14652" a="1"/>
  <c r="K34" i="14652" s="1"/>
  <c r="N40" i="14637"/>
  <c r="B40" i="14668" a="1"/>
  <c r="L40" i="14668" s="1"/>
  <c r="F9" i="14657"/>
  <c r="F77" i="14665"/>
  <c r="D77" i="14665"/>
  <c r="E77" i="14665"/>
  <c r="C77" i="14665"/>
  <c r="D5" i="14661"/>
  <c r="E5" i="14661"/>
  <c r="H5" i="14661"/>
  <c r="G5" i="14661"/>
  <c r="F5" i="14661"/>
  <c r="G18" i="14704"/>
  <c r="G57" i="14704"/>
  <c r="G44" i="14704"/>
  <c r="I60" i="14703"/>
  <c r="C60" i="14703"/>
  <c r="E60" i="14703"/>
  <c r="L60" i="14703"/>
  <c r="K60" i="14703"/>
  <c r="M60" i="14703"/>
  <c r="G60" i="14703"/>
  <c r="B60" i="14703"/>
  <c r="H60" i="14703"/>
  <c r="F60" i="14703"/>
  <c r="J60" i="14703"/>
  <c r="D60" i="14703"/>
  <c r="F64" i="14703"/>
  <c r="C64" i="14703"/>
  <c r="E64" i="14703"/>
  <c r="D64" i="14703"/>
  <c r="J64" i="14703"/>
  <c r="H64" i="14703"/>
  <c r="G64" i="14703"/>
  <c r="K64" i="14703"/>
  <c r="I64" i="14703"/>
  <c r="L64" i="14703"/>
  <c r="M64" i="14703"/>
  <c r="B64" i="14703"/>
  <c r="J63" i="14703"/>
  <c r="F63" i="14703"/>
  <c r="D63" i="14703"/>
  <c r="B63" i="14703"/>
  <c r="G63" i="14703"/>
  <c r="C63" i="14703"/>
  <c r="H63" i="14703"/>
  <c r="L63" i="14703"/>
  <c r="E63" i="14703"/>
  <c r="M63" i="14703"/>
  <c r="I63" i="14703"/>
  <c r="K63" i="14703"/>
  <c r="C66" i="14703"/>
  <c r="J66" i="14703"/>
  <c r="D66" i="14703"/>
  <c r="I66" i="14703"/>
  <c r="H66" i="14703"/>
  <c r="L66" i="14703"/>
  <c r="M66" i="14703"/>
  <c r="F66" i="14703"/>
  <c r="B66" i="14703"/>
  <c r="K66" i="14703"/>
  <c r="E66" i="14703"/>
  <c r="G66" i="14703"/>
  <c r="L65" i="14703"/>
  <c r="M65" i="14703"/>
  <c r="B65" i="14703"/>
  <c r="I65" i="14703"/>
  <c r="G65" i="14703"/>
  <c r="J65" i="14703"/>
  <c r="D65" i="14703"/>
  <c r="E65" i="14703"/>
  <c r="H65" i="14703"/>
  <c r="F65" i="14703"/>
  <c r="C65" i="14703"/>
  <c r="K65" i="14703"/>
  <c r="N54" i="14703"/>
  <c r="B62" i="14703"/>
  <c r="I62" i="14703"/>
  <c r="G62" i="14703"/>
  <c r="D62" i="14703"/>
  <c r="C62" i="14703"/>
  <c r="J62" i="14703"/>
  <c r="L62" i="14703"/>
  <c r="E62" i="14703"/>
  <c r="F62" i="14703"/>
  <c r="M62" i="14703"/>
  <c r="H62" i="14703"/>
  <c r="K62" i="14703"/>
  <c r="B59" i="14703"/>
  <c r="F59" i="14703"/>
  <c r="M59" i="14703"/>
  <c r="L59" i="14703"/>
  <c r="E59" i="14703"/>
  <c r="H59" i="14703"/>
  <c r="J59" i="14703"/>
  <c r="D59" i="14703"/>
  <c r="I59" i="14703"/>
  <c r="K59" i="14703"/>
  <c r="C59" i="14703"/>
  <c r="G59" i="14703"/>
  <c r="C61" i="14703"/>
  <c r="K61" i="14703"/>
  <c r="G61" i="14703"/>
  <c r="I61" i="14703"/>
  <c r="H61" i="14703"/>
  <c r="M61" i="14703"/>
  <c r="B61" i="14703"/>
  <c r="D61" i="14703"/>
  <c r="F61" i="14703"/>
  <c r="L61" i="14703"/>
  <c r="E61" i="14703"/>
  <c r="J61" i="14703"/>
  <c r="N8" i="14678"/>
  <c r="C28" i="14638"/>
  <c r="S30" i="14638"/>
  <c r="J12" i="14706" s="1"/>
  <c r="I28" i="14638"/>
  <c r="J28" i="14638"/>
  <c r="D28" i="14638"/>
  <c r="F25" i="14669"/>
  <c r="F45" i="14681" s="1"/>
  <c r="H25" i="14669"/>
  <c r="H45" i="14681" s="1"/>
  <c r="K28" i="14638"/>
  <c r="H28" i="14638"/>
  <c r="G28" i="14638"/>
  <c r="F30" i="14707"/>
  <c r="F28" i="14707"/>
  <c r="F26" i="14707"/>
  <c r="F27" i="14707"/>
  <c r="F24" i="14707"/>
  <c r="F25" i="14707"/>
  <c r="F29" i="14707"/>
  <c r="F31" i="14707"/>
  <c r="F32" i="14707"/>
  <c r="N19" i="14679"/>
  <c r="O19" i="14679"/>
  <c r="P19" i="14679"/>
  <c r="Q19" i="14679"/>
  <c r="R19" i="14679"/>
  <c r="S19" i="14679"/>
  <c r="O71" i="14698"/>
  <c r="Y71" i="14698"/>
  <c r="U71" i="14698"/>
  <c r="T71" i="14698"/>
  <c r="W71" i="14698"/>
  <c r="Q71" i="14698"/>
  <c r="N71" i="14698"/>
  <c r="R71" i="14698"/>
  <c r="V71" i="14698"/>
  <c r="X71" i="14698"/>
  <c r="S71" i="14698"/>
  <c r="P71" i="14698"/>
  <c r="E19" i="14632"/>
  <c r="I19" i="14632"/>
  <c r="K19" i="14632"/>
  <c r="C19" i="14632"/>
  <c r="J19" i="14632"/>
  <c r="G19" i="14632"/>
  <c r="D19" i="14632"/>
  <c r="H19" i="14632"/>
  <c r="F19" i="14632"/>
  <c r="L19" i="14632"/>
  <c r="M19" i="14632"/>
  <c r="B19" i="14632"/>
  <c r="N48" i="14645"/>
  <c r="H48" i="14645"/>
  <c r="G48" i="14645"/>
  <c r="K48" i="14645"/>
  <c r="D48" i="14645"/>
  <c r="C48" i="14645"/>
  <c r="M48" i="14645"/>
  <c r="I48" i="14645"/>
  <c r="E48" i="14645"/>
  <c r="J48" i="14645"/>
  <c r="B48" i="14645"/>
  <c r="F48" i="14645"/>
  <c r="L48" i="14645"/>
  <c r="I19" i="14679"/>
  <c r="B19" i="14679"/>
  <c r="H19" i="14679"/>
  <c r="F19" i="14679"/>
  <c r="D19" i="14679"/>
  <c r="J19" i="14679"/>
  <c r="K19" i="14679"/>
  <c r="E19" i="14679"/>
  <c r="L19" i="14679"/>
  <c r="C19" i="14679"/>
  <c r="G19" i="14679"/>
  <c r="M19" i="14679"/>
  <c r="N24" i="14669"/>
  <c r="N19" i="14669"/>
  <c r="N22" i="14669"/>
  <c r="N23" i="14669"/>
  <c r="N21" i="14669"/>
  <c r="N18" i="14669"/>
  <c r="G25" i="14669"/>
  <c r="G45" i="14681" s="1"/>
  <c r="F27" i="14683"/>
  <c r="F24" i="14683"/>
  <c r="F21" i="14683"/>
  <c r="F22" i="14683"/>
  <c r="F26" i="14683"/>
  <c r="F25" i="14683"/>
  <c r="F20" i="14683"/>
  <c r="F19" i="14683"/>
  <c r="F23" i="14683"/>
  <c r="C39" i="14674"/>
  <c r="C19" i="14674" a="1"/>
  <c r="C19" i="14674" s="1"/>
  <c r="O31" i="14674"/>
  <c r="M39" i="14674"/>
  <c r="M19" i="14674" a="1"/>
  <c r="M19" i="14674" s="1"/>
  <c r="O37" i="14674"/>
  <c r="L19" i="14674" a="1"/>
  <c r="L19" i="14674" s="1"/>
  <c r="L39" i="14674"/>
  <c r="G19" i="14674" a="1"/>
  <c r="G19" i="14674" s="1"/>
  <c r="G39" i="14674"/>
  <c r="O36" i="14674"/>
  <c r="O32" i="14674"/>
  <c r="N39" i="14674"/>
  <c r="N19" i="14674" a="1"/>
  <c r="N19" i="14674" s="1"/>
  <c r="I39" i="14674"/>
  <c r="I19" i="14674" a="1"/>
  <c r="I19" i="14674" s="1"/>
  <c r="K39" i="14674"/>
  <c r="K19" i="14674" a="1"/>
  <c r="K19" i="14674" s="1"/>
  <c r="N24" i="14678" a="1"/>
  <c r="N24" i="14678" s="1"/>
  <c r="O25" i="14678" a="1"/>
  <c r="O25" i="14678" s="1"/>
  <c r="M23" i="14678" a="1"/>
  <c r="M23" i="14678" s="1"/>
  <c r="J15" i="14678"/>
  <c r="L22" i="14678" a="1"/>
  <c r="L22" i="14678" s="1"/>
  <c r="J20" i="14678" a="1"/>
  <c r="J20" i="14678" s="1"/>
  <c r="P26" i="14678" a="1"/>
  <c r="P26" i="14678" s="1"/>
  <c r="K21" i="14678" a="1"/>
  <c r="K21" i="14678" s="1"/>
  <c r="N10" i="14678"/>
  <c r="J26" i="14678" a="1"/>
  <c r="J26" i="14678" s="1"/>
  <c r="D20" i="14678" a="1"/>
  <c r="D20" i="14678" s="1"/>
  <c r="D15" i="14678"/>
  <c r="F22" i="14678" a="1"/>
  <c r="F22" i="14678" s="1"/>
  <c r="I25" i="14678" a="1"/>
  <c r="I25" i="14678" s="1"/>
  <c r="G23" i="14678" a="1"/>
  <c r="G23" i="14678" s="1"/>
  <c r="H24" i="14678" a="1"/>
  <c r="H24" i="14678" s="1"/>
  <c r="E21" i="14678" a="1"/>
  <c r="E21" i="14678" s="1"/>
  <c r="N9" i="14678"/>
  <c r="N13" i="14678"/>
  <c r="N21" i="14678" a="1"/>
  <c r="N21" i="14678" s="1"/>
  <c r="P23" i="14678" a="1"/>
  <c r="P23" i="14678" s="1"/>
  <c r="R25" i="14678" a="1"/>
  <c r="R25" i="14678" s="1"/>
  <c r="S26" i="14678" a="1"/>
  <c r="S26" i="14678" s="1"/>
  <c r="Q24" i="14678" a="1"/>
  <c r="Q24" i="14678" s="1"/>
  <c r="M15" i="14678"/>
  <c r="O22" i="14678" a="1"/>
  <c r="O22" i="14678" s="1"/>
  <c r="M20" i="14678" a="1"/>
  <c r="M20" i="14678" s="1"/>
  <c r="E24" i="14678"/>
  <c r="E25" i="14678"/>
  <c r="E26" i="14678"/>
  <c r="B10" i="14670"/>
  <c r="S31" i="14638"/>
  <c r="C71" i="14698"/>
  <c r="H71" i="14698"/>
  <c r="K71" i="14698"/>
  <c r="J71" i="14698"/>
  <c r="M71" i="14698"/>
  <c r="D71" i="14698"/>
  <c r="B71" i="14698"/>
  <c r="E71" i="14698"/>
  <c r="I71" i="14698"/>
  <c r="L71" i="14698"/>
  <c r="F71" i="14698"/>
  <c r="G71" i="14698"/>
  <c r="T71" i="14703"/>
  <c r="O71" i="14703"/>
  <c r="V71" i="14703"/>
  <c r="S71" i="14703"/>
  <c r="P71" i="14703"/>
  <c r="X71" i="14703"/>
  <c r="N71" i="14703"/>
  <c r="R71" i="14703"/>
  <c r="Y71" i="14703"/>
  <c r="W71" i="14703"/>
  <c r="Q71" i="14703"/>
  <c r="U71" i="14703"/>
  <c r="C71" i="14702"/>
  <c r="H71" i="14702"/>
  <c r="F71" i="14702"/>
  <c r="E71" i="14702"/>
  <c r="M71" i="14702"/>
  <c r="J71" i="14702"/>
  <c r="K71" i="14702"/>
  <c r="G71" i="14702"/>
  <c r="L71" i="14702"/>
  <c r="D71" i="14702"/>
  <c r="B71" i="14702"/>
  <c r="I71" i="14702"/>
  <c r="B37" i="14645"/>
  <c r="C37" i="14645"/>
  <c r="F37" i="14645"/>
  <c r="K37" i="14645"/>
  <c r="I37" i="14645"/>
  <c r="N37" i="14645"/>
  <c r="E37" i="14645"/>
  <c r="L37" i="14645"/>
  <c r="M37" i="14645"/>
  <c r="D37" i="14645"/>
  <c r="H37" i="14645"/>
  <c r="G37" i="14645"/>
  <c r="J37" i="14645"/>
  <c r="R71" i="14700"/>
  <c r="Y71" i="14700"/>
  <c r="P71" i="14700"/>
  <c r="O71" i="14700"/>
  <c r="X71" i="14700"/>
  <c r="V71" i="14700"/>
  <c r="W71" i="14700"/>
  <c r="S71" i="14700"/>
  <c r="U71" i="14700"/>
  <c r="N71" i="14700"/>
  <c r="Q71" i="14700"/>
  <c r="T71" i="14700"/>
  <c r="H71" i="14701"/>
  <c r="K71" i="14701"/>
  <c r="D71" i="14701"/>
  <c r="C71" i="14701"/>
  <c r="M71" i="14701"/>
  <c r="I71" i="14701"/>
  <c r="F71" i="14701"/>
  <c r="L71" i="14701"/>
  <c r="G71" i="14701"/>
  <c r="E71" i="14701"/>
  <c r="J71" i="14701"/>
  <c r="B71" i="14701"/>
  <c r="G6" i="14617"/>
  <c r="G5" i="14617"/>
  <c r="C86" i="14643"/>
  <c r="C84" i="14643"/>
  <c r="C85" i="14643"/>
  <c r="C81" i="14643"/>
  <c r="C79" i="14643"/>
  <c r="C83" i="14643"/>
  <c r="C82" i="14643"/>
  <c r="C80" i="14643"/>
  <c r="I35" i="14668"/>
  <c r="K32" i="14668"/>
  <c r="D39" i="14668"/>
  <c r="L35" i="14668"/>
  <c r="K35" i="14668"/>
  <c r="F32" i="14668"/>
  <c r="F36" i="14668"/>
  <c r="M32" i="14668"/>
  <c r="G39" i="14668"/>
  <c r="M34" i="14668"/>
  <c r="K34" i="14668"/>
  <c r="I34" i="14668"/>
  <c r="C36" i="14668"/>
  <c r="I36" i="14668"/>
  <c r="B32" i="14668"/>
  <c r="C33" i="14668"/>
  <c r="H39" i="14668"/>
  <c r="J38" i="14668"/>
  <c r="E39" i="14668"/>
  <c r="H38" i="14668"/>
  <c r="K38" i="14668"/>
  <c r="E34" i="14668"/>
  <c r="G36" i="14668"/>
  <c r="I37" i="14668"/>
  <c r="K33" i="14668"/>
  <c r="B36" i="14668"/>
  <c r="G33" i="14668"/>
  <c r="B39" i="14668"/>
  <c r="H32" i="14668"/>
  <c r="H35" i="14668"/>
  <c r="L32" i="14668"/>
  <c r="G35" i="14668"/>
  <c r="E37" i="14668"/>
  <c r="L33" i="14668"/>
  <c r="M39" i="14668"/>
  <c r="L37" i="14668"/>
  <c r="C39" i="14668"/>
  <c r="D34" i="14668"/>
  <c r="B35" i="14668"/>
  <c r="E33" i="14668"/>
  <c r="C34" i="14668"/>
  <c r="D36" i="14668"/>
  <c r="J36" i="14668"/>
  <c r="E38" i="14668"/>
  <c r="G37" i="14668"/>
  <c r="C38" i="14668"/>
  <c r="H37" i="14668"/>
  <c r="D35" i="14668"/>
  <c r="L39" i="14668"/>
  <c r="H33" i="14668"/>
  <c r="E32" i="14668"/>
  <c r="J37" i="14668"/>
  <c r="I39" i="14668"/>
  <c r="L36" i="14668"/>
  <c r="M38" i="14668"/>
  <c r="I32" i="14668"/>
  <c r="M37" i="14668"/>
  <c r="J35" i="14668"/>
  <c r="F35" i="14668"/>
  <c r="C32" i="14668"/>
  <c r="D32" i="14668"/>
  <c r="J33" i="14668"/>
  <c r="K36" i="14668"/>
  <c r="J32" i="14668"/>
  <c r="B37" i="14668"/>
  <c r="G32" i="14668"/>
  <c r="M35" i="14668"/>
  <c r="H36" i="14668"/>
  <c r="F37" i="14668"/>
  <c r="J34" i="14668"/>
  <c r="D33" i="14668"/>
  <c r="I38" i="14668"/>
  <c r="E36" i="14668"/>
  <c r="B38" i="14668"/>
  <c r="L34" i="14668"/>
  <c r="C37" i="14668"/>
  <c r="I33" i="14668"/>
  <c r="J39" i="14668"/>
  <c r="M36" i="14668"/>
  <c r="K37" i="14668"/>
  <c r="F38" i="14668"/>
  <c r="F34" i="14668"/>
  <c r="F39" i="14668"/>
  <c r="G34" i="14668"/>
  <c r="D37" i="14668"/>
  <c r="C35" i="14668"/>
  <c r="F33" i="14668"/>
  <c r="B34" i="14668"/>
  <c r="M33" i="14668"/>
  <c r="D38" i="14668"/>
  <c r="B33" i="14668"/>
  <c r="G38" i="14668"/>
  <c r="E35" i="14668"/>
  <c r="H34" i="14668"/>
  <c r="L38" i="14668"/>
  <c r="K39" i="14668"/>
  <c r="D26" i="14678"/>
  <c r="D25" i="14678"/>
  <c r="D24" i="14678"/>
  <c r="D23" i="14678"/>
  <c r="M28" i="14638"/>
  <c r="D66" i="14643"/>
  <c r="D73" i="14643"/>
  <c r="D70" i="14643"/>
  <c r="D72" i="14643"/>
  <c r="D67" i="14643"/>
  <c r="D71" i="14643"/>
  <c r="D68" i="14643"/>
  <c r="F14" i="14643"/>
  <c r="D69" i="14643"/>
  <c r="G74" i="14643"/>
  <c r="D16" i="11"/>
  <c r="C17" i="14649"/>
  <c r="B25" i="14649" s="1"/>
  <c r="F28" i="14638"/>
  <c r="E28" i="14638"/>
  <c r="H41" i="14639"/>
  <c r="J41" i="14639"/>
  <c r="E41" i="14639"/>
  <c r="M41" i="14639"/>
  <c r="N41" i="14639"/>
  <c r="G41" i="14639"/>
  <c r="C41" i="14639"/>
  <c r="I41" i="14639"/>
  <c r="K41" i="14639"/>
  <c r="D41" i="14639"/>
  <c r="F41" i="14639"/>
  <c r="L41" i="14639"/>
  <c r="Q71" i="14704"/>
  <c r="R71" i="14704"/>
  <c r="X71" i="14704"/>
  <c r="V71" i="14704"/>
  <c r="N71" i="14704"/>
  <c r="S71" i="14704"/>
  <c r="O71" i="14704"/>
  <c r="T71" i="14704"/>
  <c r="P71" i="14704"/>
  <c r="W71" i="14704"/>
  <c r="Y71" i="14704"/>
  <c r="U71" i="14704"/>
  <c r="B17" i="14645"/>
  <c r="I17" i="14645"/>
  <c r="L17" i="14645"/>
  <c r="N17" i="14645"/>
  <c r="G17" i="14645"/>
  <c r="E17" i="14645"/>
  <c r="M17" i="14645"/>
  <c r="C17" i="14645"/>
  <c r="K17" i="14645"/>
  <c r="F17" i="14645"/>
  <c r="D17" i="14645"/>
  <c r="H17" i="14645"/>
  <c r="J17" i="14645"/>
  <c r="B71" i="14700"/>
  <c r="H71" i="14700"/>
  <c r="K71" i="14700"/>
  <c r="E71" i="14700"/>
  <c r="L71" i="14700"/>
  <c r="G71" i="14700"/>
  <c r="C71" i="14700"/>
  <c r="D71" i="14700"/>
  <c r="M71" i="14700"/>
  <c r="J71" i="14700"/>
  <c r="I71" i="14700"/>
  <c r="F71" i="14700"/>
  <c r="G71" i="14704"/>
  <c r="M71" i="14704"/>
  <c r="K71" i="14704"/>
  <c r="C71" i="14704"/>
  <c r="E71" i="14704"/>
  <c r="I71" i="14704"/>
  <c r="D71" i="14704"/>
  <c r="L71" i="14704"/>
  <c r="H71" i="14704"/>
  <c r="B71" i="14704"/>
  <c r="F71" i="14704"/>
  <c r="J71" i="14704"/>
  <c r="V71" i="14702"/>
  <c r="P71" i="14702"/>
  <c r="Y71" i="14702"/>
  <c r="R71" i="14702"/>
  <c r="O71" i="14702"/>
  <c r="W71" i="14702"/>
  <c r="U71" i="14702"/>
  <c r="N71" i="14702"/>
  <c r="T71" i="14702"/>
  <c r="Q71" i="14702"/>
  <c r="S71" i="14702"/>
  <c r="X71" i="14702"/>
  <c r="L25" i="14669"/>
  <c r="L45" i="14681" s="1"/>
  <c r="N17" i="14669"/>
  <c r="B25" i="14669"/>
  <c r="B7" i="14679" a="1"/>
  <c r="C31" i="14675" a="1"/>
  <c r="I25" i="14669"/>
  <c r="I45" i="14681" s="1"/>
  <c r="M25" i="14669"/>
  <c r="M45" i="14681" s="1"/>
  <c r="N20" i="14669"/>
  <c r="E25" i="14669"/>
  <c r="E45" i="14681" s="1"/>
  <c r="D25" i="14669"/>
  <c r="D45" i="14681" s="1"/>
  <c r="K25" i="14669"/>
  <c r="K45" i="14681" s="1"/>
  <c r="J25" i="14669"/>
  <c r="J45" i="14681" s="1"/>
  <c r="C25" i="14669"/>
  <c r="C45" i="14681" s="1"/>
  <c r="E51" i="14683"/>
  <c r="E56" i="14683"/>
  <c r="E49" i="14683"/>
  <c r="E55" i="14683"/>
  <c r="E52" i="14683"/>
  <c r="E54" i="14683"/>
  <c r="E53" i="14683"/>
  <c r="E50" i="14683"/>
  <c r="J8" i="14708"/>
  <c r="V24" i="14655" s="1"/>
  <c r="J7" i="14708"/>
  <c r="V22" i="14655" s="1"/>
  <c r="O33" i="14674"/>
  <c r="E39" i="14674"/>
  <c r="E19" i="14674" a="1"/>
  <c r="E19" i="14674" s="1"/>
  <c r="H19" i="14674" a="1"/>
  <c r="H19" i="14674" s="1"/>
  <c r="H39" i="14674"/>
  <c r="O35" i="14674"/>
  <c r="D39" i="14674"/>
  <c r="D19" i="14674" a="1"/>
  <c r="D19" i="14674" s="1"/>
  <c r="F39" i="14674"/>
  <c r="F19" i="14674" a="1"/>
  <c r="F19" i="14674" s="1"/>
  <c r="O34" i="14674"/>
  <c r="O38" i="14674"/>
  <c r="J39" i="14674"/>
  <c r="J19" i="14674" a="1"/>
  <c r="J19" i="14674" s="1"/>
  <c r="I23" i="14678" a="1"/>
  <c r="I23" i="14678" s="1"/>
  <c r="F20" i="14678" a="1"/>
  <c r="F20" i="14678" s="1"/>
  <c r="L26" i="14678" a="1"/>
  <c r="L26" i="14678" s="1"/>
  <c r="K25" i="14678" a="1"/>
  <c r="K25" i="14678" s="1"/>
  <c r="F15" i="14678"/>
  <c r="H22" i="14678" a="1"/>
  <c r="H22" i="14678" s="1"/>
  <c r="J24" i="14678" a="1"/>
  <c r="J24" i="14678" s="1"/>
  <c r="G21" i="14678" a="1"/>
  <c r="G21" i="14678" s="1"/>
  <c r="F24" i="14678" a="1"/>
  <c r="F24" i="14678" s="1"/>
  <c r="E23" i="14678" a="1"/>
  <c r="E23" i="14678" s="1"/>
  <c r="N7" i="14678"/>
  <c r="D22" i="14678" a="1"/>
  <c r="D22" i="14678" s="1"/>
  <c r="C21" i="14678" a="1"/>
  <c r="C21" i="14678" s="1"/>
  <c r="G25" i="14678" a="1"/>
  <c r="G25" i="14678" s="1"/>
  <c r="B20" i="14678" a="1"/>
  <c r="B20" i="14678" s="1"/>
  <c r="B15" i="14678"/>
  <c r="H26" i="14678" a="1"/>
  <c r="H26" i="14678" s="1"/>
  <c r="J22" i="14678" a="1"/>
  <c r="J22" i="14678" s="1"/>
  <c r="H15" i="14678"/>
  <c r="M25" i="14678" a="1"/>
  <c r="M25" i="14678" s="1"/>
  <c r="K23" i="14678" a="1"/>
  <c r="K23" i="14678" s="1"/>
  <c r="I21" i="14678" a="1"/>
  <c r="I21" i="14678" s="1"/>
  <c r="H20" i="14678" a="1"/>
  <c r="H20" i="14678" s="1"/>
  <c r="L24" i="14678" a="1"/>
  <c r="L24" i="14678" s="1"/>
  <c r="N26" i="14678" a="1"/>
  <c r="N26" i="14678" s="1"/>
  <c r="G15" i="14678"/>
  <c r="H21" i="14678" a="1"/>
  <c r="H21" i="14678" s="1"/>
  <c r="G20" i="14678" a="1"/>
  <c r="G20" i="14678" s="1"/>
  <c r="L25" i="14678" a="1"/>
  <c r="L25" i="14678" s="1"/>
  <c r="J23" i="14678" a="1"/>
  <c r="J23" i="14678" s="1"/>
  <c r="K24" i="14678" a="1"/>
  <c r="K24" i="14678" s="1"/>
  <c r="I22" i="14678" a="1"/>
  <c r="I22" i="14678" s="1"/>
  <c r="M26" i="14678" a="1"/>
  <c r="M26" i="14678" s="1"/>
  <c r="N12" i="14678"/>
  <c r="N23" i="14678" a="1"/>
  <c r="N23" i="14678" s="1"/>
  <c r="L21" i="14678" a="1"/>
  <c r="L21" i="14678" s="1"/>
  <c r="M22" i="14678" a="1"/>
  <c r="M22" i="14678" s="1"/>
  <c r="P25" i="14678" a="1"/>
  <c r="P25" i="14678" s="1"/>
  <c r="Q26" i="14678" a="1"/>
  <c r="Q26" i="14678" s="1"/>
  <c r="O24" i="14678" a="1"/>
  <c r="O24" i="14678" s="1"/>
  <c r="K20" i="14678" a="1"/>
  <c r="K20" i="14678" s="1"/>
  <c r="K15" i="14678"/>
  <c r="E20" i="14678" a="1"/>
  <c r="E20" i="14678" s="1"/>
  <c r="E15" i="14678"/>
  <c r="G22" i="14678" a="1"/>
  <c r="G22" i="14678" s="1"/>
  <c r="H23" i="14678" a="1"/>
  <c r="H23" i="14678" s="1"/>
  <c r="K26" i="14678" a="1"/>
  <c r="K26" i="14678" s="1"/>
  <c r="I24" i="14678" a="1"/>
  <c r="I24" i="14678" s="1"/>
  <c r="F21" i="14678" a="1"/>
  <c r="F21" i="14678" s="1"/>
  <c r="J25" i="14678" a="1"/>
  <c r="J25" i="14678" s="1"/>
  <c r="N11" i="14678"/>
  <c r="O26" i="14678" a="1"/>
  <c r="O26" i="14678" s="1"/>
  <c r="I15" i="14678"/>
  <c r="M24" i="14678" a="1"/>
  <c r="M24" i="14678" s="1"/>
  <c r="L23" i="14678" a="1"/>
  <c r="L23" i="14678" s="1"/>
  <c r="K22" i="14678" a="1"/>
  <c r="K22" i="14678" s="1"/>
  <c r="I20" i="14678" a="1"/>
  <c r="I20" i="14678" s="1"/>
  <c r="J21" i="14678" a="1"/>
  <c r="J21" i="14678" s="1"/>
  <c r="N25" i="14678" a="1"/>
  <c r="N25" i="14678" s="1"/>
  <c r="F23" i="14678" a="1"/>
  <c r="F23" i="14678" s="1"/>
  <c r="I26" i="14678" a="1"/>
  <c r="I26" i="14678" s="1"/>
  <c r="C20" i="14678" a="1"/>
  <c r="C20" i="14678" s="1"/>
  <c r="H25" i="14678" a="1"/>
  <c r="H25" i="14678" s="1"/>
  <c r="C15" i="14678"/>
  <c r="D21" i="14678" a="1"/>
  <c r="D21" i="14678" s="1"/>
  <c r="G24" i="14678" a="1"/>
  <c r="G24" i="14678" s="1"/>
  <c r="E22" i="14678" a="1"/>
  <c r="E22" i="14678" s="1"/>
  <c r="N14" i="14678"/>
  <c r="R26" i="14678" a="1"/>
  <c r="R26" i="14678" s="1"/>
  <c r="P24" i="14678" a="1"/>
  <c r="P24" i="14678" s="1"/>
  <c r="M21" i="14678" a="1"/>
  <c r="M21" i="14678" s="1"/>
  <c r="L20" i="14678" a="1"/>
  <c r="L20" i="14678" s="1"/>
  <c r="Q25" i="14678" a="1"/>
  <c r="Q25" i="14678" s="1"/>
  <c r="L15" i="14678"/>
  <c r="N22" i="14678" a="1"/>
  <c r="N22" i="14678" s="1"/>
  <c r="O23" i="14678" a="1"/>
  <c r="O23" i="14678" s="1"/>
  <c r="B22" i="14678"/>
  <c r="B25" i="14678"/>
  <c r="B23" i="14678"/>
  <c r="B24" i="14678"/>
  <c r="B21" i="14678"/>
  <c r="B26" i="14678"/>
  <c r="B28" i="14638"/>
  <c r="F19" i="14623"/>
  <c r="M19" i="14623"/>
  <c r="I19" i="14623"/>
  <c r="C19" i="14623"/>
  <c r="D19" i="14623"/>
  <c r="G19" i="14623"/>
  <c r="K19" i="14623"/>
  <c r="E19" i="14623"/>
  <c r="H19" i="14623"/>
  <c r="L19" i="14623"/>
  <c r="J19" i="14623"/>
  <c r="B19" i="14623"/>
  <c r="H7" i="14645"/>
  <c r="B7" i="14645"/>
  <c r="D7" i="14645"/>
  <c r="F7" i="14645"/>
  <c r="N7" i="14645"/>
  <c r="I7" i="14645"/>
  <c r="C7" i="14645"/>
  <c r="G7" i="14645"/>
  <c r="J7" i="14645"/>
  <c r="K7" i="14645"/>
  <c r="L7" i="14645"/>
  <c r="M7" i="14645"/>
  <c r="E7" i="14645"/>
  <c r="N71" i="14701"/>
  <c r="X71" i="14701"/>
  <c r="T71" i="14701"/>
  <c r="R71" i="14701"/>
  <c r="V71" i="14701"/>
  <c r="Q71" i="14701"/>
  <c r="S71" i="14701"/>
  <c r="U71" i="14701"/>
  <c r="W71" i="14701"/>
  <c r="P71" i="14701"/>
  <c r="O71" i="14701"/>
  <c r="Y71" i="14701"/>
  <c r="J19" i="14678"/>
  <c r="B19" i="14678"/>
  <c r="F19" i="14678"/>
  <c r="E19" i="14678"/>
  <c r="G19" i="14678"/>
  <c r="K19" i="14678"/>
  <c r="L19" i="14678"/>
  <c r="H19" i="14678"/>
  <c r="D19" i="14678"/>
  <c r="C19" i="14678"/>
  <c r="I19" i="14678"/>
  <c r="M19" i="14678"/>
  <c r="L28" i="14638"/>
  <c r="J19" i="14638"/>
  <c r="D19" i="14638"/>
  <c r="K19" i="14638"/>
  <c r="F19" i="14638"/>
  <c r="B19" i="14638"/>
  <c r="G19" i="14638"/>
  <c r="E19" i="14638"/>
  <c r="H19" i="14638"/>
  <c r="I19" i="14638"/>
  <c r="L19" i="14638"/>
  <c r="M19" i="14638"/>
  <c r="C19" i="14638"/>
  <c r="D27" i="14645"/>
  <c r="C27" i="14645"/>
  <c r="I27" i="14645"/>
  <c r="G27" i="14645"/>
  <c r="L27" i="14645"/>
  <c r="F27" i="14645"/>
  <c r="B27" i="14645"/>
  <c r="J27" i="14645"/>
  <c r="H27" i="14645"/>
  <c r="M27" i="14645"/>
  <c r="K27" i="14645"/>
  <c r="N27" i="14645"/>
  <c r="E27" i="14645"/>
  <c r="J7" i="14640"/>
  <c r="I7" i="14640"/>
  <c r="D7" i="14640"/>
  <c r="G7" i="14640"/>
  <c r="C7" i="14640"/>
  <c r="H7" i="14640"/>
  <c r="L7" i="14640"/>
  <c r="M7" i="14640"/>
  <c r="F7" i="14640"/>
  <c r="B7" i="14640"/>
  <c r="K7" i="14640"/>
  <c r="E7" i="14640"/>
  <c r="G26" i="14707"/>
  <c r="G30" i="14707"/>
  <c r="G29" i="14707"/>
  <c r="G25" i="14707"/>
  <c r="G27" i="14707"/>
  <c r="G24" i="14707"/>
  <c r="G28" i="14707"/>
  <c r="G31" i="14707"/>
  <c r="G25" i="14683"/>
  <c r="G22" i="14683"/>
  <c r="G21" i="14683"/>
  <c r="G26" i="14683"/>
  <c r="G19" i="14683"/>
  <c r="G24" i="14683"/>
  <c r="G23" i="14683"/>
  <c r="G20" i="14683"/>
  <c r="C5" i="14670"/>
  <c r="B5" i="14670"/>
  <c r="D5" i="14670"/>
  <c r="E5" i="14670"/>
  <c r="J5" i="14670"/>
  <c r="F5" i="14670"/>
  <c r="K5" i="14670"/>
  <c r="I5" i="14670"/>
  <c r="L5" i="14670"/>
  <c r="G5" i="14670"/>
  <c r="M5" i="14670"/>
  <c r="H5" i="14670"/>
  <c r="C22" i="14678"/>
  <c r="C26" i="14678"/>
  <c r="C25" i="14678"/>
  <c r="C23" i="14678"/>
  <c r="C24" i="14678"/>
  <c r="F26" i="14678"/>
  <c r="F25" i="14678"/>
  <c r="G69" i="14643"/>
  <c r="G72" i="14643"/>
  <c r="G68" i="14643"/>
  <c r="G67" i="14643"/>
  <c r="G70" i="14643"/>
  <c r="G66" i="14643"/>
  <c r="G71" i="14643"/>
  <c r="G73" i="14643"/>
  <c r="E20" i="14712" l="1"/>
  <c r="E40" i="14712"/>
  <c r="E5" i="14712"/>
  <c r="G20" i="14712"/>
  <c r="G40" i="14712"/>
  <c r="G5" i="14712"/>
  <c r="F40" i="14712"/>
  <c r="F20" i="14712"/>
  <c r="F5" i="14712"/>
  <c r="H20" i="14712"/>
  <c r="H40" i="14712"/>
  <c r="H5" i="14712"/>
  <c r="K37" i="14652"/>
  <c r="K39" i="14652"/>
  <c r="C31" i="14657" a="1"/>
  <c r="C31" i="14657" s="1"/>
  <c r="F15" i="14667"/>
  <c r="D50" i="14667"/>
  <c r="F13" i="14706"/>
  <c r="H13" i="14706" s="1"/>
  <c r="J13" i="14706" s="1"/>
  <c r="L13" i="14706" s="1"/>
  <c r="N13" i="14706" s="1"/>
  <c r="D51" i="14706"/>
  <c r="B5" i="14706"/>
  <c r="B24" i="14706" s="1"/>
  <c r="C6" i="14706" s="1"/>
  <c r="B13" i="14667"/>
  <c r="H34" i="14706"/>
  <c r="J35" i="14706"/>
  <c r="J33" i="14667"/>
  <c r="H32" i="14667"/>
  <c r="N42" i="14639"/>
  <c r="K42" i="14639"/>
  <c r="H42" i="14639"/>
  <c r="E42" i="14639"/>
  <c r="K36" i="14652"/>
  <c r="K40" i="14652"/>
  <c r="M40" i="14668"/>
  <c r="R7" i="14657" a="1"/>
  <c r="R7" i="14657" s="1"/>
  <c r="S178" i="14702"/>
  <c r="X178" i="14702"/>
  <c r="P178" i="14702"/>
  <c r="P142" i="14702"/>
  <c r="U214" i="14702"/>
  <c r="W196" i="14702"/>
  <c r="U142" i="14702"/>
  <c r="U232" i="14702"/>
  <c r="U196" i="14702"/>
  <c r="R196" i="14702"/>
  <c r="S142" i="14702"/>
  <c r="X196" i="14702"/>
  <c r="W214" i="14702"/>
  <c r="Y196" i="14702"/>
  <c r="Q214" i="14700"/>
  <c r="T142" i="14702"/>
  <c r="P85" i="14701"/>
  <c r="T178" i="14700"/>
  <c r="R214" i="14702"/>
  <c r="W232" i="14700"/>
  <c r="F74" i="14643"/>
  <c r="T142" i="14700"/>
  <c r="Q214" i="14702"/>
  <c r="R232" i="14700"/>
  <c r="Q178" i="14702"/>
  <c r="V160" i="14702"/>
  <c r="P160" i="14702"/>
  <c r="V232" i="14700"/>
  <c r="W142" i="14700"/>
  <c r="R142" i="14702"/>
  <c r="P232" i="14702"/>
  <c r="U178" i="14702"/>
  <c r="Q232" i="14702"/>
  <c r="T104" i="14698"/>
  <c r="Q178" i="14700"/>
  <c r="K50" i="14704"/>
  <c r="C50" i="14704"/>
  <c r="J50" i="14704"/>
  <c r="L50" i="14704"/>
  <c r="B50" i="14704"/>
  <c r="M50" i="14704"/>
  <c r="D50" i="14704"/>
  <c r="G50" i="14704"/>
  <c r="H50" i="14704"/>
  <c r="F50" i="14704"/>
  <c r="I50" i="14704"/>
  <c r="E50" i="14704"/>
  <c r="B233" i="14698" a="1"/>
  <c r="B52" i="14698" a="1"/>
  <c r="T196" i="14702"/>
  <c r="W124" i="14700"/>
  <c r="S124" i="14702"/>
  <c r="U160" i="14702"/>
  <c r="Q142" i="14702"/>
  <c r="S232" i="14702"/>
  <c r="Y214" i="14702"/>
  <c r="E100" i="14643"/>
  <c r="Q120" i="14701"/>
  <c r="Q122" i="14701"/>
  <c r="Q121" i="14701"/>
  <c r="Q123" i="14701"/>
  <c r="R122" i="14701"/>
  <c r="R121" i="14701"/>
  <c r="R119" i="14701"/>
  <c r="R123" i="14701"/>
  <c r="R120" i="14701"/>
  <c r="Y238" i="14701"/>
  <c r="Y247" i="14701"/>
  <c r="Y242" i="14701"/>
  <c r="Y244" i="14701"/>
  <c r="Y241" i="14701"/>
  <c r="Y239" i="14701"/>
  <c r="Y245" i="14701"/>
  <c r="Y243" i="14701"/>
  <c r="Y240" i="14701"/>
  <c r="Y249" i="14701"/>
  <c r="Y248" i="14701"/>
  <c r="Y246" i="14701"/>
  <c r="W241" i="14701"/>
  <c r="W240" i="14701"/>
  <c r="W248" i="14701"/>
  <c r="W247" i="14701"/>
  <c r="W244" i="14701"/>
  <c r="W245" i="14701"/>
  <c r="W249" i="14701"/>
  <c r="W246" i="14701"/>
  <c r="W242" i="14701"/>
  <c r="W243" i="14701"/>
  <c r="Q247" i="14701"/>
  <c r="Q249" i="14701"/>
  <c r="Q246" i="14701"/>
  <c r="Q248" i="14701"/>
  <c r="V242" i="14701"/>
  <c r="V246" i="14701"/>
  <c r="V245" i="14701"/>
  <c r="V241" i="14701"/>
  <c r="V249" i="14701"/>
  <c r="V244" i="14701"/>
  <c r="V247" i="14701"/>
  <c r="V248" i="14701"/>
  <c r="V243" i="14701"/>
  <c r="P158" i="14701"/>
  <c r="P159" i="14701"/>
  <c r="P157" i="14701"/>
  <c r="Y250" i="14700"/>
  <c r="W178" i="14700"/>
  <c r="Y178" i="14700"/>
  <c r="J49" i="14704"/>
  <c r="L49" i="14704"/>
  <c r="G49" i="14704"/>
  <c r="H49" i="14704"/>
  <c r="F49" i="14704"/>
  <c r="B49" i="14704"/>
  <c r="D49" i="14704"/>
  <c r="I49" i="14704"/>
  <c r="E49" i="14704"/>
  <c r="K49" i="14704"/>
  <c r="C49" i="14704"/>
  <c r="M49" i="14704"/>
  <c r="R197" i="14704"/>
  <c r="Y197" i="14704"/>
  <c r="F197" i="14704"/>
  <c r="V197" i="14704"/>
  <c r="P197" i="14704"/>
  <c r="X197" i="14704"/>
  <c r="L197" i="14704"/>
  <c r="E197" i="14704"/>
  <c r="J197" i="14704"/>
  <c r="S197" i="14704"/>
  <c r="G197" i="14704"/>
  <c r="M197" i="14704"/>
  <c r="O197" i="14704"/>
  <c r="D197" i="14704"/>
  <c r="N197" i="14704"/>
  <c r="C197" i="14704"/>
  <c r="B197" i="14704"/>
  <c r="Q197" i="14704"/>
  <c r="H197" i="14704"/>
  <c r="U197" i="14704"/>
  <c r="I197" i="14704"/>
  <c r="K197" i="14704"/>
  <c r="T197" i="14704"/>
  <c r="W197" i="14704"/>
  <c r="T250" i="14702"/>
  <c r="B46" i="14698" a="1"/>
  <c r="B125" i="14698" a="1"/>
  <c r="Y214" i="14700"/>
  <c r="V214" i="14700"/>
  <c r="T214" i="14702"/>
  <c r="X121" i="14701"/>
  <c r="X122" i="14701"/>
  <c r="X114" i="14701"/>
  <c r="X118" i="14701"/>
  <c r="X119" i="14701"/>
  <c r="X113" i="14701"/>
  <c r="X117" i="14701"/>
  <c r="X116" i="14701"/>
  <c r="X120" i="14701"/>
  <c r="X115" i="14701"/>
  <c r="X123" i="14701"/>
  <c r="Y85" i="14701"/>
  <c r="P123" i="14701"/>
  <c r="P122" i="14701"/>
  <c r="P121" i="14701"/>
  <c r="X85" i="14701"/>
  <c r="O85" i="14701"/>
  <c r="Q159" i="14701"/>
  <c r="Q156" i="14701"/>
  <c r="Q157" i="14701"/>
  <c r="Q158" i="14701"/>
  <c r="V158" i="14701"/>
  <c r="V151" i="14701"/>
  <c r="V154" i="14701"/>
  <c r="V155" i="14701"/>
  <c r="V159" i="14701"/>
  <c r="V157" i="14701"/>
  <c r="V156" i="14701"/>
  <c r="V153" i="14701"/>
  <c r="V152" i="14701"/>
  <c r="B143" i="14698" a="1"/>
  <c r="B47" i="14698" a="1"/>
  <c r="U196" i="14700"/>
  <c r="V196" i="14700"/>
  <c r="R196" i="14700"/>
  <c r="V160" i="14700"/>
  <c r="X250" i="14702"/>
  <c r="P124" i="14700"/>
  <c r="S124" i="14700"/>
  <c r="P214" i="14700"/>
  <c r="U161" i="14704"/>
  <c r="Y161" i="14704"/>
  <c r="C161" i="14704"/>
  <c r="X161" i="14704"/>
  <c r="Q161" i="14704"/>
  <c r="F161" i="14704"/>
  <c r="M161" i="14704"/>
  <c r="I161" i="14704"/>
  <c r="D161" i="14704"/>
  <c r="V161" i="14704"/>
  <c r="P161" i="14704"/>
  <c r="W161" i="14704"/>
  <c r="T161" i="14704"/>
  <c r="L161" i="14704"/>
  <c r="S161" i="14704"/>
  <c r="J161" i="14704"/>
  <c r="E161" i="14704"/>
  <c r="O161" i="14704"/>
  <c r="B161" i="14704"/>
  <c r="R161" i="14704"/>
  <c r="G161" i="14704"/>
  <c r="K161" i="14704"/>
  <c r="N161" i="14704"/>
  <c r="H161" i="14704"/>
  <c r="N143" i="14704"/>
  <c r="O143" i="14704"/>
  <c r="P143" i="14704"/>
  <c r="J143" i="14704"/>
  <c r="K143" i="14704"/>
  <c r="V143" i="14704"/>
  <c r="S143" i="14704"/>
  <c r="T143" i="14704"/>
  <c r="C143" i="14704"/>
  <c r="E143" i="14704"/>
  <c r="W143" i="14704"/>
  <c r="I143" i="14704"/>
  <c r="F143" i="14704"/>
  <c r="L143" i="14704"/>
  <c r="H143" i="14704"/>
  <c r="B143" i="14704"/>
  <c r="M143" i="14704"/>
  <c r="Q143" i="14704"/>
  <c r="X143" i="14704"/>
  <c r="U143" i="14704"/>
  <c r="R143" i="14704"/>
  <c r="Y143" i="14704"/>
  <c r="D143" i="14704"/>
  <c r="G143" i="14704"/>
  <c r="Y232" i="14702"/>
  <c r="V188" i="14701"/>
  <c r="V193" i="14701"/>
  <c r="V187" i="14701"/>
  <c r="V189" i="14701"/>
  <c r="V190" i="14701"/>
  <c r="V195" i="14701"/>
  <c r="V194" i="14701"/>
  <c r="V191" i="14701"/>
  <c r="V192" i="14701"/>
  <c r="R192" i="14701"/>
  <c r="R195" i="14701"/>
  <c r="R191" i="14701"/>
  <c r="R194" i="14701"/>
  <c r="R193" i="14701"/>
  <c r="P177" i="14701"/>
  <c r="P176" i="14701"/>
  <c r="P175" i="14701"/>
  <c r="Q230" i="14701"/>
  <c r="Q228" i="14701"/>
  <c r="Q231" i="14701"/>
  <c r="Q229" i="14701"/>
  <c r="T138" i="14701"/>
  <c r="T140" i="14701"/>
  <c r="T136" i="14701"/>
  <c r="T141" i="14701"/>
  <c r="T137" i="14701"/>
  <c r="T139" i="14701"/>
  <c r="T135" i="14701"/>
  <c r="X134" i="14701"/>
  <c r="X135" i="14701"/>
  <c r="X133" i="14701"/>
  <c r="X136" i="14701"/>
  <c r="X139" i="14701"/>
  <c r="X141" i="14701"/>
  <c r="X137" i="14701"/>
  <c r="X138" i="14701"/>
  <c r="X132" i="14701"/>
  <c r="X140" i="14701"/>
  <c r="X131" i="14701"/>
  <c r="X203" i="14701"/>
  <c r="X205" i="14701"/>
  <c r="X213" i="14701"/>
  <c r="X211" i="14701"/>
  <c r="X212" i="14701"/>
  <c r="X206" i="14701"/>
  <c r="X207" i="14701"/>
  <c r="X210" i="14701"/>
  <c r="X204" i="14701"/>
  <c r="X209" i="14701"/>
  <c r="X208" i="14701"/>
  <c r="Q211" i="14701"/>
  <c r="Q210" i="14701"/>
  <c r="Q213" i="14701"/>
  <c r="Q212" i="14701"/>
  <c r="S104" i="14698"/>
  <c r="Q250" i="14700"/>
  <c r="V250" i="14700"/>
  <c r="T250" i="14700"/>
  <c r="V178" i="14700"/>
  <c r="S196" i="14700"/>
  <c r="J179" i="14704"/>
  <c r="F179" i="14704"/>
  <c r="B179" i="14704"/>
  <c r="M179" i="14704"/>
  <c r="D179" i="14704"/>
  <c r="V179" i="14704"/>
  <c r="G179" i="14704"/>
  <c r="I179" i="14704"/>
  <c r="K179" i="14704"/>
  <c r="R179" i="14704"/>
  <c r="Q179" i="14704"/>
  <c r="L179" i="14704"/>
  <c r="U179" i="14704"/>
  <c r="N179" i="14704"/>
  <c r="E179" i="14704"/>
  <c r="T179" i="14704"/>
  <c r="P179" i="14704"/>
  <c r="X179" i="14704"/>
  <c r="H179" i="14704"/>
  <c r="O179" i="14704"/>
  <c r="S179" i="14704"/>
  <c r="C179" i="14704"/>
  <c r="Y179" i="14704"/>
  <c r="W179" i="14704"/>
  <c r="Q250" i="14702"/>
  <c r="R124" i="14700"/>
  <c r="T124" i="14700"/>
  <c r="Q142" i="14700"/>
  <c r="Y102" i="14702"/>
  <c r="Y97" i="14702"/>
  <c r="Y103" i="14702"/>
  <c r="Y96" i="14702"/>
  <c r="Y93" i="14702"/>
  <c r="Y98" i="14702"/>
  <c r="Y100" i="14702"/>
  <c r="Y99" i="14702"/>
  <c r="Y101" i="14702"/>
  <c r="Y92" i="14702"/>
  <c r="Y94" i="14702"/>
  <c r="Y95" i="14702"/>
  <c r="W102" i="14702"/>
  <c r="W98" i="14702"/>
  <c r="W103" i="14702"/>
  <c r="W97" i="14702"/>
  <c r="W95" i="14702"/>
  <c r="W96" i="14702"/>
  <c r="W99" i="14702"/>
  <c r="W94" i="14702"/>
  <c r="W100" i="14702"/>
  <c r="W101" i="14702"/>
  <c r="U102" i="14702"/>
  <c r="U100" i="14702"/>
  <c r="U97" i="14702"/>
  <c r="U99" i="14702"/>
  <c r="U101" i="14702"/>
  <c r="U98" i="14702"/>
  <c r="U96" i="14702"/>
  <c r="U103" i="14702"/>
  <c r="T102" i="14702"/>
  <c r="T101" i="14702"/>
  <c r="T99" i="14702"/>
  <c r="T103" i="14702"/>
  <c r="T98" i="14702"/>
  <c r="T97" i="14702"/>
  <c r="T100" i="14702"/>
  <c r="P103" i="14702"/>
  <c r="P102" i="14702"/>
  <c r="P101" i="14702"/>
  <c r="W160" i="14702"/>
  <c r="X214" i="14702"/>
  <c r="R85" i="14701"/>
  <c r="Y154" i="14701"/>
  <c r="Y151" i="14701"/>
  <c r="Y150" i="14701"/>
  <c r="Y157" i="14701"/>
  <c r="Y149" i="14701"/>
  <c r="Y156" i="14701"/>
  <c r="Y148" i="14701"/>
  <c r="Y158" i="14701"/>
  <c r="Y153" i="14701"/>
  <c r="Y152" i="14701"/>
  <c r="Y155" i="14701"/>
  <c r="Y159" i="14701"/>
  <c r="S250" i="14700"/>
  <c r="P250" i="14700"/>
  <c r="X232" i="14700"/>
  <c r="W178" i="14702"/>
  <c r="C53" i="14704"/>
  <c r="F53" i="14704"/>
  <c r="M53" i="14704"/>
  <c r="D53" i="14704"/>
  <c r="I53" i="14704"/>
  <c r="B53" i="14704"/>
  <c r="K53" i="14704"/>
  <c r="H53" i="14704"/>
  <c r="J53" i="14704"/>
  <c r="G53" i="14704"/>
  <c r="L53" i="14704"/>
  <c r="E53" i="14704"/>
  <c r="R250" i="14702"/>
  <c r="Y92" i="14700"/>
  <c r="Y97" i="14700"/>
  <c r="Y102" i="14700"/>
  <c r="Y99" i="14700"/>
  <c r="Y96" i="14700"/>
  <c r="Y103" i="14700"/>
  <c r="Y95" i="14700"/>
  <c r="Y100" i="14700"/>
  <c r="Y94" i="14700"/>
  <c r="Y101" i="14700"/>
  <c r="Y98" i="14700"/>
  <c r="Y93" i="14700"/>
  <c r="U96" i="14700"/>
  <c r="U97" i="14700"/>
  <c r="U101" i="14700"/>
  <c r="U98" i="14700"/>
  <c r="U102" i="14700"/>
  <c r="U103" i="14700"/>
  <c r="U100" i="14700"/>
  <c r="U99" i="14700"/>
  <c r="S98" i="14700"/>
  <c r="S102" i="14700"/>
  <c r="S103" i="14700"/>
  <c r="S100" i="14700"/>
  <c r="S101" i="14700"/>
  <c r="S99" i="14700"/>
  <c r="T214" i="14700"/>
  <c r="R124" i="14702"/>
  <c r="P214" i="14702"/>
  <c r="T192" i="14701"/>
  <c r="T195" i="14701"/>
  <c r="T190" i="14701"/>
  <c r="T194" i="14701"/>
  <c r="T191" i="14701"/>
  <c r="T193" i="14701"/>
  <c r="T189" i="14701"/>
  <c r="U193" i="14701"/>
  <c r="U190" i="14701"/>
  <c r="U191" i="14701"/>
  <c r="U188" i="14701"/>
  <c r="U195" i="14701"/>
  <c r="U192" i="14701"/>
  <c r="U194" i="14701"/>
  <c r="U189" i="14701"/>
  <c r="U171" i="14701"/>
  <c r="U175" i="14701"/>
  <c r="U172" i="14701"/>
  <c r="U177" i="14701"/>
  <c r="U173" i="14701"/>
  <c r="U174" i="14701"/>
  <c r="U176" i="14701"/>
  <c r="U170" i="14701"/>
  <c r="S230" i="14701"/>
  <c r="S228" i="14701"/>
  <c r="S226" i="14701"/>
  <c r="S229" i="14701"/>
  <c r="S231" i="14701"/>
  <c r="S227" i="14701"/>
  <c r="X222" i="14701"/>
  <c r="X229" i="14701"/>
  <c r="X228" i="14701"/>
  <c r="X231" i="14701"/>
  <c r="X224" i="14701"/>
  <c r="X230" i="14701"/>
  <c r="X226" i="14701"/>
  <c r="X223" i="14701"/>
  <c r="X221" i="14701"/>
  <c r="X227" i="14701"/>
  <c r="X225" i="14701"/>
  <c r="U138" i="14701"/>
  <c r="U139" i="14701"/>
  <c r="U137" i="14701"/>
  <c r="U134" i="14701"/>
  <c r="U136" i="14701"/>
  <c r="U141" i="14701"/>
  <c r="U140" i="14701"/>
  <c r="U135" i="14701"/>
  <c r="R209" i="14701"/>
  <c r="R213" i="14701"/>
  <c r="R210" i="14701"/>
  <c r="R212" i="14701"/>
  <c r="R211" i="14701"/>
  <c r="P213" i="14701"/>
  <c r="P212" i="14701"/>
  <c r="P211" i="14701"/>
  <c r="Q104" i="14698"/>
  <c r="R104" i="14698"/>
  <c r="U250" i="14700"/>
  <c r="S232" i="14700"/>
  <c r="S178" i="14700"/>
  <c r="P196" i="14700"/>
  <c r="T160" i="14700"/>
  <c r="R178" i="14702"/>
  <c r="V196" i="14702"/>
  <c r="Y250" i="14702"/>
  <c r="S250" i="14702"/>
  <c r="Y124" i="14700"/>
  <c r="U142" i="14700"/>
  <c r="Y142" i="14700"/>
  <c r="L46" i="14704"/>
  <c r="F46" i="14704"/>
  <c r="H46" i="14704"/>
  <c r="K46" i="14704"/>
  <c r="M46" i="14704"/>
  <c r="J46" i="14704"/>
  <c r="I46" i="14704"/>
  <c r="E46" i="14704"/>
  <c r="B46" i="14704"/>
  <c r="D46" i="14704"/>
  <c r="G46" i="14704"/>
  <c r="C46" i="14704"/>
  <c r="Y124" i="14702"/>
  <c r="X124" i="14702"/>
  <c r="W232" i="14702"/>
  <c r="S214" i="14702"/>
  <c r="S85" i="14701"/>
  <c r="N9" i="14671"/>
  <c r="I42" i="14683"/>
  <c r="J34" i="14683" s="1" a="1"/>
  <c r="T123" i="14701"/>
  <c r="T117" i="14701"/>
  <c r="T121" i="14701"/>
  <c r="T118" i="14701"/>
  <c r="T120" i="14701"/>
  <c r="T119" i="14701"/>
  <c r="T122" i="14701"/>
  <c r="X240" i="14701"/>
  <c r="X242" i="14701"/>
  <c r="X248" i="14701"/>
  <c r="X246" i="14701"/>
  <c r="X244" i="14701"/>
  <c r="X239" i="14701"/>
  <c r="X249" i="14701"/>
  <c r="X245" i="14701"/>
  <c r="X247" i="14701"/>
  <c r="X241" i="14701"/>
  <c r="X243" i="14701"/>
  <c r="S154" i="14701"/>
  <c r="S155" i="14701"/>
  <c r="S157" i="14701"/>
  <c r="S159" i="14701"/>
  <c r="S156" i="14701"/>
  <c r="S158" i="14701"/>
  <c r="Y232" i="14700"/>
  <c r="Q196" i="14700"/>
  <c r="Y160" i="14700"/>
  <c r="T178" i="14702"/>
  <c r="P196" i="14702"/>
  <c r="R214" i="14700"/>
  <c r="S214" i="14700"/>
  <c r="P124" i="14702"/>
  <c r="Y160" i="14702"/>
  <c r="V232" i="14702"/>
  <c r="X232" i="14702"/>
  <c r="P194" i="14701"/>
  <c r="P193" i="14701"/>
  <c r="P195" i="14701"/>
  <c r="T175" i="14701"/>
  <c r="T171" i="14701"/>
  <c r="T172" i="14701"/>
  <c r="T177" i="14701"/>
  <c r="T174" i="14701"/>
  <c r="T173" i="14701"/>
  <c r="T176" i="14701"/>
  <c r="Q177" i="14701"/>
  <c r="Q176" i="14701"/>
  <c r="Q174" i="14701"/>
  <c r="Q175" i="14701"/>
  <c r="W177" i="14701"/>
  <c r="W174" i="14701"/>
  <c r="W173" i="14701"/>
  <c r="W170" i="14701"/>
  <c r="W176" i="14701"/>
  <c r="W168" i="14701"/>
  <c r="W169" i="14701"/>
  <c r="W172" i="14701"/>
  <c r="W175" i="14701"/>
  <c r="W171" i="14701"/>
  <c r="R177" i="14701"/>
  <c r="R176" i="14701"/>
  <c r="R175" i="14701"/>
  <c r="R174" i="14701"/>
  <c r="R173" i="14701"/>
  <c r="S138" i="14701"/>
  <c r="S137" i="14701"/>
  <c r="S136" i="14701"/>
  <c r="S141" i="14701"/>
  <c r="S139" i="14701"/>
  <c r="S140" i="14701"/>
  <c r="S212" i="14701"/>
  <c r="S213" i="14701"/>
  <c r="S208" i="14701"/>
  <c r="S209" i="14701"/>
  <c r="S210" i="14701"/>
  <c r="S211" i="14701"/>
  <c r="P104" i="14698"/>
  <c r="U160" i="14700"/>
  <c r="R251" i="14704"/>
  <c r="K251" i="14704"/>
  <c r="T251" i="14704"/>
  <c r="C251" i="14704"/>
  <c r="N251" i="14704"/>
  <c r="M251" i="14704"/>
  <c r="I251" i="14704"/>
  <c r="V251" i="14704"/>
  <c r="P251" i="14704"/>
  <c r="D251" i="14704"/>
  <c r="O251" i="14704"/>
  <c r="E251" i="14704"/>
  <c r="Y251" i="14704"/>
  <c r="Q251" i="14704"/>
  <c r="U251" i="14704"/>
  <c r="W251" i="14704"/>
  <c r="X251" i="14704"/>
  <c r="L251" i="14704"/>
  <c r="H251" i="14704"/>
  <c r="F251" i="14704"/>
  <c r="G251" i="14704"/>
  <c r="B251" i="14704"/>
  <c r="J251" i="14704"/>
  <c r="S251" i="14704"/>
  <c r="U250" i="14702"/>
  <c r="U214" i="14700"/>
  <c r="X214" i="14700"/>
  <c r="P142" i="14700"/>
  <c r="V124" i="14702"/>
  <c r="X103" i="14702"/>
  <c r="X98" i="14702"/>
  <c r="X93" i="14702"/>
  <c r="X99" i="14702"/>
  <c r="X94" i="14702"/>
  <c r="X95" i="14702"/>
  <c r="X101" i="14702"/>
  <c r="X100" i="14702"/>
  <c r="X97" i="14702"/>
  <c r="X96" i="14702"/>
  <c r="X102" i="14702"/>
  <c r="B106" i="14704"/>
  <c r="Q100" i="14702"/>
  <c r="Q102" i="14702"/>
  <c r="Q103" i="14702"/>
  <c r="Q101" i="14702"/>
  <c r="S160" i="14702"/>
  <c r="R160" i="14702"/>
  <c r="X142" i="14702"/>
  <c r="V142" i="14702"/>
  <c r="N104" i="14702"/>
  <c r="F104" i="14702"/>
  <c r="R99" i="14701" a="1"/>
  <c r="K104" i="14702"/>
  <c r="W94" i="14701" a="1"/>
  <c r="Q100" i="14701" a="1"/>
  <c r="E104" i="14702"/>
  <c r="H104" i="14702"/>
  <c r="T97" i="14701" a="1"/>
  <c r="M104" i="14702"/>
  <c r="Y92" i="14701" a="1"/>
  <c r="S98" i="14701" a="1"/>
  <c r="G104" i="14702"/>
  <c r="N103" i="14701"/>
  <c r="N104" i="14701" s="1"/>
  <c r="B104" i="14702"/>
  <c r="P249" i="14701"/>
  <c r="P247" i="14701"/>
  <c r="P248" i="14701"/>
  <c r="T154" i="14701"/>
  <c r="T158" i="14701"/>
  <c r="T155" i="14701"/>
  <c r="T159" i="14701"/>
  <c r="T157" i="14701"/>
  <c r="T156" i="14701"/>
  <c r="T153" i="14701"/>
  <c r="R157" i="14701"/>
  <c r="R159" i="14701"/>
  <c r="R158" i="14701"/>
  <c r="R155" i="14701"/>
  <c r="R156" i="14701"/>
  <c r="X153" i="14701"/>
  <c r="X159" i="14701"/>
  <c r="X156" i="14701"/>
  <c r="X151" i="14701"/>
  <c r="X154" i="14701"/>
  <c r="X158" i="14701"/>
  <c r="X150" i="14701"/>
  <c r="X152" i="14701"/>
  <c r="X155" i="14701"/>
  <c r="X149" i="14701"/>
  <c r="X157" i="14701"/>
  <c r="W196" i="14700"/>
  <c r="W160" i="14700"/>
  <c r="B197" i="14698" a="1"/>
  <c r="B50" i="14698" a="1"/>
  <c r="X94" i="14700"/>
  <c r="X95" i="14700"/>
  <c r="X102" i="14700"/>
  <c r="X96" i="14700"/>
  <c r="X103" i="14700"/>
  <c r="X97" i="14700"/>
  <c r="X101" i="14700"/>
  <c r="X93" i="14700"/>
  <c r="X99" i="14700"/>
  <c r="X100" i="14700"/>
  <c r="X98" i="14700"/>
  <c r="R100" i="14700"/>
  <c r="R103" i="14700"/>
  <c r="R101" i="14700"/>
  <c r="R99" i="14700"/>
  <c r="R102" i="14700"/>
  <c r="Q100" i="14700"/>
  <c r="Q102" i="14700"/>
  <c r="Q101" i="14700"/>
  <c r="Q103" i="14700"/>
  <c r="S142" i="14700"/>
  <c r="W124" i="14702"/>
  <c r="S194" i="14701"/>
  <c r="S195" i="14701"/>
  <c r="S193" i="14701"/>
  <c r="S192" i="14701"/>
  <c r="S191" i="14701"/>
  <c r="S190" i="14701"/>
  <c r="U231" i="14701"/>
  <c r="U225" i="14701"/>
  <c r="U226" i="14701"/>
  <c r="U228" i="14701"/>
  <c r="U227" i="14701"/>
  <c r="U224" i="14701"/>
  <c r="U230" i="14701"/>
  <c r="U229" i="14701"/>
  <c r="R138" i="14701"/>
  <c r="R141" i="14701"/>
  <c r="R140" i="14701"/>
  <c r="R139" i="14701"/>
  <c r="R137" i="14701"/>
  <c r="U104" i="14698"/>
  <c r="Y104" i="14698"/>
  <c r="W104" i="14698"/>
  <c r="Q232" i="14700"/>
  <c r="P160" i="14700"/>
  <c r="Q196" i="14702"/>
  <c r="X124" i="14700"/>
  <c r="U124" i="14700"/>
  <c r="R142" i="14700"/>
  <c r="B47" i="14704"/>
  <c r="F47" i="14704"/>
  <c r="E47" i="14704"/>
  <c r="C47" i="14704"/>
  <c r="I47" i="14704"/>
  <c r="H47" i="14704"/>
  <c r="G47" i="14704"/>
  <c r="J47" i="14704"/>
  <c r="M47" i="14704"/>
  <c r="L47" i="14704"/>
  <c r="K47" i="14704"/>
  <c r="D47" i="14704"/>
  <c r="Q194" i="14701"/>
  <c r="Q195" i="14701"/>
  <c r="Q193" i="14701"/>
  <c r="Q192" i="14701"/>
  <c r="R229" i="14701"/>
  <c r="R228" i="14701"/>
  <c r="R227" i="14701"/>
  <c r="R231" i="14701"/>
  <c r="R230" i="14701"/>
  <c r="W139" i="14701"/>
  <c r="W138" i="14701"/>
  <c r="W140" i="14701"/>
  <c r="W136" i="14701"/>
  <c r="W137" i="14701"/>
  <c r="W133" i="14701"/>
  <c r="W132" i="14701"/>
  <c r="W135" i="14701"/>
  <c r="W141" i="14701"/>
  <c r="W134" i="14701"/>
  <c r="U207" i="14701"/>
  <c r="U208" i="14701"/>
  <c r="U210" i="14701"/>
  <c r="U209" i="14701"/>
  <c r="U211" i="14701"/>
  <c r="U212" i="14701"/>
  <c r="U206" i="14701"/>
  <c r="U213" i="14701"/>
  <c r="X104" i="14698"/>
  <c r="V104" i="14698"/>
  <c r="T232" i="14700"/>
  <c r="X178" i="14700"/>
  <c r="P178" i="14700"/>
  <c r="Y196" i="14700"/>
  <c r="S160" i="14700"/>
  <c r="Q160" i="14700"/>
  <c r="B251" i="14698" a="1"/>
  <c r="B53" i="14698" a="1"/>
  <c r="I125" i="14704"/>
  <c r="X125" i="14704"/>
  <c r="U125" i="14704"/>
  <c r="J125" i="14704"/>
  <c r="V125" i="14704"/>
  <c r="H125" i="14704"/>
  <c r="Q125" i="14704"/>
  <c r="F125" i="14704"/>
  <c r="M125" i="14704"/>
  <c r="E125" i="14704"/>
  <c r="L125" i="14704"/>
  <c r="T125" i="14704"/>
  <c r="N125" i="14704"/>
  <c r="S125" i="14704"/>
  <c r="K125" i="14704"/>
  <c r="O125" i="14704"/>
  <c r="R125" i="14704"/>
  <c r="C125" i="14704"/>
  <c r="B125" i="14704"/>
  <c r="W125" i="14704"/>
  <c r="P125" i="14704"/>
  <c r="G125" i="14704"/>
  <c r="Y125" i="14704"/>
  <c r="D125" i="14704"/>
  <c r="U124" i="14702"/>
  <c r="R99" i="14702"/>
  <c r="R102" i="14702"/>
  <c r="R100" i="14702"/>
  <c r="R103" i="14702"/>
  <c r="R101" i="14702"/>
  <c r="T160" i="14702"/>
  <c r="U122" i="14701"/>
  <c r="U123" i="14701"/>
  <c r="U120" i="14701"/>
  <c r="U119" i="14701"/>
  <c r="U121" i="14701"/>
  <c r="U116" i="14701"/>
  <c r="U118" i="14701"/>
  <c r="U117" i="14701"/>
  <c r="O104" i="14702"/>
  <c r="T85" i="14701"/>
  <c r="W85" i="14701"/>
  <c r="V85" i="14701"/>
  <c r="Y113" i="14701"/>
  <c r="Y122" i="14701"/>
  <c r="Y115" i="14701"/>
  <c r="Y112" i="14701"/>
  <c r="Y123" i="14701"/>
  <c r="Y119" i="14701"/>
  <c r="Y118" i="14701"/>
  <c r="Y116" i="14701"/>
  <c r="Y117" i="14701"/>
  <c r="Y114" i="14701"/>
  <c r="Y121" i="14701"/>
  <c r="Y120" i="14701"/>
  <c r="T244" i="14701"/>
  <c r="T247" i="14701"/>
  <c r="T246" i="14701"/>
  <c r="T245" i="14701"/>
  <c r="T248" i="14701"/>
  <c r="T249" i="14701"/>
  <c r="T243" i="14701"/>
  <c r="U232" i="14700"/>
  <c r="P232" i="14700"/>
  <c r="W250" i="14702"/>
  <c r="V124" i="14700"/>
  <c r="T99" i="14700"/>
  <c r="T98" i="14700"/>
  <c r="T101" i="14700"/>
  <c r="T102" i="14700"/>
  <c r="T103" i="14700"/>
  <c r="T97" i="14700"/>
  <c r="T100" i="14700"/>
  <c r="V103" i="14700"/>
  <c r="V101" i="14700"/>
  <c r="V96" i="14700"/>
  <c r="V98" i="14700"/>
  <c r="V97" i="14700"/>
  <c r="V102" i="14700"/>
  <c r="V100" i="14700"/>
  <c r="V95" i="14700"/>
  <c r="V99" i="14700"/>
  <c r="P101" i="14700"/>
  <c r="P102" i="14700"/>
  <c r="P103" i="14700"/>
  <c r="V142" i="14700"/>
  <c r="E48" i="14704"/>
  <c r="F48" i="14704"/>
  <c r="D48" i="14704"/>
  <c r="G48" i="14704"/>
  <c r="I48" i="14704"/>
  <c r="L48" i="14704"/>
  <c r="K48" i="14704"/>
  <c r="J48" i="14704"/>
  <c r="H48" i="14704"/>
  <c r="B48" i="14704"/>
  <c r="M48" i="14704"/>
  <c r="C48" i="14704"/>
  <c r="W142" i="14702"/>
  <c r="S233" i="14704"/>
  <c r="M233" i="14704"/>
  <c r="R233" i="14704"/>
  <c r="H233" i="14704"/>
  <c r="T233" i="14704"/>
  <c r="F233" i="14704"/>
  <c r="L233" i="14704"/>
  <c r="V233" i="14704"/>
  <c r="X233" i="14704"/>
  <c r="O233" i="14704"/>
  <c r="J233" i="14704"/>
  <c r="N233" i="14704"/>
  <c r="U233" i="14704"/>
  <c r="Q233" i="14704"/>
  <c r="W233" i="14704"/>
  <c r="C233" i="14704"/>
  <c r="D233" i="14704"/>
  <c r="Y233" i="14704"/>
  <c r="B233" i="14704"/>
  <c r="K233" i="14704"/>
  <c r="I233" i="14704"/>
  <c r="P233" i="14704"/>
  <c r="G233" i="14704"/>
  <c r="E233" i="14704"/>
  <c r="T229" i="14701"/>
  <c r="T230" i="14701"/>
  <c r="T228" i="14701"/>
  <c r="T227" i="14701"/>
  <c r="T226" i="14701"/>
  <c r="T225" i="14701"/>
  <c r="T231" i="14701"/>
  <c r="P141" i="14701"/>
  <c r="P139" i="14701"/>
  <c r="P140" i="14701"/>
  <c r="X250" i="14700"/>
  <c r="U178" i="14700"/>
  <c r="R160" i="14700"/>
  <c r="S196" i="14702"/>
  <c r="B179" i="14698" a="1"/>
  <c r="B49" i="14698" a="1"/>
  <c r="T124" i="14702"/>
  <c r="Y142" i="14702"/>
  <c r="B55" i="14702"/>
  <c r="Q85" i="14701"/>
  <c r="S246" i="14701"/>
  <c r="S249" i="14701"/>
  <c r="S248" i="14701"/>
  <c r="S245" i="14701"/>
  <c r="S244" i="14701"/>
  <c r="S247" i="14701"/>
  <c r="U249" i="14701"/>
  <c r="U244" i="14701"/>
  <c r="U243" i="14701"/>
  <c r="U247" i="14701"/>
  <c r="U248" i="14701"/>
  <c r="U242" i="14701"/>
  <c r="U246" i="14701"/>
  <c r="U245" i="14701"/>
  <c r="W153" i="14701"/>
  <c r="W152" i="14701"/>
  <c r="W154" i="14701"/>
  <c r="W158" i="14701"/>
  <c r="W155" i="14701"/>
  <c r="W151" i="14701"/>
  <c r="W159" i="14701"/>
  <c r="W157" i="14701"/>
  <c r="W150" i="14701"/>
  <c r="W156" i="14701"/>
  <c r="Y178" i="14702"/>
  <c r="P250" i="14702"/>
  <c r="F86" i="14643"/>
  <c r="F83" i="14643"/>
  <c r="F82" i="14643"/>
  <c r="F85" i="14643"/>
  <c r="F81" i="14643"/>
  <c r="F84" i="14643"/>
  <c r="F80" i="14643"/>
  <c r="F79" i="14643"/>
  <c r="Q124" i="14700"/>
  <c r="B51" i="14698" a="1"/>
  <c r="B215" i="14698" a="1"/>
  <c r="T232" i="14702"/>
  <c r="B51" i="14704"/>
  <c r="K51" i="14704"/>
  <c r="G51" i="14704"/>
  <c r="M51" i="14704"/>
  <c r="L51" i="14704"/>
  <c r="H51" i="14704"/>
  <c r="I51" i="14704"/>
  <c r="C51" i="14704"/>
  <c r="J51" i="14704"/>
  <c r="E51" i="14704"/>
  <c r="D51" i="14704"/>
  <c r="F51" i="14704"/>
  <c r="V176" i="14701"/>
  <c r="V169" i="14701"/>
  <c r="V170" i="14701"/>
  <c r="V177" i="14701"/>
  <c r="V172" i="14701"/>
  <c r="V173" i="14701"/>
  <c r="V171" i="14701"/>
  <c r="V174" i="14701"/>
  <c r="V175" i="14701"/>
  <c r="X174" i="14701"/>
  <c r="X175" i="14701"/>
  <c r="X176" i="14701"/>
  <c r="X172" i="14701"/>
  <c r="X173" i="14701"/>
  <c r="X177" i="14701"/>
  <c r="X171" i="14701"/>
  <c r="X168" i="14701"/>
  <c r="X169" i="14701"/>
  <c r="X167" i="14701"/>
  <c r="X170" i="14701"/>
  <c r="P230" i="14701"/>
  <c r="P231" i="14701"/>
  <c r="P229" i="14701"/>
  <c r="Y225" i="14701"/>
  <c r="Y228" i="14701"/>
  <c r="Y223" i="14701"/>
  <c r="Y224" i="14701"/>
  <c r="Y226" i="14701"/>
  <c r="Y221" i="14701"/>
  <c r="Y230" i="14701"/>
  <c r="Y227" i="14701"/>
  <c r="Y231" i="14701"/>
  <c r="Y222" i="14701"/>
  <c r="Y220" i="14701"/>
  <c r="Y229" i="14701"/>
  <c r="V230" i="14701"/>
  <c r="V231" i="14701"/>
  <c r="V227" i="14701"/>
  <c r="V223" i="14701"/>
  <c r="V225" i="14701"/>
  <c r="V228" i="14701"/>
  <c r="V224" i="14701"/>
  <c r="V229" i="14701"/>
  <c r="V226" i="14701"/>
  <c r="Q139" i="14701"/>
  <c r="Q140" i="14701"/>
  <c r="Q138" i="14701"/>
  <c r="Q141" i="14701"/>
  <c r="W213" i="14701"/>
  <c r="W205" i="14701"/>
  <c r="W210" i="14701"/>
  <c r="W204" i="14701"/>
  <c r="W209" i="14701"/>
  <c r="W208" i="14701"/>
  <c r="W212" i="14701"/>
  <c r="W207" i="14701"/>
  <c r="W211" i="14701"/>
  <c r="W206" i="14701"/>
  <c r="T211" i="14701"/>
  <c r="T209" i="14701"/>
  <c r="T213" i="14701"/>
  <c r="T208" i="14701"/>
  <c r="T212" i="14701"/>
  <c r="T207" i="14701"/>
  <c r="T210" i="14701"/>
  <c r="W250" i="14700"/>
  <c r="V178" i="14702"/>
  <c r="X142" i="14700"/>
  <c r="Q124" i="14702"/>
  <c r="S100" i="14702"/>
  <c r="S102" i="14702"/>
  <c r="S103" i="14702"/>
  <c r="S99" i="14702"/>
  <c r="S98" i="14702"/>
  <c r="S101" i="14702"/>
  <c r="V100" i="14702"/>
  <c r="V98" i="14702"/>
  <c r="V96" i="14702"/>
  <c r="V103" i="14702"/>
  <c r="V102" i="14702"/>
  <c r="V101" i="14702"/>
  <c r="V99" i="14702"/>
  <c r="V97" i="14702"/>
  <c r="V95" i="14702"/>
  <c r="X160" i="14702"/>
  <c r="R232" i="14702"/>
  <c r="R215" i="14704"/>
  <c r="K215" i="14704"/>
  <c r="O215" i="14704"/>
  <c r="I215" i="14704"/>
  <c r="S215" i="14704"/>
  <c r="V215" i="14704"/>
  <c r="D215" i="14704"/>
  <c r="E215" i="14704"/>
  <c r="U215" i="14704"/>
  <c r="P215" i="14704"/>
  <c r="B215" i="14704"/>
  <c r="X215" i="14704"/>
  <c r="Y215" i="14704"/>
  <c r="L215" i="14704"/>
  <c r="G215" i="14704"/>
  <c r="T215" i="14704"/>
  <c r="Q215" i="14704"/>
  <c r="M215" i="14704"/>
  <c r="W215" i="14704"/>
  <c r="F215" i="14704"/>
  <c r="N215" i="14704"/>
  <c r="J215" i="14704"/>
  <c r="H215" i="14704"/>
  <c r="C215" i="14704"/>
  <c r="W115" i="14701"/>
  <c r="W117" i="14701"/>
  <c r="W120" i="14701"/>
  <c r="W114" i="14701"/>
  <c r="W118" i="14701"/>
  <c r="W122" i="14701"/>
  <c r="W121" i="14701"/>
  <c r="W123" i="14701"/>
  <c r="W116" i="14701"/>
  <c r="W119" i="14701"/>
  <c r="N40" i="14702"/>
  <c r="D104" i="14702"/>
  <c r="P101" i="14701" a="1"/>
  <c r="V95" i="14701" a="1"/>
  <c r="J104" i="14702"/>
  <c r="X93" i="14701" a="1"/>
  <c r="L104" i="14702"/>
  <c r="U96" i="14701" a="1"/>
  <c r="I104" i="14702"/>
  <c r="O102" i="14701"/>
  <c r="O104" i="14701" s="1"/>
  <c r="C104" i="14702"/>
  <c r="U85" i="14701"/>
  <c r="S122" i="14701"/>
  <c r="S121" i="14701"/>
  <c r="S119" i="14701"/>
  <c r="S120" i="14701"/>
  <c r="S123" i="14701"/>
  <c r="S118" i="14701"/>
  <c r="V115" i="14701"/>
  <c r="V119" i="14701"/>
  <c r="V121" i="14701"/>
  <c r="V123" i="14701"/>
  <c r="V118" i="14701"/>
  <c r="V122" i="14701"/>
  <c r="V117" i="14701"/>
  <c r="V120" i="14701"/>
  <c r="V116" i="14701"/>
  <c r="R246" i="14701"/>
  <c r="R247" i="14701"/>
  <c r="R248" i="14701"/>
  <c r="R245" i="14701"/>
  <c r="R249" i="14701"/>
  <c r="U157" i="14701"/>
  <c r="U156" i="14701"/>
  <c r="U154" i="14701"/>
  <c r="U155" i="14701"/>
  <c r="U152" i="14701"/>
  <c r="U158" i="14701"/>
  <c r="U159" i="14701"/>
  <c r="U153" i="14701"/>
  <c r="R250" i="14700"/>
  <c r="X196" i="14700"/>
  <c r="T196" i="14700"/>
  <c r="X160" i="14700"/>
  <c r="V250" i="14702"/>
  <c r="B161" i="14698" a="1"/>
  <c r="B48" i="14698" a="1"/>
  <c r="H41" i="14683"/>
  <c r="H37" i="14683"/>
  <c r="H36" i="14683"/>
  <c r="H39" i="14683"/>
  <c r="H38" i="14683"/>
  <c r="H40" i="14683"/>
  <c r="H35" i="14683"/>
  <c r="H42" i="14683"/>
  <c r="H34" i="14683"/>
  <c r="W101" i="14700"/>
  <c r="W95" i="14700"/>
  <c r="W99" i="14700"/>
  <c r="W96" i="14700"/>
  <c r="W98" i="14700"/>
  <c r="W97" i="14700"/>
  <c r="W103" i="14700"/>
  <c r="W102" i="14700"/>
  <c r="W100" i="14700"/>
  <c r="W94" i="14700"/>
  <c r="B106" i="14701"/>
  <c r="W214" i="14700"/>
  <c r="Q160" i="14702"/>
  <c r="H52" i="14704"/>
  <c r="G52" i="14704"/>
  <c r="I52" i="14704"/>
  <c r="E52" i="14704"/>
  <c r="C52" i="14704"/>
  <c r="K52" i="14704"/>
  <c r="L52" i="14704"/>
  <c r="F52" i="14704"/>
  <c r="D52" i="14704"/>
  <c r="J52" i="14704"/>
  <c r="B52" i="14704"/>
  <c r="M52" i="14704"/>
  <c r="V214" i="14702"/>
  <c r="Y184" i="14701"/>
  <c r="Y189" i="14701"/>
  <c r="Y186" i="14701"/>
  <c r="Y187" i="14701"/>
  <c r="Y193" i="14701"/>
  <c r="Y192" i="14701"/>
  <c r="Y194" i="14701"/>
  <c r="Y188" i="14701"/>
  <c r="Y185" i="14701"/>
  <c r="Y190" i="14701"/>
  <c r="Y191" i="14701"/>
  <c r="Y195" i="14701"/>
  <c r="W187" i="14701"/>
  <c r="W191" i="14701"/>
  <c r="W189" i="14701"/>
  <c r="W186" i="14701"/>
  <c r="W195" i="14701"/>
  <c r="W188" i="14701"/>
  <c r="W193" i="14701"/>
  <c r="W190" i="14701"/>
  <c r="W194" i="14701"/>
  <c r="W192" i="14701"/>
  <c r="X185" i="14701"/>
  <c r="X194" i="14701"/>
  <c r="X188" i="14701"/>
  <c r="X186" i="14701"/>
  <c r="X192" i="14701"/>
  <c r="X189" i="14701"/>
  <c r="X193" i="14701"/>
  <c r="X195" i="14701"/>
  <c r="X190" i="14701"/>
  <c r="X187" i="14701"/>
  <c r="X191" i="14701"/>
  <c r="S172" i="14701"/>
  <c r="S173" i="14701"/>
  <c r="S176" i="14701"/>
  <c r="S175" i="14701"/>
  <c r="S174" i="14701"/>
  <c r="S177" i="14701"/>
  <c r="Y173" i="14701"/>
  <c r="Y167" i="14701"/>
  <c r="Y171" i="14701"/>
  <c r="Y169" i="14701"/>
  <c r="Y172" i="14701"/>
  <c r="Y168" i="14701"/>
  <c r="Y174" i="14701"/>
  <c r="Y170" i="14701"/>
  <c r="Y177" i="14701"/>
  <c r="Y176" i="14701"/>
  <c r="Y166" i="14701"/>
  <c r="Y175" i="14701"/>
  <c r="W228" i="14701"/>
  <c r="W229" i="14701"/>
  <c r="W231" i="14701"/>
  <c r="W223" i="14701"/>
  <c r="W227" i="14701"/>
  <c r="W230" i="14701"/>
  <c r="W226" i="14701"/>
  <c r="W222" i="14701"/>
  <c r="W224" i="14701"/>
  <c r="W225" i="14701"/>
  <c r="Y130" i="14701"/>
  <c r="Y132" i="14701"/>
  <c r="Y131" i="14701"/>
  <c r="Y137" i="14701"/>
  <c r="Y138" i="14701"/>
  <c r="Y134" i="14701"/>
  <c r="Y135" i="14701"/>
  <c r="Y136" i="14701"/>
  <c r="Y133" i="14701"/>
  <c r="Y139" i="14701"/>
  <c r="Y141" i="14701"/>
  <c r="Y140" i="14701"/>
  <c r="V139" i="14701"/>
  <c r="V138" i="14701"/>
  <c r="V140" i="14701"/>
  <c r="V133" i="14701"/>
  <c r="V141" i="14701"/>
  <c r="V136" i="14701"/>
  <c r="V135" i="14701"/>
  <c r="V134" i="14701"/>
  <c r="V137" i="14701"/>
  <c r="V208" i="14701"/>
  <c r="V207" i="14701"/>
  <c r="V213" i="14701"/>
  <c r="V210" i="14701"/>
  <c r="V211" i="14701"/>
  <c r="V209" i="14701"/>
  <c r="V212" i="14701"/>
  <c r="V205" i="14701"/>
  <c r="V206" i="14701"/>
  <c r="Y202" i="14701"/>
  <c r="Y212" i="14701"/>
  <c r="Y204" i="14701"/>
  <c r="Y208" i="14701"/>
  <c r="Y213" i="14701"/>
  <c r="Y203" i="14701"/>
  <c r="Y205" i="14701"/>
  <c r="Y206" i="14701"/>
  <c r="Y209" i="14701"/>
  <c r="Y207" i="14701"/>
  <c r="Y211" i="14701"/>
  <c r="Y210" i="14701"/>
  <c r="R178" i="14700"/>
  <c r="K33" i="14652"/>
  <c r="K35" i="14652"/>
  <c r="K38" i="14652"/>
  <c r="J40" i="14668"/>
  <c r="I40" i="14668"/>
  <c r="F40" i="14668"/>
  <c r="E40" i="14668"/>
  <c r="B40" i="14668"/>
  <c r="K40" i="14668"/>
  <c r="D40" i="14668"/>
  <c r="C40" i="14668"/>
  <c r="G40" i="14668"/>
  <c r="H40" i="14668"/>
  <c r="F11" i="14657"/>
  <c r="E5" i="14690" a="1"/>
  <c r="C4" i="14684" a="1"/>
  <c r="B4" i="14682" a="1"/>
  <c r="B35" i="14622" a="1"/>
  <c r="B4" i="14689" a="1"/>
  <c r="C5" i="14696" a="1"/>
  <c r="B52" i="14686" a="1"/>
  <c r="B36" i="14686" a="1"/>
  <c r="D6" i="14643" a="1"/>
  <c r="C37" i="14665" a="1"/>
  <c r="T5" i="14655" a="1"/>
  <c r="B5" i="14693" a="1"/>
  <c r="B20" i="14682" a="1"/>
  <c r="B98" i="14707" a="1"/>
  <c r="B15" i="14682" a="1"/>
  <c r="C7" i="14657" a="1"/>
  <c r="B108" i="14707" a="1"/>
  <c r="B38" i="14649" a="1"/>
  <c r="B28" i="14682" a="1"/>
  <c r="C41" i="14665" a="1"/>
  <c r="C14" i="14649" a="1"/>
  <c r="C70" i="14689" a="1"/>
  <c r="B5" i="14686" a="1"/>
  <c r="B17" i="14665" a="1"/>
  <c r="D48" i="14690" a="1"/>
  <c r="B18" i="14686" a="1"/>
  <c r="B87" i="14707" a="1"/>
  <c r="B37" i="14707" a="1"/>
  <c r="C12" i="14684" a="1"/>
  <c r="B43" i="14707" a="1"/>
  <c r="B46" i="14686" a="1"/>
  <c r="K18" i="14657" a="1"/>
  <c r="B69" i="14707" a="1"/>
  <c r="C6" i="14652"/>
  <c r="A18" i="14652" s="1" a="1"/>
  <c r="C54" i="14707"/>
  <c r="F1" i="14633"/>
  <c r="E17" i="14653"/>
  <c r="I1" i="14631"/>
  <c r="C51" i="14643"/>
  <c r="E1" i="14632"/>
  <c r="G5" i="14708"/>
  <c r="D4" i="14617"/>
  <c r="E1" i="14630"/>
  <c r="D28" i="14630" s="1"/>
  <c r="E16" i="14681"/>
  <c r="E1" i="14629"/>
  <c r="F1" i="14634"/>
  <c r="C9" i="14707"/>
  <c r="C15" i="14645"/>
  <c r="E25" i="14687"/>
  <c r="K1" i="14698"/>
  <c r="C4" i="14683"/>
  <c r="B78" i="14665"/>
  <c r="I5" i="14708"/>
  <c r="C25" i="14645"/>
  <c r="C64" i="14643"/>
  <c r="E1" i="14638"/>
  <c r="G4" i="14617"/>
  <c r="F1" i="14639"/>
  <c r="I1" i="14640"/>
  <c r="E1" i="14637"/>
  <c r="D28" i="14637" s="1"/>
  <c r="E9" i="14707"/>
  <c r="F1" i="14641"/>
  <c r="E4" i="14683"/>
  <c r="E25" i="14681"/>
  <c r="E44" i="14687"/>
  <c r="D54" i="14707"/>
  <c r="E30" i="14653"/>
  <c r="E6" i="14652"/>
  <c r="E1" i="14636"/>
  <c r="K1" i="14700"/>
  <c r="B79" i="14665"/>
  <c r="E1" i="14672"/>
  <c r="K1" i="14701"/>
  <c r="E34" i="14681"/>
  <c r="G4" i="14683"/>
  <c r="E54" i="14707"/>
  <c r="F1" i="14676"/>
  <c r="B80" i="14665"/>
  <c r="E1" i="14668"/>
  <c r="D28" i="14668" s="1"/>
  <c r="E43" i="14653"/>
  <c r="C77" i="14643"/>
  <c r="F1" i="14674"/>
  <c r="J4" i="14617"/>
  <c r="K5" i="14708"/>
  <c r="C35" i="14645"/>
  <c r="G9" i="14707"/>
  <c r="E63" i="14687"/>
  <c r="G6" i="14652"/>
  <c r="I1" i="14670"/>
  <c r="E1" i="14678"/>
  <c r="I4" i="14683"/>
  <c r="M5" i="14708"/>
  <c r="B81" i="14665"/>
  <c r="F54" i="14707"/>
  <c r="K1" i="14702"/>
  <c r="E56" i="14653"/>
  <c r="C46" i="14645"/>
  <c r="M4" i="14617"/>
  <c r="E82" i="14687"/>
  <c r="E1" i="14679"/>
  <c r="E43" i="14681"/>
  <c r="F1" i="14675"/>
  <c r="F1" i="14677"/>
  <c r="E1" i="14673"/>
  <c r="I9" i="14707"/>
  <c r="C90" i="14643"/>
  <c r="I6" i="14652"/>
  <c r="I1" i="14671"/>
  <c r="E1" i="14669"/>
  <c r="D28" i="14669" s="1"/>
  <c r="J16" i="14667"/>
  <c r="E23" i="4128" s="1"/>
  <c r="G67" i="14703"/>
  <c r="H67" i="14703"/>
  <c r="F67" i="14703"/>
  <c r="N64" i="14703"/>
  <c r="N60" i="14703"/>
  <c r="K67" i="14703"/>
  <c r="D67" i="14703"/>
  <c r="L67" i="14703"/>
  <c r="N63" i="14703"/>
  <c r="N61" i="14703"/>
  <c r="C67" i="14703"/>
  <c r="I67" i="14703"/>
  <c r="J67" i="14703"/>
  <c r="E67" i="14703"/>
  <c r="M67" i="14703"/>
  <c r="N59" i="14703"/>
  <c r="B35" i="14623" a="1"/>
  <c r="B67" i="14703"/>
  <c r="N62" i="14703"/>
  <c r="N65" i="14703"/>
  <c r="N66" i="14703"/>
  <c r="N33" i="14668"/>
  <c r="H66" i="14643" a="1"/>
  <c r="N5" i="14670"/>
  <c r="B7" i="14670" a="1"/>
  <c r="G32" i="14707"/>
  <c r="H24" i="14707" s="1" a="1"/>
  <c r="N19" i="14638" a="1"/>
  <c r="C6" i="14641" a="1"/>
  <c r="C48" i="14648" a="1"/>
  <c r="I27" i="14678"/>
  <c r="I10" i="14671" s="1"/>
  <c r="E27" i="14678"/>
  <c r="E10" i="14671" s="1"/>
  <c r="K27" i="14678"/>
  <c r="K10" i="14671" s="1"/>
  <c r="H27" i="14678"/>
  <c r="H10" i="14671" s="1"/>
  <c r="B27" i="14678"/>
  <c r="N15" i="14678"/>
  <c r="J14" i="14708"/>
  <c r="J20" i="14708" s="1"/>
  <c r="H8" i="14679"/>
  <c r="F14" i="14679"/>
  <c r="E9" i="14679"/>
  <c r="I7" i="14679"/>
  <c r="L10" i="14679"/>
  <c r="G11" i="14679"/>
  <c r="L11" i="14679"/>
  <c r="F10" i="14679"/>
  <c r="L13" i="14679"/>
  <c r="B12" i="14679"/>
  <c r="K14" i="14679"/>
  <c r="J8" i="14679"/>
  <c r="I14" i="14679"/>
  <c r="I8" i="14679"/>
  <c r="H9" i="14679"/>
  <c r="D8" i="14679"/>
  <c r="J13" i="14679"/>
  <c r="H7" i="14679"/>
  <c r="M12" i="14679"/>
  <c r="H12" i="14679"/>
  <c r="D9" i="14679"/>
  <c r="J12" i="14679"/>
  <c r="E13" i="14679"/>
  <c r="D12" i="14679"/>
  <c r="G8" i="14679"/>
  <c r="M10" i="14679"/>
  <c r="C11" i="14679"/>
  <c r="D7" i="14679"/>
  <c r="K8" i="14679"/>
  <c r="K7" i="14679"/>
  <c r="H10" i="14679"/>
  <c r="C12" i="14679"/>
  <c r="B8" i="14679"/>
  <c r="M11" i="14679"/>
  <c r="F7" i="14679"/>
  <c r="F11" i="14679"/>
  <c r="L8" i="14679"/>
  <c r="G7" i="14679"/>
  <c r="E10" i="14679"/>
  <c r="L14" i="14679"/>
  <c r="C14" i="14679"/>
  <c r="E8" i="14679"/>
  <c r="B13" i="14679"/>
  <c r="K12" i="14679"/>
  <c r="J9" i="14679"/>
  <c r="G9" i="14679"/>
  <c r="E14" i="14679"/>
  <c r="B10" i="14679"/>
  <c r="G13" i="14679"/>
  <c r="D14" i="14679"/>
  <c r="F8" i="14679"/>
  <c r="M13" i="14679"/>
  <c r="C8" i="14679"/>
  <c r="E7" i="14679"/>
  <c r="L7" i="14679"/>
  <c r="I9" i="14679"/>
  <c r="M14" i="14679"/>
  <c r="G10" i="14679"/>
  <c r="K13" i="14679"/>
  <c r="K10" i="14679"/>
  <c r="I13" i="14679"/>
  <c r="D11" i="14679"/>
  <c r="L12" i="14679"/>
  <c r="K9" i="14679"/>
  <c r="I12" i="14679"/>
  <c r="J11" i="14679"/>
  <c r="H11" i="14679"/>
  <c r="M9" i="14679"/>
  <c r="F9" i="14679"/>
  <c r="B11" i="14679"/>
  <c r="I11" i="14679"/>
  <c r="B7" i="14679"/>
  <c r="H13" i="14679"/>
  <c r="M7" i="14679"/>
  <c r="L9" i="14679"/>
  <c r="K11" i="14679"/>
  <c r="J14" i="14679"/>
  <c r="C13" i="14679"/>
  <c r="B9" i="14679"/>
  <c r="C9" i="14679"/>
  <c r="G14" i="14679"/>
  <c r="B14" i="14679"/>
  <c r="C7" i="14679"/>
  <c r="D13" i="14679"/>
  <c r="D10" i="14679"/>
  <c r="F13" i="14679"/>
  <c r="M8" i="14679"/>
  <c r="J10" i="14679"/>
  <c r="G12" i="14679"/>
  <c r="H14" i="14679"/>
  <c r="J7" i="14679"/>
  <c r="I10" i="14679"/>
  <c r="E11" i="14679"/>
  <c r="F12" i="14679"/>
  <c r="C10" i="14679"/>
  <c r="E12" i="14679"/>
  <c r="I24" i="14707" a="1"/>
  <c r="B32" i="14669" a="1"/>
  <c r="I19" i="14683" a="1"/>
  <c r="C92" i="14643" a="1"/>
  <c r="B218" i="14704" a="1"/>
  <c r="B146" i="14704" a="1"/>
  <c r="B90" i="14704" a="1"/>
  <c r="B236" i="14704" a="1"/>
  <c r="B182" i="14704" a="1"/>
  <c r="B164" i="14704" a="1"/>
  <c r="B110" i="14704" a="1"/>
  <c r="B128" i="14704" a="1"/>
  <c r="B200" i="14704" a="1"/>
  <c r="B71" i="14645" a="1"/>
  <c r="D74" i="14643"/>
  <c r="N34" i="14668"/>
  <c r="N38" i="14668"/>
  <c r="N39" i="14668"/>
  <c r="N36" i="14668"/>
  <c r="G7" i="14617"/>
  <c r="H5" i="14617" s="1" a="1"/>
  <c r="B90" i="14701" a="1"/>
  <c r="B146" i="14701" a="1"/>
  <c r="B128" i="14701" a="1"/>
  <c r="B164" i="14701" a="1"/>
  <c r="B200" i="14701" a="1"/>
  <c r="B110" i="14701" a="1"/>
  <c r="B218" i="14701" a="1"/>
  <c r="B236" i="14701" a="1"/>
  <c r="B182" i="14701" a="1"/>
  <c r="J17" i="14667"/>
  <c r="G42" i="14645"/>
  <c r="G43" i="14645" s="1"/>
  <c r="I42" i="14645"/>
  <c r="I43" i="14645" s="1"/>
  <c r="M42" i="14645"/>
  <c r="J11" i="14706"/>
  <c r="L42" i="14645"/>
  <c r="L43" i="14645" s="1"/>
  <c r="D42" i="14645"/>
  <c r="D43" i="14645" s="1"/>
  <c r="F42" i="14645"/>
  <c r="F43" i="14645" s="1"/>
  <c r="C7" i="14676" a="1"/>
  <c r="E42" i="14645"/>
  <c r="E43" i="14645" s="1"/>
  <c r="K42" i="14645"/>
  <c r="K43" i="14645" s="1"/>
  <c r="H42" i="14645"/>
  <c r="H43" i="14645" s="1"/>
  <c r="C42" i="14645"/>
  <c r="C43" i="14645" s="1"/>
  <c r="J42" i="14645"/>
  <c r="J43" i="14645" s="1"/>
  <c r="B42" i="14645"/>
  <c r="C22" i="14679" a="1"/>
  <c r="O28" i="14678"/>
  <c r="Q28" i="14678"/>
  <c r="E24" i="14679" a="1"/>
  <c r="F25" i="14679" a="1"/>
  <c r="R28" i="14678"/>
  <c r="N28" i="14678"/>
  <c r="B21" i="14679" a="1"/>
  <c r="J27" i="14678"/>
  <c r="J10" i="14671" s="1"/>
  <c r="O19" i="14674"/>
  <c r="B47" i="14679" a="1"/>
  <c r="N19" i="14678" a="1"/>
  <c r="B101" i="14645" a="1"/>
  <c r="G27" i="14683"/>
  <c r="H19" i="14683" s="1" a="1"/>
  <c r="G49" i="14683" a="1"/>
  <c r="N7" i="14640"/>
  <c r="B81" i="14645" a="1"/>
  <c r="N19" i="14632" a="1"/>
  <c r="B61" i="14645" a="1"/>
  <c r="L27" i="14678"/>
  <c r="L10" i="14671" s="1"/>
  <c r="C27" i="14678"/>
  <c r="C10" i="14671" s="1"/>
  <c r="G27" i="14678"/>
  <c r="G10" i="14671" s="1"/>
  <c r="F27" i="14678"/>
  <c r="F10" i="14671" s="1"/>
  <c r="E57" i="14683"/>
  <c r="F49" i="14683" a="1"/>
  <c r="E37" i="14675"/>
  <c r="E32" i="14675"/>
  <c r="E40" i="14675" s="1"/>
  <c r="J38" i="14675"/>
  <c r="F36" i="14675"/>
  <c r="D31" i="14675"/>
  <c r="C36" i="14675"/>
  <c r="H34" i="14675"/>
  <c r="F32" i="14675"/>
  <c r="F40" i="14675" s="1"/>
  <c r="D32" i="14675"/>
  <c r="D40" i="14675" s="1"/>
  <c r="H36" i="14675"/>
  <c r="L32" i="14675"/>
  <c r="L40" i="14675" s="1"/>
  <c r="H35" i="14675"/>
  <c r="L34" i="14675"/>
  <c r="N33" i="14675"/>
  <c r="G33" i="14675"/>
  <c r="F38" i="14675"/>
  <c r="J34" i="14675"/>
  <c r="L35" i="14675"/>
  <c r="J35" i="14675"/>
  <c r="C37" i="14675"/>
  <c r="D34" i="14675"/>
  <c r="K32" i="14675"/>
  <c r="K40" i="14675" s="1"/>
  <c r="L36" i="14675"/>
  <c r="N34" i="14675"/>
  <c r="D37" i="14675"/>
  <c r="K36" i="14675"/>
  <c r="N37" i="14675"/>
  <c r="J37" i="14675"/>
  <c r="F35" i="14675"/>
  <c r="D38" i="14675"/>
  <c r="G34" i="14675"/>
  <c r="H32" i="14675"/>
  <c r="H40" i="14675" s="1"/>
  <c r="L37" i="14675"/>
  <c r="H33" i="14675"/>
  <c r="M34" i="14675"/>
  <c r="H38" i="14675"/>
  <c r="L38" i="14675"/>
  <c r="F37" i="14675"/>
  <c r="K38" i="14675"/>
  <c r="M32" i="14675"/>
  <c r="M40" i="14675" s="1"/>
  <c r="M36" i="14675"/>
  <c r="I34" i="14675"/>
  <c r="F33" i="14675"/>
  <c r="G32" i="14675"/>
  <c r="G40" i="14675" s="1"/>
  <c r="I33" i="14675"/>
  <c r="I36" i="14675"/>
  <c r="C35" i="14675"/>
  <c r="N32" i="14675"/>
  <c r="N40" i="14675" s="1"/>
  <c r="M31" i="14675"/>
  <c r="K35" i="14675"/>
  <c r="H31" i="14675"/>
  <c r="J36" i="14675"/>
  <c r="E36" i="14675"/>
  <c r="K31" i="14675"/>
  <c r="I38" i="14675"/>
  <c r="E34" i="14675"/>
  <c r="F31" i="14675"/>
  <c r="J31" i="14675"/>
  <c r="J32" i="14675"/>
  <c r="J40" i="14675" s="1"/>
  <c r="I32" i="14675"/>
  <c r="I40" i="14675" s="1"/>
  <c r="N38" i="14675"/>
  <c r="L33" i="14675"/>
  <c r="D35" i="14675"/>
  <c r="D33" i="14675"/>
  <c r="I31" i="14675"/>
  <c r="D36" i="14675"/>
  <c r="M37" i="14675"/>
  <c r="G38" i="14675"/>
  <c r="C34" i="14675"/>
  <c r="J33" i="14675"/>
  <c r="I35" i="14675"/>
  <c r="C32" i="14675"/>
  <c r="C40" i="14675" s="1"/>
  <c r="M38" i="14675"/>
  <c r="L31" i="14675"/>
  <c r="E35" i="14675"/>
  <c r="C31" i="14675"/>
  <c r="I37" i="14675"/>
  <c r="E31" i="14675"/>
  <c r="N31" i="14675"/>
  <c r="K34" i="14675"/>
  <c r="N36" i="14675"/>
  <c r="G35" i="14675"/>
  <c r="F34" i="14675"/>
  <c r="N35" i="14675"/>
  <c r="H37" i="14675"/>
  <c r="E33" i="14675"/>
  <c r="M33" i="14675"/>
  <c r="G31" i="14675"/>
  <c r="C38" i="14675"/>
  <c r="M35" i="14675"/>
  <c r="G37" i="14675"/>
  <c r="G36" i="14675"/>
  <c r="K33" i="14675"/>
  <c r="C33" i="14675"/>
  <c r="E38" i="14675"/>
  <c r="K37" i="14675"/>
  <c r="B45" i="14681"/>
  <c r="N45" i="14681" s="1"/>
  <c r="G23" i="14657" s="1"/>
  <c r="N25" i="14669"/>
  <c r="B5" i="14671" a="1"/>
  <c r="B182" i="14700" a="1"/>
  <c r="B128" i="14700" a="1"/>
  <c r="B90" i="14700" a="1"/>
  <c r="B110" i="14700" a="1"/>
  <c r="B200" i="14700" a="1"/>
  <c r="B218" i="14700" a="1"/>
  <c r="B164" i="14700" a="1"/>
  <c r="B236" i="14700" a="1"/>
  <c r="B146" i="14700" a="1"/>
  <c r="O41" i="14639"/>
  <c r="O42" i="14639" s="1"/>
  <c r="C42" i="14674" s="1"/>
  <c r="H74" i="14643"/>
  <c r="F20" i="14643" s="1"/>
  <c r="I68" i="14643"/>
  <c r="I72" i="14643"/>
  <c r="I73" i="14643"/>
  <c r="I67" i="14643"/>
  <c r="I66" i="14643"/>
  <c r="I70" i="14643"/>
  <c r="I71" i="14643"/>
  <c r="I69" i="14643"/>
  <c r="N37" i="14668"/>
  <c r="N35" i="14668"/>
  <c r="N32" i="14668"/>
  <c r="C87" i="14643"/>
  <c r="G79" i="14643" a="1"/>
  <c r="I5" i="14617"/>
  <c r="E35" i="4128"/>
  <c r="B91" i="14645" a="1"/>
  <c r="B236" i="14702" a="1"/>
  <c r="B146" i="14702" a="1"/>
  <c r="B218" i="14702" a="1"/>
  <c r="B200" i="14702" a="1"/>
  <c r="B90" i="14702" a="1"/>
  <c r="B110" i="14702" a="1"/>
  <c r="B128" i="14702" a="1"/>
  <c r="B164" i="14702" a="1"/>
  <c r="B182" i="14702" a="1"/>
  <c r="B218" i="14703" a="1"/>
  <c r="B90" i="14703" a="1"/>
  <c r="B200" i="14703" a="1"/>
  <c r="B128" i="14703" a="1"/>
  <c r="B110" i="14703" a="1"/>
  <c r="B146" i="14703" a="1"/>
  <c r="B164" i="14703" a="1"/>
  <c r="B236" i="14703" a="1"/>
  <c r="B182" i="14703" a="1"/>
  <c r="B110" i="14698" a="1"/>
  <c r="B218" i="14698" a="1"/>
  <c r="B200" i="14698" a="1"/>
  <c r="B164" i="14698" a="1"/>
  <c r="B236" i="14698" a="1"/>
  <c r="B90" i="14698" a="1"/>
  <c r="B182" i="14698" a="1"/>
  <c r="B146" i="14698" a="1"/>
  <c r="B128" i="14698" a="1"/>
  <c r="M27" i="14678"/>
  <c r="G26" i="14679"/>
  <c r="S28" i="14678"/>
  <c r="P28" i="14678"/>
  <c r="D23" i="14679" a="1"/>
  <c r="D27" i="14678"/>
  <c r="D10" i="14671" s="1"/>
  <c r="C41" i="14674" a="1"/>
  <c r="O39" i="14674"/>
  <c r="N19" i="14623" a="1"/>
  <c r="B24" i="14667" l="1"/>
  <c r="C22" i="14667" s="1"/>
  <c r="B29" i="14682" a="1"/>
  <c r="F31" i="14657"/>
  <c r="D31" i="14657"/>
  <c r="G31" i="14657"/>
  <c r="E31" i="14657"/>
  <c r="C5" i="14706"/>
  <c r="C41" i="14706"/>
  <c r="C32" i="14706"/>
  <c r="C28" i="14706"/>
  <c r="C16" i="14706"/>
  <c r="C9" i="14706"/>
  <c r="C46" i="14706"/>
  <c r="C37" i="14706"/>
  <c r="C39" i="14706"/>
  <c r="C26" i="14706"/>
  <c r="C40" i="14706"/>
  <c r="C34" i="14706"/>
  <c r="C51" i="14706"/>
  <c r="C29" i="14706"/>
  <c r="C12" i="14706"/>
  <c r="C36" i="14706"/>
  <c r="C11" i="14706"/>
  <c r="C22" i="14706"/>
  <c r="C30" i="14706"/>
  <c r="C31" i="14706"/>
  <c r="C43" i="14706"/>
  <c r="C45" i="14706"/>
  <c r="C10" i="14706"/>
  <c r="B54" i="14706"/>
  <c r="C19" i="14706"/>
  <c r="C21" i="14706"/>
  <c r="C14" i="14706"/>
  <c r="C49" i="14706"/>
  <c r="C18" i="14706"/>
  <c r="C8" i="14706"/>
  <c r="C7" i="14706"/>
  <c r="C17" i="14706"/>
  <c r="C27" i="14706"/>
  <c r="C13" i="14706"/>
  <c r="C20" i="14706"/>
  <c r="C42" i="14706"/>
  <c r="C35" i="14706"/>
  <c r="C16" i="4128"/>
  <c r="H15" i="14667"/>
  <c r="J32" i="14667"/>
  <c r="L33" i="14667"/>
  <c r="L35" i="14706"/>
  <c r="J34" i="14706"/>
  <c r="O40" i="14675"/>
  <c r="C11" i="14639" a="1"/>
  <c r="V7" i="14657"/>
  <c r="T7" i="14657"/>
  <c r="S7" i="14657"/>
  <c r="U7" i="14657"/>
  <c r="B49" i="14702" a="1"/>
  <c r="D49" i="14702" s="1"/>
  <c r="V214" i="14701"/>
  <c r="Y178" i="14701"/>
  <c r="N52" i="14704"/>
  <c r="W104" i="14700"/>
  <c r="S124" i="14701"/>
  <c r="V104" i="14702"/>
  <c r="S104" i="14702"/>
  <c r="T214" i="14701"/>
  <c r="Y232" i="14701"/>
  <c r="F87" i="14643"/>
  <c r="T232" i="14701"/>
  <c r="V104" i="14700"/>
  <c r="U214" i="14701"/>
  <c r="Q196" i="14701"/>
  <c r="S196" i="14701"/>
  <c r="R160" i="14701"/>
  <c r="T160" i="14701"/>
  <c r="P250" i="14701"/>
  <c r="R178" i="14701"/>
  <c r="Q178" i="14701"/>
  <c r="U178" i="14701"/>
  <c r="T196" i="14701"/>
  <c r="P104" i="14702"/>
  <c r="T104" i="14702"/>
  <c r="T142" i="14701"/>
  <c r="B61" i="14704" a="1"/>
  <c r="P124" i="14701"/>
  <c r="P160" i="14701"/>
  <c r="B143" i="14702" a="1"/>
  <c r="C143" i="14702" s="1"/>
  <c r="N50" i="14704"/>
  <c r="A18" i="14652"/>
  <c r="B18" i="14652"/>
  <c r="V142" i="14701"/>
  <c r="W232" i="14701"/>
  <c r="X196" i="14701"/>
  <c r="Y196" i="14701"/>
  <c r="B48" i="14702" a="1"/>
  <c r="J48" i="14698"/>
  <c r="E48" i="14698"/>
  <c r="H48" i="14698"/>
  <c r="D48" i="14698"/>
  <c r="F48" i="14698"/>
  <c r="M48" i="14698"/>
  <c r="L48" i="14698"/>
  <c r="C48" i="14698"/>
  <c r="I48" i="14698"/>
  <c r="G48" i="14698"/>
  <c r="B48" i="14698"/>
  <c r="K48" i="14698"/>
  <c r="U160" i="14701"/>
  <c r="R250" i="14701"/>
  <c r="V124" i="14701"/>
  <c r="P101" i="14701"/>
  <c r="P102" i="14701"/>
  <c r="P103" i="14701"/>
  <c r="B64" i="14704" a="1"/>
  <c r="Q142" i="14701"/>
  <c r="V232" i="14701"/>
  <c r="P232" i="14701"/>
  <c r="X178" i="14701"/>
  <c r="N51" i="14704"/>
  <c r="I215" i="14698"/>
  <c r="G215" i="14698"/>
  <c r="F215" i="14698"/>
  <c r="Q215" i="14698"/>
  <c r="U215" i="14698"/>
  <c r="J215" i="14698"/>
  <c r="S215" i="14698"/>
  <c r="L215" i="14698"/>
  <c r="T215" i="14698"/>
  <c r="X215" i="14698"/>
  <c r="W215" i="14698"/>
  <c r="R215" i="14698"/>
  <c r="H215" i="14698"/>
  <c r="K215" i="14698"/>
  <c r="D215" i="14698"/>
  <c r="C215" i="14698"/>
  <c r="Y215" i="14698"/>
  <c r="M215" i="14698"/>
  <c r="N215" i="14698"/>
  <c r="O215" i="14698"/>
  <c r="V215" i="14698"/>
  <c r="P215" i="14698"/>
  <c r="E215" i="14698"/>
  <c r="B215" i="14698"/>
  <c r="W160" i="14701"/>
  <c r="S250" i="14701"/>
  <c r="W179" i="14698"/>
  <c r="P179" i="14698"/>
  <c r="N179" i="14698"/>
  <c r="Y179" i="14698"/>
  <c r="M179" i="14698"/>
  <c r="F179" i="14698"/>
  <c r="S179" i="14698"/>
  <c r="D179" i="14698"/>
  <c r="B179" i="14698"/>
  <c r="U179" i="14698"/>
  <c r="I179" i="14698"/>
  <c r="T179" i="14698"/>
  <c r="H179" i="14698"/>
  <c r="Q179" i="14698"/>
  <c r="G179" i="14698"/>
  <c r="V179" i="14698"/>
  <c r="O179" i="14698"/>
  <c r="R179" i="14698"/>
  <c r="K179" i="14698"/>
  <c r="L179" i="14698"/>
  <c r="J179" i="14698"/>
  <c r="C179" i="14698"/>
  <c r="X179" i="14698"/>
  <c r="E179" i="14698"/>
  <c r="P142" i="14701"/>
  <c r="N48" i="14704"/>
  <c r="T104" i="14700"/>
  <c r="B52" i="14700" a="1"/>
  <c r="B233" i="14700" a="1"/>
  <c r="T250" i="14701"/>
  <c r="R104" i="14702"/>
  <c r="D53" i="14698"/>
  <c r="C53" i="14698"/>
  <c r="E53" i="14698"/>
  <c r="J53" i="14698"/>
  <c r="B53" i="14698"/>
  <c r="H53" i="14698"/>
  <c r="L53" i="14698"/>
  <c r="K53" i="14698"/>
  <c r="I53" i="14698"/>
  <c r="G53" i="14698"/>
  <c r="F53" i="14698"/>
  <c r="M53" i="14698"/>
  <c r="R232" i="14701"/>
  <c r="N47" i="14704"/>
  <c r="R142" i="14701"/>
  <c r="Q104" i="14700"/>
  <c r="R104" i="14700"/>
  <c r="C197" i="14698"/>
  <c r="B197" i="14698"/>
  <c r="E197" i="14698"/>
  <c r="L197" i="14698"/>
  <c r="P197" i="14698"/>
  <c r="Y197" i="14698"/>
  <c r="T197" i="14698"/>
  <c r="K197" i="14698"/>
  <c r="O197" i="14698"/>
  <c r="M197" i="14698"/>
  <c r="N197" i="14698"/>
  <c r="S197" i="14698"/>
  <c r="X197" i="14698"/>
  <c r="U197" i="14698"/>
  <c r="J197" i="14698"/>
  <c r="H197" i="14698"/>
  <c r="W197" i="14698"/>
  <c r="Q197" i="14698"/>
  <c r="F197" i="14698"/>
  <c r="I197" i="14698"/>
  <c r="D197" i="14698"/>
  <c r="R197" i="14698"/>
  <c r="G197" i="14698"/>
  <c r="V197" i="14698"/>
  <c r="X160" i="14701"/>
  <c r="S100" i="14701"/>
  <c r="S98" i="14701"/>
  <c r="S103" i="14701"/>
  <c r="S101" i="14701"/>
  <c r="S102" i="14701"/>
  <c r="S99" i="14701"/>
  <c r="Q100" i="14701"/>
  <c r="Q102" i="14701"/>
  <c r="Q101" i="14701"/>
  <c r="Q103" i="14701"/>
  <c r="B66" i="14704" a="1"/>
  <c r="S214" i="14701"/>
  <c r="S142" i="14701"/>
  <c r="W178" i="14701"/>
  <c r="P196" i="14701"/>
  <c r="B50" i="14702" a="1"/>
  <c r="B197" i="14702" a="1"/>
  <c r="S160" i="14701"/>
  <c r="X250" i="14701"/>
  <c r="C54" i="14704"/>
  <c r="D54" i="14704"/>
  <c r="E54" i="14704"/>
  <c r="J54" i="14704"/>
  <c r="K54" i="14704"/>
  <c r="F54" i="14704"/>
  <c r="B197" i="14700" a="1"/>
  <c r="B50" i="14700" a="1"/>
  <c r="P214" i="14701"/>
  <c r="U142" i="14701"/>
  <c r="X232" i="14701"/>
  <c r="S232" i="14701"/>
  <c r="B51" i="14702" a="1"/>
  <c r="B215" i="14702" a="1"/>
  <c r="S104" i="14700"/>
  <c r="U104" i="14700"/>
  <c r="Y104" i="14700"/>
  <c r="N53" i="14704"/>
  <c r="B53" i="14700" a="1"/>
  <c r="B251" i="14700" a="1"/>
  <c r="U104" i="14702"/>
  <c r="X142" i="14701"/>
  <c r="Q232" i="14701"/>
  <c r="P178" i="14701"/>
  <c r="V196" i="14701"/>
  <c r="B51" i="14700" a="1"/>
  <c r="B215" i="14700" a="1"/>
  <c r="B125" i="14700" a="1"/>
  <c r="B46" i="14700" a="1"/>
  <c r="M47" i="14698"/>
  <c r="F47" i="14698"/>
  <c r="K47" i="14698"/>
  <c r="H47" i="14698"/>
  <c r="G47" i="14698"/>
  <c r="C47" i="14698"/>
  <c r="B47" i="14698"/>
  <c r="J47" i="14698"/>
  <c r="E47" i="14698"/>
  <c r="D47" i="14698"/>
  <c r="I47" i="14698"/>
  <c r="L47" i="14698"/>
  <c r="X124" i="14701"/>
  <c r="D46" i="14698"/>
  <c r="J46" i="14698"/>
  <c r="E46" i="14698"/>
  <c r="M46" i="14698"/>
  <c r="L46" i="14698"/>
  <c r="I46" i="14698"/>
  <c r="F46" i="14698"/>
  <c r="C46" i="14698"/>
  <c r="K46" i="14698"/>
  <c r="H46" i="14698"/>
  <c r="G46" i="14698"/>
  <c r="B46" i="14698"/>
  <c r="N49" i="14704"/>
  <c r="Q250" i="14701"/>
  <c r="Y250" i="14701"/>
  <c r="F92" i="14643"/>
  <c r="F96" i="14643"/>
  <c r="F93" i="14643"/>
  <c r="F99" i="14643"/>
  <c r="F97" i="14643"/>
  <c r="F98" i="14643"/>
  <c r="F95" i="14643"/>
  <c r="F94" i="14643"/>
  <c r="H52" i="14698"/>
  <c r="L52" i="14698"/>
  <c r="E52" i="14698"/>
  <c r="D52" i="14698"/>
  <c r="G52" i="14698"/>
  <c r="I52" i="14698"/>
  <c r="M52" i="14698"/>
  <c r="K52" i="14698"/>
  <c r="C52" i="14698"/>
  <c r="J52" i="14698"/>
  <c r="F52" i="14698"/>
  <c r="B52" i="14698"/>
  <c r="B161" i="14702" a="1"/>
  <c r="B47" i="14702" a="1"/>
  <c r="B179" i="14702" a="1"/>
  <c r="Y214" i="14701"/>
  <c r="Y142" i="14701"/>
  <c r="S178" i="14701"/>
  <c r="W196" i="14701"/>
  <c r="G161" i="14698"/>
  <c r="X161" i="14698"/>
  <c r="H161" i="14698"/>
  <c r="C161" i="14698"/>
  <c r="V161" i="14698"/>
  <c r="P161" i="14698"/>
  <c r="N161" i="14698"/>
  <c r="K161" i="14698"/>
  <c r="M161" i="14698"/>
  <c r="Q161" i="14698"/>
  <c r="F161" i="14698"/>
  <c r="O161" i="14698"/>
  <c r="D161" i="14698"/>
  <c r="B161" i="14698"/>
  <c r="Y161" i="14698"/>
  <c r="W161" i="14698"/>
  <c r="T161" i="14698"/>
  <c r="J161" i="14698"/>
  <c r="S161" i="14698"/>
  <c r="E161" i="14698"/>
  <c r="U161" i="14698"/>
  <c r="I161" i="14698"/>
  <c r="R161" i="14698"/>
  <c r="L161" i="14698"/>
  <c r="U103" i="14701"/>
  <c r="U97" i="14701"/>
  <c r="U96" i="14701"/>
  <c r="U100" i="14701"/>
  <c r="U99" i="14701"/>
  <c r="U98" i="14701"/>
  <c r="U102" i="14701"/>
  <c r="U101" i="14701"/>
  <c r="X96" i="14701"/>
  <c r="X95" i="14701"/>
  <c r="X98" i="14701"/>
  <c r="X93" i="14701"/>
  <c r="X100" i="14701"/>
  <c r="X94" i="14701"/>
  <c r="X99" i="14701"/>
  <c r="X102" i="14701"/>
  <c r="X97" i="14701"/>
  <c r="X103" i="14701"/>
  <c r="X101" i="14701"/>
  <c r="V97" i="14701"/>
  <c r="V101" i="14701"/>
  <c r="V98" i="14701"/>
  <c r="V95" i="14701"/>
  <c r="V103" i="14701"/>
  <c r="V99" i="14701"/>
  <c r="V100" i="14701"/>
  <c r="V102" i="14701"/>
  <c r="V96" i="14701"/>
  <c r="W124" i="14701"/>
  <c r="B233" i="14702" a="1"/>
  <c r="B52" i="14702" a="1"/>
  <c r="W214" i="14701"/>
  <c r="V178" i="14701"/>
  <c r="L51" i="14698"/>
  <c r="K51" i="14698"/>
  <c r="B51" i="14698"/>
  <c r="H51" i="14698"/>
  <c r="J51" i="14698"/>
  <c r="F51" i="14698"/>
  <c r="I51" i="14698"/>
  <c r="G51" i="14698"/>
  <c r="D51" i="14698"/>
  <c r="C51" i="14698"/>
  <c r="E51" i="14698"/>
  <c r="M51" i="14698"/>
  <c r="B251" i="14702" a="1"/>
  <c r="B53" i="14702" a="1"/>
  <c r="U250" i="14701"/>
  <c r="G49" i="14698"/>
  <c r="C49" i="14698"/>
  <c r="D49" i="14698"/>
  <c r="H49" i="14698"/>
  <c r="J49" i="14698"/>
  <c r="F49" i="14698"/>
  <c r="L49" i="14698"/>
  <c r="K49" i="14698"/>
  <c r="B49" i="14698"/>
  <c r="M49" i="14698"/>
  <c r="I49" i="14698"/>
  <c r="E49" i="14698"/>
  <c r="B65" i="14704" a="1"/>
  <c r="P104" i="14700"/>
  <c r="Y124" i="14701"/>
  <c r="U124" i="14701"/>
  <c r="B68" i="14704"/>
  <c r="B59" i="14704" a="1"/>
  <c r="E251" i="14698"/>
  <c r="O251" i="14698"/>
  <c r="N251" i="14698"/>
  <c r="X251" i="14698"/>
  <c r="B251" i="14698"/>
  <c r="U251" i="14698"/>
  <c r="Q251" i="14698"/>
  <c r="R251" i="14698"/>
  <c r="T251" i="14698"/>
  <c r="F251" i="14698"/>
  <c r="J251" i="14698"/>
  <c r="G251" i="14698"/>
  <c r="I251" i="14698"/>
  <c r="W251" i="14698"/>
  <c r="M251" i="14698"/>
  <c r="K251" i="14698"/>
  <c r="V251" i="14698"/>
  <c r="H251" i="14698"/>
  <c r="C251" i="14698"/>
  <c r="D251" i="14698"/>
  <c r="Y251" i="14698"/>
  <c r="P251" i="14698"/>
  <c r="L251" i="14698"/>
  <c r="S251" i="14698"/>
  <c r="B49" i="14700" a="1"/>
  <c r="B179" i="14700" a="1"/>
  <c r="W142" i="14701"/>
  <c r="B48" i="14700" a="1"/>
  <c r="B161" i="14700" a="1"/>
  <c r="U232" i="14701"/>
  <c r="X104" i="14700"/>
  <c r="B50" i="14698"/>
  <c r="K50" i="14698"/>
  <c r="F50" i="14698"/>
  <c r="L50" i="14698"/>
  <c r="C50" i="14698"/>
  <c r="M50" i="14698"/>
  <c r="D50" i="14698"/>
  <c r="J50" i="14698"/>
  <c r="I50" i="14698"/>
  <c r="E50" i="14698"/>
  <c r="G50" i="14698"/>
  <c r="H50" i="14698"/>
  <c r="B106" i="14702"/>
  <c r="Y100" i="14701"/>
  <c r="Y93" i="14701"/>
  <c r="Y98" i="14701"/>
  <c r="Y95" i="14701"/>
  <c r="Y102" i="14701"/>
  <c r="Y99" i="14701"/>
  <c r="Y94" i="14701"/>
  <c r="Y103" i="14701"/>
  <c r="Y101" i="14701"/>
  <c r="Y97" i="14701"/>
  <c r="Y92" i="14701"/>
  <c r="Y96" i="14701"/>
  <c r="T101" i="14701"/>
  <c r="T98" i="14701"/>
  <c r="T103" i="14701"/>
  <c r="T99" i="14701"/>
  <c r="T100" i="14701"/>
  <c r="T102" i="14701"/>
  <c r="T97" i="14701"/>
  <c r="W94" i="14701"/>
  <c r="W101" i="14701"/>
  <c r="W96" i="14701"/>
  <c r="W95" i="14701"/>
  <c r="W103" i="14701"/>
  <c r="W102" i="14701"/>
  <c r="W99" i="14701"/>
  <c r="W97" i="14701"/>
  <c r="W100" i="14701"/>
  <c r="W98" i="14701"/>
  <c r="R101" i="14701"/>
  <c r="R103" i="14701"/>
  <c r="R100" i="14701"/>
  <c r="R102" i="14701"/>
  <c r="R99" i="14701"/>
  <c r="Q104" i="14702"/>
  <c r="X104" i="14702"/>
  <c r="B143" i="14700" a="1"/>
  <c r="B47" i="14700" a="1"/>
  <c r="T178" i="14701"/>
  <c r="B46" i="14702" a="1"/>
  <c r="T124" i="14701"/>
  <c r="J41" i="14683"/>
  <c r="J36" i="14683"/>
  <c r="J34" i="14683"/>
  <c r="J38" i="14683"/>
  <c r="J37" i="14683"/>
  <c r="J39" i="14683"/>
  <c r="J35" i="14683"/>
  <c r="J40" i="14683"/>
  <c r="J42" i="14683"/>
  <c r="G54" i="14704"/>
  <c r="B54" i="14704"/>
  <c r="N46" i="14704"/>
  <c r="I54" i="14704"/>
  <c r="M54" i="14704"/>
  <c r="H54" i="14704"/>
  <c r="L54" i="14704"/>
  <c r="R214" i="14701"/>
  <c r="U196" i="14701"/>
  <c r="Y160" i="14701"/>
  <c r="W104" i="14702"/>
  <c r="Y104" i="14702"/>
  <c r="B62" i="14704" a="1"/>
  <c r="Q214" i="14701"/>
  <c r="X214" i="14701"/>
  <c r="R196" i="14701"/>
  <c r="B60" i="14704" a="1"/>
  <c r="Y143" i="14698"/>
  <c r="H143" i="14698"/>
  <c r="X143" i="14698"/>
  <c r="P143" i="14698"/>
  <c r="F143" i="14698"/>
  <c r="J143" i="14698"/>
  <c r="U143" i="14698"/>
  <c r="K143" i="14698"/>
  <c r="R143" i="14698"/>
  <c r="N143" i="14698"/>
  <c r="C143" i="14698"/>
  <c r="W143" i="14698"/>
  <c r="D143" i="14698"/>
  <c r="I143" i="14698"/>
  <c r="S143" i="14698"/>
  <c r="L143" i="14698"/>
  <c r="G143" i="14698"/>
  <c r="M143" i="14698"/>
  <c r="B143" i="14698"/>
  <c r="T143" i="14698"/>
  <c r="Q143" i="14698"/>
  <c r="O143" i="14698"/>
  <c r="E143" i="14698"/>
  <c r="V143" i="14698"/>
  <c r="V160" i="14701"/>
  <c r="Q160" i="14701"/>
  <c r="D125" i="14698"/>
  <c r="H125" i="14698"/>
  <c r="J125" i="14698"/>
  <c r="P125" i="14698"/>
  <c r="U125" i="14698"/>
  <c r="C125" i="14698"/>
  <c r="F125" i="14698"/>
  <c r="R125" i="14698"/>
  <c r="Q125" i="14698"/>
  <c r="M125" i="14698"/>
  <c r="B125" i="14698"/>
  <c r="L125" i="14698"/>
  <c r="N125" i="14698"/>
  <c r="T125" i="14698"/>
  <c r="K125" i="14698"/>
  <c r="E125" i="14698"/>
  <c r="O125" i="14698"/>
  <c r="V125" i="14698"/>
  <c r="G125" i="14698"/>
  <c r="Y125" i="14698"/>
  <c r="W125" i="14698"/>
  <c r="X125" i="14698"/>
  <c r="S125" i="14698"/>
  <c r="I125" i="14698"/>
  <c r="B63" i="14704" a="1"/>
  <c r="V250" i="14701"/>
  <c r="W250" i="14701"/>
  <c r="R124" i="14701"/>
  <c r="Q124" i="14701"/>
  <c r="X233" i="14698"/>
  <c r="B233" i="14698"/>
  <c r="O233" i="14698"/>
  <c r="G233" i="14698"/>
  <c r="M233" i="14698"/>
  <c r="R233" i="14698"/>
  <c r="Y233" i="14698"/>
  <c r="H233" i="14698"/>
  <c r="L233" i="14698"/>
  <c r="V233" i="14698"/>
  <c r="K233" i="14698"/>
  <c r="P233" i="14698"/>
  <c r="E233" i="14698"/>
  <c r="S233" i="14698"/>
  <c r="D233" i="14698"/>
  <c r="J233" i="14698"/>
  <c r="C233" i="14698"/>
  <c r="W233" i="14698"/>
  <c r="Q233" i="14698"/>
  <c r="T233" i="14698"/>
  <c r="N233" i="14698"/>
  <c r="F233" i="14698"/>
  <c r="I233" i="14698"/>
  <c r="U233" i="14698"/>
  <c r="B125" i="14702" a="1"/>
  <c r="N40" i="14668"/>
  <c r="B40" i="14669" a="1"/>
  <c r="K40" i="14669" s="1"/>
  <c r="G9" i="14657"/>
  <c r="M29" i="14708"/>
  <c r="M18" i="14708"/>
  <c r="H31" i="14652"/>
  <c r="G18" i="14652"/>
  <c r="G22" i="14707"/>
  <c r="G136" i="14707"/>
  <c r="K29" i="14708"/>
  <c r="K18" i="14708"/>
  <c r="A43" i="14692"/>
  <c r="A40" i="14695"/>
  <c r="A42" i="14694"/>
  <c r="G18" i="14700"/>
  <c r="G44" i="14700"/>
  <c r="G57" i="14700"/>
  <c r="E18" i="14652"/>
  <c r="F31" i="14652"/>
  <c r="A27" i="14645"/>
  <c r="C79" i="14645"/>
  <c r="A81" i="14645" s="1"/>
  <c r="A63" i="14684" a="1"/>
  <c r="B92" i="14649" a="1"/>
  <c r="A70" i="14684" a="1"/>
  <c r="B74" i="14649" a="1"/>
  <c r="B83" i="14649" a="1"/>
  <c r="A56" i="14649" a="1"/>
  <c r="A70" i="14647"/>
  <c r="A26" i="14694"/>
  <c r="A27" i="14692"/>
  <c r="A21" i="14647"/>
  <c r="A26" i="14695"/>
  <c r="G18" i="14698"/>
  <c r="G44" i="14698"/>
  <c r="G57" i="14698"/>
  <c r="A17" i="14645"/>
  <c r="C69" i="14645"/>
  <c r="A71" i="14645" s="1"/>
  <c r="D31" i="14652"/>
  <c r="C18" i="14652"/>
  <c r="L18" i="14657"/>
  <c r="K18" i="14657"/>
  <c r="O18" i="14657"/>
  <c r="M18" i="14657"/>
  <c r="N18" i="14657"/>
  <c r="C43" i="14707"/>
  <c r="B43" i="14707"/>
  <c r="E43" i="14707"/>
  <c r="F43" i="14707"/>
  <c r="D43" i="14707"/>
  <c r="D37" i="14707"/>
  <c r="F37" i="14707"/>
  <c r="C37" i="14707"/>
  <c r="B37" i="14707"/>
  <c r="E37" i="14707"/>
  <c r="D18" i="14686"/>
  <c r="D28" i="14686" s="1"/>
  <c r="C18" i="14686"/>
  <c r="C28" i="14686" s="1"/>
  <c r="F18" i="14686"/>
  <c r="F28" i="14686" s="1"/>
  <c r="E18" i="14686"/>
  <c r="E28" i="14686" s="1"/>
  <c r="B18" i="14686"/>
  <c r="B28" i="14686" s="1"/>
  <c r="D17" i="14665"/>
  <c r="C17" i="14665"/>
  <c r="F17" i="14665"/>
  <c r="E17" i="14665"/>
  <c r="B17" i="14665"/>
  <c r="G70" i="14689"/>
  <c r="D70" i="14689"/>
  <c r="E70" i="14689"/>
  <c r="F70" i="14689"/>
  <c r="C70" i="14689"/>
  <c r="D41" i="14665"/>
  <c r="G41" i="14665"/>
  <c r="E41" i="14665"/>
  <c r="F41" i="14665"/>
  <c r="C41" i="14665"/>
  <c r="C38" i="14649"/>
  <c r="E38" i="14649"/>
  <c r="B38" i="14649"/>
  <c r="F38" i="14649"/>
  <c r="D38" i="14649"/>
  <c r="F7" i="14657"/>
  <c r="E7" i="14657"/>
  <c r="D7" i="14657"/>
  <c r="C7" i="14657"/>
  <c r="G7" i="14657"/>
  <c r="C98" i="14707"/>
  <c r="B98" i="14707"/>
  <c r="F98" i="14707"/>
  <c r="E98" i="14707"/>
  <c r="D98" i="14707"/>
  <c r="F5" i="14693"/>
  <c r="B5" i="14693"/>
  <c r="D5" i="14693"/>
  <c r="C5" i="14693"/>
  <c r="E5" i="14693"/>
  <c r="F37" i="14665"/>
  <c r="A56" i="14665" s="1"/>
  <c r="D37" i="14665"/>
  <c r="A54" i="14665" s="1"/>
  <c r="G37" i="14665"/>
  <c r="A57" i="14665" s="1"/>
  <c r="E37" i="14665"/>
  <c r="A55" i="14665" s="1"/>
  <c r="C37" i="14665"/>
  <c r="A53" i="14665" s="1"/>
  <c r="F36" i="14686"/>
  <c r="D36" i="14686"/>
  <c r="C36" i="14686"/>
  <c r="E36" i="14686"/>
  <c r="B36" i="14686"/>
  <c r="D5" i="14696"/>
  <c r="E5" i="14696"/>
  <c r="G5" i="14696"/>
  <c r="F5" i="14696"/>
  <c r="C5" i="14696"/>
  <c r="C35" i="14622"/>
  <c r="F35" i="14622"/>
  <c r="E35" i="14622"/>
  <c r="B35" i="14622"/>
  <c r="D35" i="14622"/>
  <c r="F4" i="14684"/>
  <c r="G4" i="14684"/>
  <c r="D4" i="14684"/>
  <c r="C4" i="14684"/>
  <c r="E4" i="14684"/>
  <c r="I18" i="14652"/>
  <c r="J31" i="14652"/>
  <c r="I22" i="14707"/>
  <c r="I136" i="14707"/>
  <c r="C99" i="14645"/>
  <c r="A101" i="14645" s="1"/>
  <c r="A48" i="14645"/>
  <c r="G18" i="14702"/>
  <c r="G44" i="14702"/>
  <c r="G57" i="14702"/>
  <c r="A50" i="14694"/>
  <c r="A51" i="14692"/>
  <c r="A47" i="14695"/>
  <c r="I17" i="14683"/>
  <c r="I32" i="14683"/>
  <c r="I47" i="14683"/>
  <c r="C89" i="14645"/>
  <c r="A91" i="14645" s="1"/>
  <c r="A37" i="14645"/>
  <c r="G47" i="14683"/>
  <c r="G17" i="14683"/>
  <c r="G32" i="14683"/>
  <c r="G18" i="14701"/>
  <c r="G44" i="14701"/>
  <c r="G57" i="14701"/>
  <c r="A35" i="14692"/>
  <c r="A34" i="14694"/>
  <c r="A33" i="14695"/>
  <c r="E17" i="14683"/>
  <c r="E47" i="14683"/>
  <c r="E32" i="14683"/>
  <c r="E22" i="14707"/>
  <c r="E136" i="14707"/>
  <c r="I18" i="14708"/>
  <c r="I29" i="14708"/>
  <c r="C32" i="14683"/>
  <c r="C17" i="14683"/>
  <c r="C47" i="14683"/>
  <c r="C136" i="14707"/>
  <c r="C22" i="14707"/>
  <c r="G18" i="14708"/>
  <c r="G29" i="14708"/>
  <c r="D69" i="14707"/>
  <c r="C69" i="14707"/>
  <c r="B69" i="14707"/>
  <c r="F69" i="14707"/>
  <c r="E69" i="14707"/>
  <c r="B46" i="14686"/>
  <c r="D46" i="14686"/>
  <c r="C46" i="14686"/>
  <c r="F46" i="14686"/>
  <c r="E46" i="14686"/>
  <c r="C12" i="14684"/>
  <c r="E12" i="14684"/>
  <c r="G12" i="14684"/>
  <c r="D12" i="14684"/>
  <c r="F12" i="14684"/>
  <c r="D87" i="14707"/>
  <c r="E87" i="14707"/>
  <c r="B87" i="14707"/>
  <c r="F87" i="14707"/>
  <c r="C87" i="14707"/>
  <c r="E48" i="14690"/>
  <c r="D48" i="14690"/>
  <c r="H48" i="14690"/>
  <c r="F48" i="14690"/>
  <c r="G48" i="14690"/>
  <c r="D5" i="14686"/>
  <c r="B5" i="14686"/>
  <c r="C5" i="14686"/>
  <c r="F5" i="14686"/>
  <c r="E5" i="14686"/>
  <c r="G14" i="14649"/>
  <c r="F14" i="14649"/>
  <c r="E14" i="14649"/>
  <c r="C14" i="14649"/>
  <c r="D14" i="14649"/>
  <c r="D28" i="14682"/>
  <c r="E28" i="14682"/>
  <c r="B28" i="14682"/>
  <c r="F28" i="14682"/>
  <c r="C28" i="14682"/>
  <c r="F108" i="14707"/>
  <c r="C108" i="14707"/>
  <c r="E108" i="14707"/>
  <c r="B108" i="14707"/>
  <c r="D108" i="14707"/>
  <c r="F15" i="14682"/>
  <c r="C15" i="14682"/>
  <c r="D15" i="14682"/>
  <c r="E15" i="14682"/>
  <c r="B15" i="14682"/>
  <c r="F20" i="14682"/>
  <c r="C20" i="14682"/>
  <c r="B20" i="14682"/>
  <c r="E20" i="14682"/>
  <c r="D20" i="14682"/>
  <c r="U5" i="14655"/>
  <c r="V5" i="14655"/>
  <c r="X5" i="14655"/>
  <c r="T5" i="14655"/>
  <c r="W5" i="14655"/>
  <c r="F6" i="14643"/>
  <c r="G6" i="14643"/>
  <c r="E6" i="14643"/>
  <c r="D6" i="14643"/>
  <c r="H6" i="14643"/>
  <c r="E52" i="14686"/>
  <c r="C52" i="14686"/>
  <c r="D52" i="14686"/>
  <c r="F52" i="14686"/>
  <c r="B52" i="14686"/>
  <c r="C4" i="14689"/>
  <c r="E4" i="14689"/>
  <c r="B4" i="14689"/>
  <c r="F4" i="14689"/>
  <c r="D4" i="14689"/>
  <c r="B4" i="14682"/>
  <c r="C4" i="14682"/>
  <c r="E4" i="14682"/>
  <c r="F4" i="14682"/>
  <c r="D4" i="14682"/>
  <c r="E5" i="14690"/>
  <c r="G5" i="14690"/>
  <c r="F5" i="14690"/>
  <c r="H5" i="14690"/>
  <c r="I36" i="14623"/>
  <c r="F37" i="14623"/>
  <c r="L40" i="14623"/>
  <c r="F35" i="14623"/>
  <c r="D41" i="14623"/>
  <c r="K41" i="14623"/>
  <c r="M39" i="14623"/>
  <c r="C39" i="14623"/>
  <c r="B40" i="14623"/>
  <c r="M37" i="14623"/>
  <c r="E41" i="14623"/>
  <c r="G35" i="14623"/>
  <c r="L39" i="14623"/>
  <c r="K39" i="14623"/>
  <c r="I40" i="14623"/>
  <c r="B38" i="14623"/>
  <c r="D42" i="14623"/>
  <c r="C42" i="14623"/>
  <c r="J38" i="14623"/>
  <c r="H36" i="14623"/>
  <c r="F36" i="14623"/>
  <c r="I37" i="14623"/>
  <c r="C38" i="14623"/>
  <c r="J37" i="14623"/>
  <c r="E37" i="14623"/>
  <c r="B36" i="14623"/>
  <c r="H41" i="14623"/>
  <c r="G37" i="14623"/>
  <c r="F40" i="14623"/>
  <c r="K38" i="14623"/>
  <c r="K42" i="14623"/>
  <c r="G41" i="14623"/>
  <c r="H38" i="14623"/>
  <c r="G38" i="14623"/>
  <c r="M35" i="14623"/>
  <c r="J40" i="14623"/>
  <c r="K40" i="14623"/>
  <c r="H40" i="14623"/>
  <c r="H39" i="14623"/>
  <c r="F39" i="14623"/>
  <c r="E38" i="14623"/>
  <c r="D35" i="14623"/>
  <c r="C36" i="14623"/>
  <c r="J42" i="14623"/>
  <c r="D37" i="14623"/>
  <c r="G39" i="14623"/>
  <c r="M42" i="14623"/>
  <c r="E42" i="14623"/>
  <c r="F38" i="14623"/>
  <c r="D40" i="14623"/>
  <c r="D39" i="14623"/>
  <c r="J35" i="14623"/>
  <c r="B39" i="14623"/>
  <c r="J41" i="14623"/>
  <c r="I35" i="14623"/>
  <c r="K35" i="14623"/>
  <c r="G36" i="14623"/>
  <c r="F42" i="14623"/>
  <c r="D38" i="14623"/>
  <c r="E40" i="14623"/>
  <c r="J39" i="14623"/>
  <c r="H42" i="14623"/>
  <c r="B42" i="14623"/>
  <c r="G40" i="14623"/>
  <c r="G42" i="14623"/>
  <c r="L36" i="14623"/>
  <c r="M41" i="14623"/>
  <c r="B41" i="14623"/>
  <c r="I39" i="14623"/>
  <c r="C40" i="14623"/>
  <c r="F41" i="14623"/>
  <c r="M38" i="14623"/>
  <c r="I38" i="14623"/>
  <c r="M36" i="14623"/>
  <c r="C35" i="14623"/>
  <c r="I41" i="14623"/>
  <c r="K37" i="14623"/>
  <c r="H35" i="14623"/>
  <c r="C41" i="14623"/>
  <c r="L42" i="14623"/>
  <c r="L35" i="14623"/>
  <c r="E36" i="14623"/>
  <c r="L41" i="14623"/>
  <c r="L37" i="14623"/>
  <c r="E35" i="14623"/>
  <c r="E39" i="14623"/>
  <c r="D36" i="14623"/>
  <c r="K36" i="14623"/>
  <c r="I42" i="14623"/>
  <c r="B37" i="14623"/>
  <c r="L38" i="14623"/>
  <c r="J36" i="14623"/>
  <c r="C37" i="14623"/>
  <c r="B35" i="14623"/>
  <c r="M40" i="14623"/>
  <c r="H37" i="14623"/>
  <c r="N67" i="14703"/>
  <c r="C5" i="14628" a="1"/>
  <c r="N9" i="14679"/>
  <c r="H28" i="14678"/>
  <c r="K28" i="14678"/>
  <c r="E28" i="14678"/>
  <c r="I28" i="14678"/>
  <c r="F28" i="14678"/>
  <c r="G28" i="14678"/>
  <c r="C28" i="14678"/>
  <c r="L28" i="14678"/>
  <c r="J28" i="14678"/>
  <c r="H28" i="14707"/>
  <c r="H26" i="14707"/>
  <c r="H30" i="14707"/>
  <c r="H29" i="14707"/>
  <c r="H31" i="14707"/>
  <c r="H27" i="14707"/>
  <c r="H25" i="14707"/>
  <c r="H32" i="14707"/>
  <c r="H24" i="14707"/>
  <c r="D28" i="14678"/>
  <c r="D25" i="14679"/>
  <c r="D23" i="14679"/>
  <c r="D24" i="14679"/>
  <c r="D26" i="14679"/>
  <c r="M28" i="14678"/>
  <c r="N146" i="14698"/>
  <c r="T146" i="14698"/>
  <c r="K146" i="14698"/>
  <c r="B146" i="14698"/>
  <c r="F146" i="14698"/>
  <c r="I146" i="14698"/>
  <c r="C146" i="14698"/>
  <c r="J146" i="14698"/>
  <c r="M146" i="14698"/>
  <c r="O146" i="14698"/>
  <c r="H146" i="14698"/>
  <c r="L146" i="14698"/>
  <c r="Q146" i="14698"/>
  <c r="P146" i="14698"/>
  <c r="G146" i="14698"/>
  <c r="D146" i="14698"/>
  <c r="V146" i="14698"/>
  <c r="Y146" i="14698"/>
  <c r="R146" i="14698"/>
  <c r="U146" i="14698"/>
  <c r="X146" i="14698"/>
  <c r="E146" i="14698"/>
  <c r="S146" i="14698"/>
  <c r="W146" i="14698"/>
  <c r="E90" i="14698"/>
  <c r="R90" i="14698"/>
  <c r="P90" i="14698"/>
  <c r="V90" i="14698"/>
  <c r="Q90" i="14698"/>
  <c r="D90" i="14698"/>
  <c r="T90" i="14698"/>
  <c r="N90" i="14698"/>
  <c r="C90" i="14698"/>
  <c r="G90" i="14698"/>
  <c r="B90" i="14698"/>
  <c r="O90" i="14698"/>
  <c r="X90" i="14698"/>
  <c r="J90" i="14698"/>
  <c r="W90" i="14698"/>
  <c r="Y90" i="14698"/>
  <c r="U90" i="14698"/>
  <c r="I90" i="14698"/>
  <c r="M90" i="14698"/>
  <c r="H90" i="14698"/>
  <c r="F90" i="14698"/>
  <c r="L90" i="14698"/>
  <c r="S90" i="14698"/>
  <c r="K90" i="14698"/>
  <c r="C164" i="14698"/>
  <c r="W164" i="14698"/>
  <c r="M164" i="14698"/>
  <c r="O164" i="14698"/>
  <c r="V164" i="14698"/>
  <c r="L164" i="14698"/>
  <c r="B164" i="14698"/>
  <c r="I164" i="14698"/>
  <c r="H164" i="14698"/>
  <c r="N164" i="14698"/>
  <c r="U164" i="14698"/>
  <c r="R164" i="14698"/>
  <c r="P164" i="14698"/>
  <c r="G164" i="14698"/>
  <c r="X164" i="14698"/>
  <c r="Q164" i="14698"/>
  <c r="F164" i="14698"/>
  <c r="T164" i="14698"/>
  <c r="K164" i="14698"/>
  <c r="E164" i="14698"/>
  <c r="S164" i="14698"/>
  <c r="J164" i="14698"/>
  <c r="D164" i="14698"/>
  <c r="Y164" i="14698"/>
  <c r="N218" i="14698"/>
  <c r="I218" i="14698"/>
  <c r="X218" i="14698"/>
  <c r="B218" i="14698"/>
  <c r="H218" i="14698"/>
  <c r="L218" i="14698"/>
  <c r="P218" i="14698"/>
  <c r="O218" i="14698"/>
  <c r="U218" i="14698"/>
  <c r="D218" i="14698"/>
  <c r="J218" i="14698"/>
  <c r="Y218" i="14698"/>
  <c r="E218" i="14698"/>
  <c r="W218" i="14698"/>
  <c r="C218" i="14698"/>
  <c r="G218" i="14698"/>
  <c r="M218" i="14698"/>
  <c r="F218" i="14698"/>
  <c r="R218" i="14698"/>
  <c r="Q218" i="14698"/>
  <c r="V218" i="14698"/>
  <c r="T218" i="14698"/>
  <c r="S218" i="14698"/>
  <c r="K218" i="14698"/>
  <c r="C182" i="14703"/>
  <c r="L182" i="14703"/>
  <c r="S182" i="14703"/>
  <c r="P182" i="14703"/>
  <c r="W182" i="14703"/>
  <c r="I182" i="14703"/>
  <c r="B182" i="14703"/>
  <c r="U182" i="14703"/>
  <c r="Q182" i="14703"/>
  <c r="N182" i="14703"/>
  <c r="K182" i="14703"/>
  <c r="G182" i="14703"/>
  <c r="Y182" i="14703"/>
  <c r="H182" i="14703"/>
  <c r="V182" i="14703"/>
  <c r="E182" i="14703"/>
  <c r="F182" i="14703"/>
  <c r="M182" i="14703"/>
  <c r="D182" i="14703"/>
  <c r="O182" i="14703"/>
  <c r="T182" i="14703"/>
  <c r="X182" i="14703"/>
  <c r="R182" i="14703"/>
  <c r="J182" i="14703"/>
  <c r="N164" i="14703"/>
  <c r="J164" i="14703"/>
  <c r="E164" i="14703"/>
  <c r="P164" i="14703"/>
  <c r="U164" i="14703"/>
  <c r="Q164" i="14703"/>
  <c r="B164" i="14703"/>
  <c r="H164" i="14703"/>
  <c r="D164" i="14703"/>
  <c r="C164" i="14703"/>
  <c r="I164" i="14703"/>
  <c r="O164" i="14703"/>
  <c r="G164" i="14703"/>
  <c r="T164" i="14703"/>
  <c r="X164" i="14703"/>
  <c r="F164" i="14703"/>
  <c r="K164" i="14703"/>
  <c r="L164" i="14703"/>
  <c r="W164" i="14703"/>
  <c r="S164" i="14703"/>
  <c r="M164" i="14703"/>
  <c r="V164" i="14703"/>
  <c r="R164" i="14703"/>
  <c r="Y164" i="14703"/>
  <c r="M110" i="14703"/>
  <c r="S110" i="14703"/>
  <c r="N110" i="14703"/>
  <c r="W110" i="14703"/>
  <c r="U110" i="14703"/>
  <c r="P110" i="14703"/>
  <c r="D110" i="14703"/>
  <c r="V110" i="14703"/>
  <c r="B110" i="14703"/>
  <c r="J110" i="14703"/>
  <c r="G110" i="14703"/>
  <c r="C110" i="14703"/>
  <c r="L110" i="14703"/>
  <c r="T110" i="14703"/>
  <c r="H110" i="14703"/>
  <c r="F110" i="14703"/>
  <c r="I110" i="14703"/>
  <c r="R110" i="14703"/>
  <c r="Y110" i="14703"/>
  <c r="E110" i="14703"/>
  <c r="O110" i="14703"/>
  <c r="K110" i="14703"/>
  <c r="Q110" i="14703"/>
  <c r="X110" i="14703"/>
  <c r="N200" i="14703"/>
  <c r="P200" i="14703"/>
  <c r="W200" i="14703"/>
  <c r="C200" i="14703"/>
  <c r="E200" i="14703"/>
  <c r="X200" i="14703"/>
  <c r="B200" i="14703"/>
  <c r="F200" i="14703"/>
  <c r="M200" i="14703"/>
  <c r="O200" i="14703"/>
  <c r="R200" i="14703"/>
  <c r="Y200" i="14703"/>
  <c r="Q200" i="14703"/>
  <c r="S200" i="14703"/>
  <c r="J200" i="14703"/>
  <c r="T200" i="14703"/>
  <c r="K200" i="14703"/>
  <c r="V200" i="14703"/>
  <c r="H200" i="14703"/>
  <c r="G200" i="14703"/>
  <c r="I200" i="14703"/>
  <c r="U200" i="14703"/>
  <c r="D200" i="14703"/>
  <c r="L200" i="14703"/>
  <c r="E218" i="14703"/>
  <c r="K218" i="14703"/>
  <c r="B218" i="14703"/>
  <c r="T218" i="14703"/>
  <c r="I218" i="14703"/>
  <c r="N218" i="14703"/>
  <c r="V218" i="14703"/>
  <c r="L218" i="14703"/>
  <c r="D218" i="14703"/>
  <c r="X218" i="14703"/>
  <c r="W218" i="14703"/>
  <c r="O218" i="14703"/>
  <c r="C218" i="14703"/>
  <c r="Y218" i="14703"/>
  <c r="P218" i="14703"/>
  <c r="J218" i="14703"/>
  <c r="Q218" i="14703"/>
  <c r="F218" i="14703"/>
  <c r="U218" i="14703"/>
  <c r="G218" i="14703"/>
  <c r="R218" i="14703"/>
  <c r="S218" i="14703"/>
  <c r="H218" i="14703"/>
  <c r="M218" i="14703"/>
  <c r="R164" i="14702"/>
  <c r="U164" i="14702"/>
  <c r="E164" i="14702"/>
  <c r="K164" i="14702"/>
  <c r="N164" i="14702"/>
  <c r="W164" i="14702"/>
  <c r="M164" i="14702"/>
  <c r="B164" i="14702"/>
  <c r="J164" i="14702"/>
  <c r="L164" i="14702"/>
  <c r="D164" i="14702"/>
  <c r="P164" i="14702"/>
  <c r="T164" i="14702"/>
  <c r="C164" i="14702"/>
  <c r="O164" i="14702"/>
  <c r="Y164" i="14702"/>
  <c r="Q164" i="14702"/>
  <c r="F164" i="14702"/>
  <c r="H164" i="14702"/>
  <c r="S164" i="14702"/>
  <c r="X164" i="14702"/>
  <c r="G164" i="14702"/>
  <c r="I164" i="14702"/>
  <c r="V164" i="14702"/>
  <c r="E110" i="14702"/>
  <c r="R110" i="14702"/>
  <c r="Y110" i="14702"/>
  <c r="G110" i="14702"/>
  <c r="F110" i="14702"/>
  <c r="N110" i="14702"/>
  <c r="I110" i="14702"/>
  <c r="K110" i="14702"/>
  <c r="B110" i="14702"/>
  <c r="H110" i="14702"/>
  <c r="S110" i="14702"/>
  <c r="D110" i="14702"/>
  <c r="V110" i="14702"/>
  <c r="L110" i="14702"/>
  <c r="C110" i="14702"/>
  <c r="U110" i="14702"/>
  <c r="X110" i="14702"/>
  <c r="Q110" i="14702"/>
  <c r="P110" i="14702"/>
  <c r="J110" i="14702"/>
  <c r="O110" i="14702"/>
  <c r="M110" i="14702"/>
  <c r="T110" i="14702"/>
  <c r="W110" i="14702"/>
  <c r="H200" i="14702"/>
  <c r="G200" i="14702"/>
  <c r="Y200" i="14702"/>
  <c r="R200" i="14702"/>
  <c r="P200" i="14702"/>
  <c r="M200" i="14702"/>
  <c r="O200" i="14702"/>
  <c r="Q200" i="14702"/>
  <c r="X200" i="14702"/>
  <c r="U200" i="14702"/>
  <c r="N200" i="14702"/>
  <c r="J200" i="14702"/>
  <c r="D200" i="14702"/>
  <c r="E200" i="14702"/>
  <c r="T200" i="14702"/>
  <c r="V200" i="14702"/>
  <c r="F200" i="14702"/>
  <c r="C200" i="14702"/>
  <c r="W200" i="14702"/>
  <c r="K200" i="14702"/>
  <c r="S200" i="14702"/>
  <c r="L200" i="14702"/>
  <c r="B200" i="14702"/>
  <c r="I200" i="14702"/>
  <c r="Q146" i="14702"/>
  <c r="N146" i="14702"/>
  <c r="W146" i="14702"/>
  <c r="T146" i="14702"/>
  <c r="B146" i="14702"/>
  <c r="K146" i="14702"/>
  <c r="S146" i="14702"/>
  <c r="P146" i="14702"/>
  <c r="D146" i="14702"/>
  <c r="L146" i="14702"/>
  <c r="O146" i="14702"/>
  <c r="C146" i="14702"/>
  <c r="X146" i="14702"/>
  <c r="H146" i="14702"/>
  <c r="F146" i="14702"/>
  <c r="V146" i="14702"/>
  <c r="E146" i="14702"/>
  <c r="I146" i="14702"/>
  <c r="J146" i="14702"/>
  <c r="G146" i="14702"/>
  <c r="Y146" i="14702"/>
  <c r="U146" i="14702"/>
  <c r="R146" i="14702"/>
  <c r="M146" i="14702"/>
  <c r="B91" i="14645"/>
  <c r="M91" i="14645"/>
  <c r="K91" i="14645"/>
  <c r="N91" i="14645"/>
  <c r="G91" i="14645"/>
  <c r="E91" i="14645"/>
  <c r="I91" i="14645"/>
  <c r="D91" i="14645"/>
  <c r="H91" i="14645"/>
  <c r="L91" i="14645"/>
  <c r="C91" i="14645"/>
  <c r="J91" i="14645"/>
  <c r="F91" i="14645"/>
  <c r="H6" i="14617"/>
  <c r="H7" i="14617"/>
  <c r="H5" i="14617"/>
  <c r="D81" i="14643"/>
  <c r="D86" i="14643"/>
  <c r="D84" i="14643"/>
  <c r="D80" i="14643"/>
  <c r="D82" i="14643"/>
  <c r="G14" i="14643"/>
  <c r="D79" i="14643"/>
  <c r="D83" i="14643"/>
  <c r="D85" i="14643"/>
  <c r="G87" i="14643"/>
  <c r="I74" i="14643"/>
  <c r="U146" i="14700"/>
  <c r="R146" i="14700"/>
  <c r="L146" i="14700"/>
  <c r="I146" i="14700"/>
  <c r="F146" i="14700"/>
  <c r="J146" i="14700"/>
  <c r="T146" i="14700"/>
  <c r="Q146" i="14700"/>
  <c r="H146" i="14700"/>
  <c r="G146" i="14700"/>
  <c r="P146" i="14700"/>
  <c r="M146" i="14700"/>
  <c r="N146" i="14700"/>
  <c r="D146" i="14700"/>
  <c r="C146" i="14700"/>
  <c r="X146" i="14700"/>
  <c r="K146" i="14700"/>
  <c r="B146" i="14700"/>
  <c r="S146" i="14700"/>
  <c r="E146" i="14700"/>
  <c r="Y146" i="14700"/>
  <c r="O146" i="14700"/>
  <c r="W146" i="14700"/>
  <c r="V146" i="14700"/>
  <c r="S164" i="14700"/>
  <c r="E164" i="14700"/>
  <c r="M164" i="14700"/>
  <c r="R164" i="14700"/>
  <c r="C164" i="14700"/>
  <c r="Y164" i="14700"/>
  <c r="I164" i="14700"/>
  <c r="F164" i="14700"/>
  <c r="X164" i="14700"/>
  <c r="T164" i="14700"/>
  <c r="Q164" i="14700"/>
  <c r="K164" i="14700"/>
  <c r="V164" i="14700"/>
  <c r="B164" i="14700"/>
  <c r="G164" i="14700"/>
  <c r="O164" i="14700"/>
  <c r="D164" i="14700"/>
  <c r="U164" i="14700"/>
  <c r="N164" i="14700"/>
  <c r="H164" i="14700"/>
  <c r="J164" i="14700"/>
  <c r="P164" i="14700"/>
  <c r="L164" i="14700"/>
  <c r="W164" i="14700"/>
  <c r="E200" i="14700"/>
  <c r="Q200" i="14700"/>
  <c r="S200" i="14700"/>
  <c r="R200" i="14700"/>
  <c r="F200" i="14700"/>
  <c r="U200" i="14700"/>
  <c r="H200" i="14700"/>
  <c r="G200" i="14700"/>
  <c r="X200" i="14700"/>
  <c r="I200" i="14700"/>
  <c r="T200" i="14700"/>
  <c r="Y200" i="14700"/>
  <c r="O200" i="14700"/>
  <c r="J200" i="14700"/>
  <c r="N200" i="14700"/>
  <c r="W200" i="14700"/>
  <c r="C200" i="14700"/>
  <c r="P200" i="14700"/>
  <c r="M200" i="14700"/>
  <c r="B200" i="14700"/>
  <c r="V200" i="14700"/>
  <c r="K200" i="14700"/>
  <c r="L200" i="14700"/>
  <c r="D200" i="14700"/>
  <c r="C90" i="14700"/>
  <c r="N90" i="14700"/>
  <c r="D90" i="14700"/>
  <c r="S90" i="14700"/>
  <c r="G90" i="14700"/>
  <c r="W90" i="14700"/>
  <c r="R90" i="14700"/>
  <c r="F90" i="14700"/>
  <c r="K90" i="14700"/>
  <c r="U90" i="14700"/>
  <c r="I90" i="14700"/>
  <c r="M90" i="14700"/>
  <c r="T90" i="14700"/>
  <c r="H90" i="14700"/>
  <c r="Y90" i="14700"/>
  <c r="O90" i="14700"/>
  <c r="L90" i="14700"/>
  <c r="B90" i="14700"/>
  <c r="V90" i="14700"/>
  <c r="Q90" i="14700"/>
  <c r="E90" i="14700"/>
  <c r="J90" i="14700"/>
  <c r="P90" i="14700"/>
  <c r="X90" i="14700"/>
  <c r="J182" i="14700"/>
  <c r="X182" i="14700"/>
  <c r="S182" i="14700"/>
  <c r="R182" i="14700"/>
  <c r="M182" i="14700"/>
  <c r="G182" i="14700"/>
  <c r="Q182" i="14700"/>
  <c r="Y182" i="14700"/>
  <c r="F182" i="14700"/>
  <c r="P182" i="14700"/>
  <c r="L182" i="14700"/>
  <c r="E182" i="14700"/>
  <c r="C182" i="14700"/>
  <c r="W182" i="14700"/>
  <c r="D182" i="14700"/>
  <c r="K182" i="14700"/>
  <c r="V182" i="14700"/>
  <c r="O182" i="14700"/>
  <c r="I182" i="14700"/>
  <c r="B182" i="14700"/>
  <c r="U182" i="14700"/>
  <c r="T182" i="14700"/>
  <c r="N182" i="14700"/>
  <c r="H182" i="14700"/>
  <c r="O33" i="14675"/>
  <c r="G39" i="14675"/>
  <c r="G19" i="14675" a="1"/>
  <c r="G19" i="14675" s="1"/>
  <c r="E39" i="14675"/>
  <c r="E19" i="14675" a="1"/>
  <c r="E19" i="14675" s="1"/>
  <c r="C19" i="14675" a="1"/>
  <c r="C19" i="14675" s="1"/>
  <c r="C39" i="14675"/>
  <c r="O31" i="14675"/>
  <c r="L39" i="14675"/>
  <c r="L19" i="14675" a="1"/>
  <c r="L19" i="14675" s="1"/>
  <c r="O32" i="14675"/>
  <c r="J39" i="14675"/>
  <c r="J19" i="14675" a="1"/>
  <c r="J19" i="14675" s="1"/>
  <c r="K19" i="14675" a="1"/>
  <c r="K19" i="14675" s="1"/>
  <c r="K39" i="14675"/>
  <c r="O37" i="14675"/>
  <c r="O36" i="14675"/>
  <c r="F55" i="14683"/>
  <c r="F56" i="14683"/>
  <c r="F50" i="14683"/>
  <c r="F54" i="14683"/>
  <c r="F53" i="14683"/>
  <c r="F51" i="14683"/>
  <c r="F49" i="14683"/>
  <c r="F52" i="14683"/>
  <c r="C81" i="14645"/>
  <c r="G81" i="14645"/>
  <c r="H81" i="14645"/>
  <c r="F81" i="14645"/>
  <c r="K81" i="14645"/>
  <c r="L81" i="14645"/>
  <c r="J81" i="14645"/>
  <c r="I81" i="14645"/>
  <c r="N81" i="14645"/>
  <c r="E81" i="14645"/>
  <c r="M81" i="14645"/>
  <c r="B81" i="14645"/>
  <c r="D81" i="14645"/>
  <c r="H23" i="14683"/>
  <c r="H20" i="14683"/>
  <c r="H22" i="14683"/>
  <c r="H21" i="14683"/>
  <c r="H19" i="14683"/>
  <c r="H26" i="14683"/>
  <c r="H27" i="14683"/>
  <c r="H24" i="14683"/>
  <c r="H25" i="14683"/>
  <c r="L8" i="14708"/>
  <c r="W24" i="14655" s="1"/>
  <c r="L7" i="14708"/>
  <c r="W22" i="14655" s="1"/>
  <c r="H101" i="14645"/>
  <c r="B101" i="14645"/>
  <c r="F101" i="14645"/>
  <c r="D101" i="14645"/>
  <c r="L101" i="14645"/>
  <c r="J101" i="14645"/>
  <c r="N101" i="14645"/>
  <c r="G101" i="14645"/>
  <c r="E101" i="14645"/>
  <c r="M101" i="14645"/>
  <c r="K101" i="14645"/>
  <c r="C101" i="14645"/>
  <c r="I101" i="14645"/>
  <c r="J47" i="14679"/>
  <c r="B47" i="14679"/>
  <c r="K47" i="14679"/>
  <c r="L47" i="14679"/>
  <c r="G47" i="14679"/>
  <c r="Q47" i="14679"/>
  <c r="H47" i="14679"/>
  <c r="M47" i="14679"/>
  <c r="F47" i="14679"/>
  <c r="C47" i="14679"/>
  <c r="S47" i="14679"/>
  <c r="D47" i="14679"/>
  <c r="R47" i="14679"/>
  <c r="O47" i="14679"/>
  <c r="E47" i="14679"/>
  <c r="P47" i="14679"/>
  <c r="N47" i="14679"/>
  <c r="I47" i="14679"/>
  <c r="S30" i="14678"/>
  <c r="F25" i="14679"/>
  <c r="F26" i="14679"/>
  <c r="C23" i="14679"/>
  <c r="C25" i="14679"/>
  <c r="C24" i="14679"/>
  <c r="C22" i="14679"/>
  <c r="C26" i="14679"/>
  <c r="F236" i="14701"/>
  <c r="T236" i="14701"/>
  <c r="M236" i="14701"/>
  <c r="G236" i="14701"/>
  <c r="I236" i="14701"/>
  <c r="Y236" i="14701"/>
  <c r="D236" i="14701"/>
  <c r="E236" i="14701"/>
  <c r="H236" i="14701"/>
  <c r="P236" i="14701"/>
  <c r="R236" i="14701"/>
  <c r="U236" i="14701"/>
  <c r="X236" i="14701"/>
  <c r="L236" i="14701"/>
  <c r="C236" i="14701"/>
  <c r="S236" i="14701"/>
  <c r="K236" i="14701"/>
  <c r="N236" i="14701"/>
  <c r="J236" i="14701"/>
  <c r="O236" i="14701"/>
  <c r="Q236" i="14701"/>
  <c r="B236" i="14701"/>
  <c r="V236" i="14701"/>
  <c r="W236" i="14701"/>
  <c r="V110" i="14701"/>
  <c r="F110" i="14701"/>
  <c r="M110" i="14701"/>
  <c r="I110" i="14701"/>
  <c r="Q110" i="14701"/>
  <c r="L110" i="14701"/>
  <c r="T110" i="14701"/>
  <c r="P110" i="14701"/>
  <c r="K110" i="14701"/>
  <c r="R110" i="14701"/>
  <c r="D110" i="14701"/>
  <c r="H110" i="14701"/>
  <c r="O110" i="14701"/>
  <c r="C110" i="14701"/>
  <c r="U110" i="14701"/>
  <c r="W110" i="14701"/>
  <c r="B110" i="14701"/>
  <c r="G110" i="14701"/>
  <c r="E110" i="14701"/>
  <c r="Y110" i="14701"/>
  <c r="X110" i="14701"/>
  <c r="N110" i="14701"/>
  <c r="S110" i="14701"/>
  <c r="J110" i="14701"/>
  <c r="B164" i="14701"/>
  <c r="Q164" i="14701"/>
  <c r="J164" i="14701"/>
  <c r="X164" i="14701"/>
  <c r="F164" i="14701"/>
  <c r="K164" i="14701"/>
  <c r="S164" i="14701"/>
  <c r="R164" i="14701"/>
  <c r="W164" i="14701"/>
  <c r="M164" i="14701"/>
  <c r="G164" i="14701"/>
  <c r="C164" i="14701"/>
  <c r="Y164" i="14701"/>
  <c r="H164" i="14701"/>
  <c r="D164" i="14701"/>
  <c r="N164" i="14701"/>
  <c r="T164" i="14701"/>
  <c r="E164" i="14701"/>
  <c r="O164" i="14701"/>
  <c r="I164" i="14701"/>
  <c r="V164" i="14701"/>
  <c r="P164" i="14701"/>
  <c r="U164" i="14701"/>
  <c r="L164" i="14701"/>
  <c r="S146" i="14701"/>
  <c r="R146" i="14701"/>
  <c r="W146" i="14701"/>
  <c r="F146" i="14701"/>
  <c r="Q146" i="14701"/>
  <c r="K146" i="14701"/>
  <c r="I146" i="14701"/>
  <c r="L146" i="14701"/>
  <c r="Y146" i="14701"/>
  <c r="H146" i="14701"/>
  <c r="G146" i="14701"/>
  <c r="X146" i="14701"/>
  <c r="B146" i="14701"/>
  <c r="C146" i="14701"/>
  <c r="T146" i="14701"/>
  <c r="N146" i="14701"/>
  <c r="U146" i="14701"/>
  <c r="M146" i="14701"/>
  <c r="E146" i="14701"/>
  <c r="P146" i="14701"/>
  <c r="J146" i="14701"/>
  <c r="O146" i="14701"/>
  <c r="D146" i="14701"/>
  <c r="V146" i="14701"/>
  <c r="J22" i="14708"/>
  <c r="H71" i="14645"/>
  <c r="B71" i="14645"/>
  <c r="C71" i="14645"/>
  <c r="F71" i="14645"/>
  <c r="I71" i="14645"/>
  <c r="D71" i="14645"/>
  <c r="N71" i="14645"/>
  <c r="E71" i="14645"/>
  <c r="G71" i="14645"/>
  <c r="M71" i="14645"/>
  <c r="L71" i="14645"/>
  <c r="J71" i="14645"/>
  <c r="K71" i="14645"/>
  <c r="X128" i="14704"/>
  <c r="C128" i="14704"/>
  <c r="B128" i="14704"/>
  <c r="I128" i="14704"/>
  <c r="D128" i="14704"/>
  <c r="N128" i="14704"/>
  <c r="V128" i="14704"/>
  <c r="Q128" i="14704"/>
  <c r="E128" i="14704"/>
  <c r="W128" i="14704"/>
  <c r="S128" i="14704"/>
  <c r="F128" i="14704"/>
  <c r="J128" i="14704"/>
  <c r="U128" i="14704"/>
  <c r="R128" i="14704"/>
  <c r="L128" i="14704"/>
  <c r="T128" i="14704"/>
  <c r="O128" i="14704"/>
  <c r="Y128" i="14704"/>
  <c r="G128" i="14704"/>
  <c r="K128" i="14704"/>
  <c r="H128" i="14704"/>
  <c r="P128" i="14704"/>
  <c r="M128" i="14704"/>
  <c r="R164" i="14704"/>
  <c r="Q164" i="14704"/>
  <c r="P164" i="14704"/>
  <c r="H164" i="14704"/>
  <c r="D164" i="14704"/>
  <c r="C164" i="14704"/>
  <c r="U164" i="14704"/>
  <c r="O164" i="14704"/>
  <c r="N164" i="14704"/>
  <c r="S164" i="14704"/>
  <c r="L164" i="14704"/>
  <c r="B164" i="14704"/>
  <c r="G164" i="14704"/>
  <c r="X164" i="14704"/>
  <c r="T164" i="14704"/>
  <c r="K164" i="14704"/>
  <c r="Y164" i="14704"/>
  <c r="J164" i="14704"/>
  <c r="M164" i="14704"/>
  <c r="F164" i="14704"/>
  <c r="W164" i="14704"/>
  <c r="V164" i="14704"/>
  <c r="I164" i="14704"/>
  <c r="E164" i="14704"/>
  <c r="R236" i="14704"/>
  <c r="N236" i="14704"/>
  <c r="O236" i="14704"/>
  <c r="K236" i="14704"/>
  <c r="B236" i="14704"/>
  <c r="P236" i="14704"/>
  <c r="X236" i="14704"/>
  <c r="C236" i="14704"/>
  <c r="Q236" i="14704"/>
  <c r="L236" i="14704"/>
  <c r="D236" i="14704"/>
  <c r="E236" i="14704"/>
  <c r="Y236" i="14704"/>
  <c r="F236" i="14704"/>
  <c r="T236" i="14704"/>
  <c r="M236" i="14704"/>
  <c r="S236" i="14704"/>
  <c r="U236" i="14704"/>
  <c r="G236" i="14704"/>
  <c r="H236" i="14704"/>
  <c r="I236" i="14704"/>
  <c r="W236" i="14704"/>
  <c r="V236" i="14704"/>
  <c r="J236" i="14704"/>
  <c r="Q146" i="14704"/>
  <c r="J146" i="14704"/>
  <c r="O146" i="14704"/>
  <c r="X146" i="14704"/>
  <c r="U146" i="14704"/>
  <c r="D146" i="14704"/>
  <c r="L146" i="14704"/>
  <c r="H146" i="14704"/>
  <c r="B146" i="14704"/>
  <c r="V146" i="14704"/>
  <c r="G146" i="14704"/>
  <c r="N146" i="14704"/>
  <c r="K146" i="14704"/>
  <c r="I146" i="14704"/>
  <c r="R146" i="14704"/>
  <c r="Y146" i="14704"/>
  <c r="S146" i="14704"/>
  <c r="T146" i="14704"/>
  <c r="M146" i="14704"/>
  <c r="E146" i="14704"/>
  <c r="C146" i="14704"/>
  <c r="W146" i="14704"/>
  <c r="F146" i="14704"/>
  <c r="P146" i="14704"/>
  <c r="C98" i="14643"/>
  <c r="C95" i="14643"/>
  <c r="C92" i="14643"/>
  <c r="C93" i="14643"/>
  <c r="C94" i="14643"/>
  <c r="C99" i="14643"/>
  <c r="C97" i="14643"/>
  <c r="C96" i="14643"/>
  <c r="D36" i="14669"/>
  <c r="G38" i="14669"/>
  <c r="L39" i="14669"/>
  <c r="F34" i="14669"/>
  <c r="D34" i="14669"/>
  <c r="I37" i="14669"/>
  <c r="M32" i="14669"/>
  <c r="H32" i="14669"/>
  <c r="G36" i="14669"/>
  <c r="M39" i="14669"/>
  <c r="E36" i="14669"/>
  <c r="L35" i="14669"/>
  <c r="J35" i="14669"/>
  <c r="K35" i="14669"/>
  <c r="C32" i="14669"/>
  <c r="M37" i="14669"/>
  <c r="H35" i="14669"/>
  <c r="B36" i="14669"/>
  <c r="B32" i="14669"/>
  <c r="J38" i="14669"/>
  <c r="L38" i="14669"/>
  <c r="C36" i="14669"/>
  <c r="B37" i="14669"/>
  <c r="H38" i="14669"/>
  <c r="K37" i="14669"/>
  <c r="F37" i="14669"/>
  <c r="F32" i="14669"/>
  <c r="D37" i="14669"/>
  <c r="K36" i="14669"/>
  <c r="M36" i="14669"/>
  <c r="B34" i="14669"/>
  <c r="H33" i="14669"/>
  <c r="J33" i="14669"/>
  <c r="G39" i="14669"/>
  <c r="E33" i="14669"/>
  <c r="J36" i="14669"/>
  <c r="C35" i="14669"/>
  <c r="J34" i="14669"/>
  <c r="I36" i="14669"/>
  <c r="B39" i="14669"/>
  <c r="K34" i="14669"/>
  <c r="G35" i="14669"/>
  <c r="E37" i="14669"/>
  <c r="E32" i="14669"/>
  <c r="F39" i="14669"/>
  <c r="L36" i="14669"/>
  <c r="E38" i="14669"/>
  <c r="M38" i="14669"/>
  <c r="E39" i="14669"/>
  <c r="I32" i="14669"/>
  <c r="H37" i="14669"/>
  <c r="F36" i="14669"/>
  <c r="J32" i="14669"/>
  <c r="M35" i="14669"/>
  <c r="K38" i="14669"/>
  <c r="C39" i="14669"/>
  <c r="I33" i="14669"/>
  <c r="L34" i="14669"/>
  <c r="D38" i="14669"/>
  <c r="D32" i="14669"/>
  <c r="D35" i="14669"/>
  <c r="G34" i="14669"/>
  <c r="L32" i="14669"/>
  <c r="H34" i="14669"/>
  <c r="C33" i="14669"/>
  <c r="E34" i="14669"/>
  <c r="F38" i="14669"/>
  <c r="I35" i="14669"/>
  <c r="C37" i="14669"/>
  <c r="L37" i="14669"/>
  <c r="G32" i="14669"/>
  <c r="J39" i="14669"/>
  <c r="K39" i="14669"/>
  <c r="C34" i="14669"/>
  <c r="B35" i="14669"/>
  <c r="G33" i="14669"/>
  <c r="B38" i="14669"/>
  <c r="D39" i="14669"/>
  <c r="F33" i="14669"/>
  <c r="H39" i="14669"/>
  <c r="I38" i="14669"/>
  <c r="M34" i="14669"/>
  <c r="I39" i="14669"/>
  <c r="G37" i="14669"/>
  <c r="I34" i="14669"/>
  <c r="H36" i="14669"/>
  <c r="J37" i="14669"/>
  <c r="F35" i="14669"/>
  <c r="D33" i="14669"/>
  <c r="K32" i="14669"/>
  <c r="E35" i="14669"/>
  <c r="C38" i="14669"/>
  <c r="B33" i="14669"/>
  <c r="L33" i="14669"/>
  <c r="K33" i="14669"/>
  <c r="M33" i="14669"/>
  <c r="N14" i="14679"/>
  <c r="P23" i="14679" a="1"/>
  <c r="P23" i="14679" s="1"/>
  <c r="O22" i="14679" a="1"/>
  <c r="O22" i="14679" s="1"/>
  <c r="R25" i="14679" a="1"/>
  <c r="R25" i="14679" s="1"/>
  <c r="N21" i="14679" a="1"/>
  <c r="N21" i="14679" s="1"/>
  <c r="Q24" i="14679" a="1"/>
  <c r="Q24" i="14679" s="1"/>
  <c r="M20" i="14679" a="1"/>
  <c r="M20" i="14679" s="1"/>
  <c r="M15" i="14679"/>
  <c r="S26" i="14679" a="1"/>
  <c r="S26" i="14679" s="1"/>
  <c r="S28" i="14679" s="1"/>
  <c r="D22" i="14679" a="1"/>
  <c r="D22" i="14679" s="1"/>
  <c r="C21" i="14679" a="1"/>
  <c r="C21" i="14679" s="1"/>
  <c r="B20" i="14679" a="1"/>
  <c r="B20" i="14679" s="1"/>
  <c r="N7" i="14679"/>
  <c r="B15" i="14679"/>
  <c r="H26" i="14679" a="1"/>
  <c r="H26" i="14679" s="1"/>
  <c r="F24" i="14679" a="1"/>
  <c r="F24" i="14679" s="1"/>
  <c r="E23" i="14679" a="1"/>
  <c r="E23" i="14679" s="1"/>
  <c r="G25" i="14679" a="1"/>
  <c r="G25" i="14679" s="1"/>
  <c r="N11" i="14679"/>
  <c r="H23" i="14679" a="1"/>
  <c r="H23" i="14679" s="1"/>
  <c r="F21" i="14679" a="1"/>
  <c r="F21" i="14679" s="1"/>
  <c r="E20" i="14679" a="1"/>
  <c r="E20" i="14679" s="1"/>
  <c r="K26" i="14679" a="1"/>
  <c r="K26" i="14679" s="1"/>
  <c r="J25" i="14679" a="1"/>
  <c r="J25" i="14679" s="1"/>
  <c r="E15" i="14679"/>
  <c r="G22" i="14679" a="1"/>
  <c r="G22" i="14679" s="1"/>
  <c r="I24" i="14679" a="1"/>
  <c r="I24" i="14679" s="1"/>
  <c r="N10" i="14679"/>
  <c r="M26" i="14679" a="1"/>
  <c r="M26" i="14679" s="1"/>
  <c r="I22" i="14679" a="1"/>
  <c r="I22" i="14679" s="1"/>
  <c r="H21" i="14679" a="1"/>
  <c r="H21" i="14679" s="1"/>
  <c r="J23" i="14679" a="1"/>
  <c r="J23" i="14679" s="1"/>
  <c r="L25" i="14679" a="1"/>
  <c r="L25" i="14679" s="1"/>
  <c r="G15" i="14679"/>
  <c r="K24" i="14679" a="1"/>
  <c r="K24" i="14679" s="1"/>
  <c r="G20" i="14679" a="1"/>
  <c r="G20" i="14679" s="1"/>
  <c r="L21" i="14679" a="1"/>
  <c r="L21" i="14679" s="1"/>
  <c r="P25" i="14679" a="1"/>
  <c r="P25" i="14679" s="1"/>
  <c r="Q26" i="14679" a="1"/>
  <c r="Q26" i="14679" s="1"/>
  <c r="N23" i="14679" a="1"/>
  <c r="N23" i="14679" s="1"/>
  <c r="K20" i="14679" a="1"/>
  <c r="K20" i="14679" s="1"/>
  <c r="K15" i="14679"/>
  <c r="M22" i="14679" a="1"/>
  <c r="M22" i="14679" s="1"/>
  <c r="O24" i="14679" a="1"/>
  <c r="O24" i="14679" s="1"/>
  <c r="I25" i="14679" a="1"/>
  <c r="I25" i="14679" s="1"/>
  <c r="D15" i="14679"/>
  <c r="F22" i="14679" a="1"/>
  <c r="F22" i="14679" s="1"/>
  <c r="H24" i="14679" a="1"/>
  <c r="H24" i="14679" s="1"/>
  <c r="J26" i="14679" a="1"/>
  <c r="J26" i="14679" s="1"/>
  <c r="G23" i="14679" a="1"/>
  <c r="G23" i="14679" s="1"/>
  <c r="E21" i="14679" a="1"/>
  <c r="E21" i="14679" s="1"/>
  <c r="D20" i="14679" a="1"/>
  <c r="D20" i="14679" s="1"/>
  <c r="I21" i="14679" a="1"/>
  <c r="I21" i="14679" s="1"/>
  <c r="H15" i="14679"/>
  <c r="H20" i="14679" a="1"/>
  <c r="H20" i="14679" s="1"/>
  <c r="K23" i="14679" a="1"/>
  <c r="K23" i="14679" s="1"/>
  <c r="M25" i="14679" a="1"/>
  <c r="M25" i="14679" s="1"/>
  <c r="N26" i="14679" a="1"/>
  <c r="N26" i="14679" s="1"/>
  <c r="J22" i="14679" a="1"/>
  <c r="J22" i="14679" s="1"/>
  <c r="L24" i="14679" a="1"/>
  <c r="L24" i="14679" s="1"/>
  <c r="N12" i="14679"/>
  <c r="I20" i="14679" a="1"/>
  <c r="I20" i="14679" s="1"/>
  <c r="J21" i="14679" a="1"/>
  <c r="J21" i="14679" s="1"/>
  <c r="O26" i="14679" a="1"/>
  <c r="O26" i="14679" s="1"/>
  <c r="M24" i="14679" a="1"/>
  <c r="M24" i="14679" s="1"/>
  <c r="L23" i="14679" a="1"/>
  <c r="L23" i="14679" s="1"/>
  <c r="I15" i="14679"/>
  <c r="N25" i="14679" a="1"/>
  <c r="N25" i="14679" s="1"/>
  <c r="K22" i="14679" a="1"/>
  <c r="K22" i="14679" s="1"/>
  <c r="B28" i="14678"/>
  <c r="B10" i="14671"/>
  <c r="S31" i="14678"/>
  <c r="M6" i="14641"/>
  <c r="J6" i="14641"/>
  <c r="G6" i="14641"/>
  <c r="N6" i="14641"/>
  <c r="D6" i="14641"/>
  <c r="L6" i="14641"/>
  <c r="H6" i="14641"/>
  <c r="I6" i="14641"/>
  <c r="C6" i="14641"/>
  <c r="F6" i="14641"/>
  <c r="E6" i="14641"/>
  <c r="K6" i="14641"/>
  <c r="Q19" i="14638"/>
  <c r="O19" i="14638"/>
  <c r="P19" i="14638"/>
  <c r="N19" i="14638"/>
  <c r="R19" i="14638"/>
  <c r="S19" i="14638"/>
  <c r="K7" i="14670"/>
  <c r="H7" i="14670"/>
  <c r="G7" i="14670"/>
  <c r="C7" i="14670"/>
  <c r="F7" i="14670"/>
  <c r="I7" i="14670"/>
  <c r="E7" i="14670"/>
  <c r="M7" i="14670"/>
  <c r="J7" i="14670"/>
  <c r="L7" i="14670"/>
  <c r="B7" i="14670"/>
  <c r="D7" i="14670"/>
  <c r="H71" i="14643"/>
  <c r="H67" i="14643"/>
  <c r="H70" i="14643"/>
  <c r="H69" i="14643"/>
  <c r="H68" i="14643"/>
  <c r="H66" i="14643"/>
  <c r="H72" i="14643"/>
  <c r="H73" i="14643"/>
  <c r="O19" i="14623"/>
  <c r="P19" i="14623"/>
  <c r="N19" i="14623"/>
  <c r="R19" i="14623"/>
  <c r="S19" i="14623"/>
  <c r="Q19" i="14623"/>
  <c r="J41" i="14674"/>
  <c r="F41" i="14674"/>
  <c r="G41" i="14674"/>
  <c r="M41" i="14674"/>
  <c r="K41" i="14674"/>
  <c r="E41" i="14674"/>
  <c r="D41" i="14674"/>
  <c r="L41" i="14674"/>
  <c r="H41" i="14674"/>
  <c r="N41" i="14674"/>
  <c r="C41" i="14674"/>
  <c r="I41" i="14674"/>
  <c r="T128" i="14698"/>
  <c r="B128" i="14698"/>
  <c r="W128" i="14698"/>
  <c r="V128" i="14698"/>
  <c r="N128" i="14698"/>
  <c r="J128" i="14698"/>
  <c r="U128" i="14698"/>
  <c r="F128" i="14698"/>
  <c r="C128" i="14698"/>
  <c r="X128" i="14698"/>
  <c r="E128" i="14698"/>
  <c r="O128" i="14698"/>
  <c r="L128" i="14698"/>
  <c r="P128" i="14698"/>
  <c r="G128" i="14698"/>
  <c r="S128" i="14698"/>
  <c r="D128" i="14698"/>
  <c r="M128" i="14698"/>
  <c r="I128" i="14698"/>
  <c r="R128" i="14698"/>
  <c r="Y128" i="14698"/>
  <c r="H128" i="14698"/>
  <c r="Q128" i="14698"/>
  <c r="K128" i="14698"/>
  <c r="F182" i="14698"/>
  <c r="N182" i="14698"/>
  <c r="V182" i="14698"/>
  <c r="J182" i="14698"/>
  <c r="B182" i="14698"/>
  <c r="I182" i="14698"/>
  <c r="H182" i="14698"/>
  <c r="C182" i="14698"/>
  <c r="D182" i="14698"/>
  <c r="X182" i="14698"/>
  <c r="O182" i="14698"/>
  <c r="K182" i="14698"/>
  <c r="W182" i="14698"/>
  <c r="Q182" i="14698"/>
  <c r="Y182" i="14698"/>
  <c r="P182" i="14698"/>
  <c r="E182" i="14698"/>
  <c r="M182" i="14698"/>
  <c r="T182" i="14698"/>
  <c r="G182" i="14698"/>
  <c r="L182" i="14698"/>
  <c r="R182" i="14698"/>
  <c r="S182" i="14698"/>
  <c r="U182" i="14698"/>
  <c r="C236" i="14698"/>
  <c r="D236" i="14698"/>
  <c r="W236" i="14698"/>
  <c r="O236" i="14698"/>
  <c r="I236" i="14698"/>
  <c r="J236" i="14698"/>
  <c r="B236" i="14698"/>
  <c r="U236" i="14698"/>
  <c r="H236" i="14698"/>
  <c r="N236" i="14698"/>
  <c r="T236" i="14698"/>
  <c r="K236" i="14698"/>
  <c r="F236" i="14698"/>
  <c r="L236" i="14698"/>
  <c r="G236" i="14698"/>
  <c r="Y236" i="14698"/>
  <c r="S236" i="14698"/>
  <c r="E236" i="14698"/>
  <c r="X236" i="14698"/>
  <c r="P236" i="14698"/>
  <c r="V236" i="14698"/>
  <c r="M236" i="14698"/>
  <c r="R236" i="14698"/>
  <c r="Q236" i="14698"/>
  <c r="N200" i="14698"/>
  <c r="U200" i="14698"/>
  <c r="J200" i="14698"/>
  <c r="B200" i="14698"/>
  <c r="H200" i="14698"/>
  <c r="S200" i="14698"/>
  <c r="D200" i="14698"/>
  <c r="K200" i="14698"/>
  <c r="I200" i="14698"/>
  <c r="O200" i="14698"/>
  <c r="W200" i="14698"/>
  <c r="Y200" i="14698"/>
  <c r="R200" i="14698"/>
  <c r="F200" i="14698"/>
  <c r="L200" i="14698"/>
  <c r="C200" i="14698"/>
  <c r="T200" i="14698"/>
  <c r="M200" i="14698"/>
  <c r="E200" i="14698"/>
  <c r="Q200" i="14698"/>
  <c r="P200" i="14698"/>
  <c r="V200" i="14698"/>
  <c r="G200" i="14698"/>
  <c r="X200" i="14698"/>
  <c r="D110" i="14698"/>
  <c r="O110" i="14698"/>
  <c r="M110" i="14698"/>
  <c r="C110" i="14698"/>
  <c r="K110" i="14698"/>
  <c r="X110" i="14698"/>
  <c r="N110" i="14698"/>
  <c r="W110" i="14698"/>
  <c r="T110" i="14698"/>
  <c r="B110" i="14698"/>
  <c r="V110" i="14698"/>
  <c r="G110" i="14698"/>
  <c r="U110" i="14698"/>
  <c r="J110" i="14698"/>
  <c r="Y110" i="14698"/>
  <c r="F110" i="14698"/>
  <c r="R110" i="14698"/>
  <c r="I110" i="14698"/>
  <c r="Q110" i="14698"/>
  <c r="S110" i="14698"/>
  <c r="L110" i="14698"/>
  <c r="E110" i="14698"/>
  <c r="P110" i="14698"/>
  <c r="H110" i="14698"/>
  <c r="D236" i="14703"/>
  <c r="K236" i="14703"/>
  <c r="H236" i="14703"/>
  <c r="P236" i="14703"/>
  <c r="L236" i="14703"/>
  <c r="T236" i="14703"/>
  <c r="B236" i="14703"/>
  <c r="G236" i="14703"/>
  <c r="W236" i="14703"/>
  <c r="N236" i="14703"/>
  <c r="V236" i="14703"/>
  <c r="Y236" i="14703"/>
  <c r="F236" i="14703"/>
  <c r="X236" i="14703"/>
  <c r="I236" i="14703"/>
  <c r="E236" i="14703"/>
  <c r="J236" i="14703"/>
  <c r="O236" i="14703"/>
  <c r="S236" i="14703"/>
  <c r="R236" i="14703"/>
  <c r="M236" i="14703"/>
  <c r="C236" i="14703"/>
  <c r="Q236" i="14703"/>
  <c r="U236" i="14703"/>
  <c r="L146" i="14703"/>
  <c r="N146" i="14703"/>
  <c r="I146" i="14703"/>
  <c r="E146" i="14703"/>
  <c r="B146" i="14703"/>
  <c r="T146" i="14703"/>
  <c r="F146" i="14703"/>
  <c r="C146" i="14703"/>
  <c r="J146" i="14703"/>
  <c r="R146" i="14703"/>
  <c r="D146" i="14703"/>
  <c r="U146" i="14703"/>
  <c r="G146" i="14703"/>
  <c r="O146" i="14703"/>
  <c r="V146" i="14703"/>
  <c r="Q146" i="14703"/>
  <c r="K146" i="14703"/>
  <c r="M146" i="14703"/>
  <c r="S146" i="14703"/>
  <c r="X146" i="14703"/>
  <c r="Y146" i="14703"/>
  <c r="H146" i="14703"/>
  <c r="P146" i="14703"/>
  <c r="W146" i="14703"/>
  <c r="B128" i="14703"/>
  <c r="K128" i="14703"/>
  <c r="T128" i="14703"/>
  <c r="N128" i="14703"/>
  <c r="X128" i="14703"/>
  <c r="J128" i="14703"/>
  <c r="C128" i="14703"/>
  <c r="D128" i="14703"/>
  <c r="M128" i="14703"/>
  <c r="O128" i="14703"/>
  <c r="P128" i="14703"/>
  <c r="H128" i="14703"/>
  <c r="Y128" i="14703"/>
  <c r="E128" i="14703"/>
  <c r="I128" i="14703"/>
  <c r="F128" i="14703"/>
  <c r="U128" i="14703"/>
  <c r="W128" i="14703"/>
  <c r="S128" i="14703"/>
  <c r="Q128" i="14703"/>
  <c r="R128" i="14703"/>
  <c r="L128" i="14703"/>
  <c r="G128" i="14703"/>
  <c r="V128" i="14703"/>
  <c r="Y90" i="14703"/>
  <c r="C90" i="14703"/>
  <c r="H90" i="14703"/>
  <c r="K90" i="14703"/>
  <c r="D90" i="14703"/>
  <c r="I90" i="14703"/>
  <c r="X90" i="14703"/>
  <c r="B90" i="14703"/>
  <c r="G90" i="14703"/>
  <c r="P90" i="14703"/>
  <c r="N90" i="14703"/>
  <c r="S90" i="14703"/>
  <c r="Q90" i="14703"/>
  <c r="F90" i="14703"/>
  <c r="U90" i="14703"/>
  <c r="M90" i="14703"/>
  <c r="R90" i="14703"/>
  <c r="W90" i="14703"/>
  <c r="O90" i="14703"/>
  <c r="T90" i="14703"/>
  <c r="V90" i="14703"/>
  <c r="E90" i="14703"/>
  <c r="J90" i="14703"/>
  <c r="L90" i="14703"/>
  <c r="M182" i="14702"/>
  <c r="C182" i="14702"/>
  <c r="F182" i="14702"/>
  <c r="D182" i="14702"/>
  <c r="X182" i="14702"/>
  <c r="P182" i="14702"/>
  <c r="O182" i="14702"/>
  <c r="V182" i="14702"/>
  <c r="S182" i="14702"/>
  <c r="I182" i="14702"/>
  <c r="E182" i="14702"/>
  <c r="N182" i="14702"/>
  <c r="U182" i="14702"/>
  <c r="W182" i="14702"/>
  <c r="K182" i="14702"/>
  <c r="T182" i="14702"/>
  <c r="J182" i="14702"/>
  <c r="G182" i="14702"/>
  <c r="L182" i="14702"/>
  <c r="Q182" i="14702"/>
  <c r="R182" i="14702"/>
  <c r="Y182" i="14702"/>
  <c r="B182" i="14702"/>
  <c r="H182" i="14702"/>
  <c r="S128" i="14702"/>
  <c r="R128" i="14702"/>
  <c r="P128" i="14702"/>
  <c r="W128" i="14702"/>
  <c r="X128" i="14702"/>
  <c r="O128" i="14702"/>
  <c r="K128" i="14702"/>
  <c r="U128" i="14702"/>
  <c r="G128" i="14702"/>
  <c r="M128" i="14702"/>
  <c r="C128" i="14702"/>
  <c r="N128" i="14702"/>
  <c r="H128" i="14702"/>
  <c r="J128" i="14702"/>
  <c r="I128" i="14702"/>
  <c r="Q128" i="14702"/>
  <c r="T128" i="14702"/>
  <c r="E128" i="14702"/>
  <c r="Y128" i="14702"/>
  <c r="D128" i="14702"/>
  <c r="L128" i="14702"/>
  <c r="V128" i="14702"/>
  <c r="B128" i="14702"/>
  <c r="F128" i="14702"/>
  <c r="T90" i="14702"/>
  <c r="K90" i="14702"/>
  <c r="Y90" i="14702"/>
  <c r="G90" i="14702"/>
  <c r="V90" i="14702"/>
  <c r="L90" i="14702"/>
  <c r="E90" i="14702"/>
  <c r="U90" i="14702"/>
  <c r="O90" i="14702"/>
  <c r="M90" i="14702"/>
  <c r="P90" i="14702"/>
  <c r="F90" i="14702"/>
  <c r="I90" i="14702"/>
  <c r="C90" i="14702"/>
  <c r="D90" i="14702"/>
  <c r="H90" i="14702"/>
  <c r="Q90" i="14702"/>
  <c r="X90" i="14702"/>
  <c r="R90" i="14702"/>
  <c r="N90" i="14702"/>
  <c r="S90" i="14702"/>
  <c r="W90" i="14702"/>
  <c r="J90" i="14702"/>
  <c r="B90" i="14702"/>
  <c r="R218" i="14702"/>
  <c r="W218" i="14702"/>
  <c r="O218" i="14702"/>
  <c r="H218" i="14702"/>
  <c r="K218" i="14702"/>
  <c r="C218" i="14702"/>
  <c r="T218" i="14702"/>
  <c r="J218" i="14702"/>
  <c r="D218" i="14702"/>
  <c r="X218" i="14702"/>
  <c r="I218" i="14702"/>
  <c r="B218" i="14702"/>
  <c r="Y218" i="14702"/>
  <c r="G218" i="14702"/>
  <c r="F218" i="14702"/>
  <c r="M218" i="14702"/>
  <c r="E218" i="14702"/>
  <c r="Q218" i="14702"/>
  <c r="L218" i="14702"/>
  <c r="U218" i="14702"/>
  <c r="P218" i="14702"/>
  <c r="S218" i="14702"/>
  <c r="N218" i="14702"/>
  <c r="V218" i="14702"/>
  <c r="S236" i="14702"/>
  <c r="T236" i="14702"/>
  <c r="N236" i="14702"/>
  <c r="V236" i="14702"/>
  <c r="I236" i="14702"/>
  <c r="B236" i="14702"/>
  <c r="J236" i="14702"/>
  <c r="G236" i="14702"/>
  <c r="E236" i="14702"/>
  <c r="C236" i="14702"/>
  <c r="M236" i="14702"/>
  <c r="O236" i="14702"/>
  <c r="K236" i="14702"/>
  <c r="W236" i="14702"/>
  <c r="D236" i="14702"/>
  <c r="X236" i="14702"/>
  <c r="R236" i="14702"/>
  <c r="P236" i="14702"/>
  <c r="H236" i="14702"/>
  <c r="U236" i="14702"/>
  <c r="F236" i="14702"/>
  <c r="Y236" i="14702"/>
  <c r="Q236" i="14702"/>
  <c r="L236" i="14702"/>
  <c r="G86" i="14643"/>
  <c r="G80" i="14643"/>
  <c r="G82" i="14643"/>
  <c r="G81" i="14643"/>
  <c r="G83" i="14643"/>
  <c r="G85" i="14643"/>
  <c r="G79" i="14643"/>
  <c r="G84" i="14643"/>
  <c r="C6" i="14628" a="1"/>
  <c r="J236" i="14700"/>
  <c r="G236" i="14700"/>
  <c r="L236" i="14700"/>
  <c r="K236" i="14700"/>
  <c r="T236" i="14700"/>
  <c r="X236" i="14700"/>
  <c r="F236" i="14700"/>
  <c r="Q236" i="14700"/>
  <c r="I236" i="14700"/>
  <c r="S236" i="14700"/>
  <c r="R236" i="14700"/>
  <c r="V236" i="14700"/>
  <c r="N236" i="14700"/>
  <c r="C236" i="14700"/>
  <c r="P236" i="14700"/>
  <c r="H236" i="14700"/>
  <c r="W236" i="14700"/>
  <c r="O236" i="14700"/>
  <c r="Y236" i="14700"/>
  <c r="D236" i="14700"/>
  <c r="M236" i="14700"/>
  <c r="E236" i="14700"/>
  <c r="B236" i="14700"/>
  <c r="U236" i="14700"/>
  <c r="F218" i="14700"/>
  <c r="D218" i="14700"/>
  <c r="K218" i="14700"/>
  <c r="S218" i="14700"/>
  <c r="P218" i="14700"/>
  <c r="L218" i="14700"/>
  <c r="H218" i="14700"/>
  <c r="R218" i="14700"/>
  <c r="Y218" i="14700"/>
  <c r="U218" i="14700"/>
  <c r="G218" i="14700"/>
  <c r="M218" i="14700"/>
  <c r="V218" i="14700"/>
  <c r="B218" i="14700"/>
  <c r="J218" i="14700"/>
  <c r="O218" i="14700"/>
  <c r="Q218" i="14700"/>
  <c r="T218" i="14700"/>
  <c r="N218" i="14700"/>
  <c r="I218" i="14700"/>
  <c r="W218" i="14700"/>
  <c r="E218" i="14700"/>
  <c r="X218" i="14700"/>
  <c r="C218" i="14700"/>
  <c r="C110" i="14700"/>
  <c r="K110" i="14700"/>
  <c r="L110" i="14700"/>
  <c r="N110" i="14700"/>
  <c r="G110" i="14700"/>
  <c r="H110" i="14700"/>
  <c r="Y110" i="14700"/>
  <c r="U110" i="14700"/>
  <c r="I110" i="14700"/>
  <c r="M110" i="14700"/>
  <c r="Q110" i="14700"/>
  <c r="R110" i="14700"/>
  <c r="S110" i="14700"/>
  <c r="F110" i="14700"/>
  <c r="T110" i="14700"/>
  <c r="X110" i="14700"/>
  <c r="P110" i="14700"/>
  <c r="D110" i="14700"/>
  <c r="E110" i="14700"/>
  <c r="B110" i="14700"/>
  <c r="W110" i="14700"/>
  <c r="J110" i="14700"/>
  <c r="O110" i="14700"/>
  <c r="V110" i="14700"/>
  <c r="T128" i="14700"/>
  <c r="L128" i="14700"/>
  <c r="P128" i="14700"/>
  <c r="J128" i="14700"/>
  <c r="Y128" i="14700"/>
  <c r="E128" i="14700"/>
  <c r="V128" i="14700"/>
  <c r="M128" i="14700"/>
  <c r="Q128" i="14700"/>
  <c r="D128" i="14700"/>
  <c r="U128" i="14700"/>
  <c r="R128" i="14700"/>
  <c r="F128" i="14700"/>
  <c r="X128" i="14700"/>
  <c r="N128" i="14700"/>
  <c r="G128" i="14700"/>
  <c r="S128" i="14700"/>
  <c r="B128" i="14700"/>
  <c r="K128" i="14700"/>
  <c r="O128" i="14700"/>
  <c r="H128" i="14700"/>
  <c r="W128" i="14700"/>
  <c r="C128" i="14700"/>
  <c r="I128" i="14700"/>
  <c r="C5" i="14671"/>
  <c r="E5" i="14671"/>
  <c r="K5" i="14671"/>
  <c r="H5" i="14671"/>
  <c r="L5" i="14671"/>
  <c r="D5" i="14671"/>
  <c r="B5" i="14671"/>
  <c r="G5" i="14671"/>
  <c r="I5" i="14671"/>
  <c r="M5" i="14671"/>
  <c r="F5" i="14671"/>
  <c r="J5" i="14671"/>
  <c r="O38" i="14675"/>
  <c r="N39" i="14675"/>
  <c r="N19" i="14675" a="1"/>
  <c r="N19" i="14675" s="1"/>
  <c r="O34" i="14675"/>
  <c r="I39" i="14675"/>
  <c r="I19" i="14675" a="1"/>
  <c r="I19" i="14675" s="1"/>
  <c r="F19" i="14675" a="1"/>
  <c r="F19" i="14675" s="1"/>
  <c r="F39" i="14675"/>
  <c r="H19" i="14675" a="1"/>
  <c r="H19" i="14675" s="1"/>
  <c r="H39" i="14675"/>
  <c r="M19" i="14675" a="1"/>
  <c r="M19" i="14675" s="1"/>
  <c r="M39" i="14675"/>
  <c r="O35" i="14675"/>
  <c r="D19" i="14675" a="1"/>
  <c r="D19" i="14675" s="1"/>
  <c r="D39" i="14675"/>
  <c r="F57" i="14683" a="1"/>
  <c r="F57" i="14683" s="1"/>
  <c r="E61" i="14645"/>
  <c r="C61" i="14645"/>
  <c r="H61" i="14645"/>
  <c r="K61" i="14645"/>
  <c r="N61" i="14645"/>
  <c r="F61" i="14645"/>
  <c r="B61" i="14645"/>
  <c r="I61" i="14645"/>
  <c r="L61" i="14645"/>
  <c r="M61" i="14645"/>
  <c r="G61" i="14645"/>
  <c r="D61" i="14645"/>
  <c r="J61" i="14645"/>
  <c r="N19" i="14632"/>
  <c r="R19" i="14632"/>
  <c r="P19" i="14632"/>
  <c r="Q19" i="14632"/>
  <c r="O19" i="14632"/>
  <c r="S19" i="14632"/>
  <c r="G51" i="14683"/>
  <c r="G50" i="14683"/>
  <c r="G54" i="14683"/>
  <c r="G56" i="14683"/>
  <c r="G49" i="14683"/>
  <c r="G55" i="14683"/>
  <c r="G53" i="14683"/>
  <c r="G52" i="14683"/>
  <c r="Q19" i="14678"/>
  <c r="P19" i="14678"/>
  <c r="S19" i="14678"/>
  <c r="N19" i="14678"/>
  <c r="R19" i="14678"/>
  <c r="O19" i="14678"/>
  <c r="B21" i="14679"/>
  <c r="B24" i="14679"/>
  <c r="B25" i="14679"/>
  <c r="B26" i="14679"/>
  <c r="B23" i="14679"/>
  <c r="B22" i="14679"/>
  <c r="E26" i="14679"/>
  <c r="E24" i="14679"/>
  <c r="E25" i="14679"/>
  <c r="N42" i="14645"/>
  <c r="B43" i="14645"/>
  <c r="K7" i="14676"/>
  <c r="I7" i="14676"/>
  <c r="G7" i="14676"/>
  <c r="H7" i="14676"/>
  <c r="J7" i="14676"/>
  <c r="M7" i="14676"/>
  <c r="F7" i="14676"/>
  <c r="N7" i="14676"/>
  <c r="D7" i="14676"/>
  <c r="L7" i="14676"/>
  <c r="E7" i="14676"/>
  <c r="C7" i="14676"/>
  <c r="R182" i="14701"/>
  <c r="L182" i="14701"/>
  <c r="J182" i="14701"/>
  <c r="G182" i="14701"/>
  <c r="O182" i="14701"/>
  <c r="X182" i="14701"/>
  <c r="S182" i="14701"/>
  <c r="D182" i="14701"/>
  <c r="M182" i="14701"/>
  <c r="H182" i="14701"/>
  <c r="P182" i="14701"/>
  <c r="Y182" i="14701"/>
  <c r="T182" i="14701"/>
  <c r="B182" i="14701"/>
  <c r="F182" i="14701"/>
  <c r="K182" i="14701"/>
  <c r="Q182" i="14701"/>
  <c r="U182" i="14701"/>
  <c r="N182" i="14701"/>
  <c r="E182" i="14701"/>
  <c r="V182" i="14701"/>
  <c r="C182" i="14701"/>
  <c r="I182" i="14701"/>
  <c r="W182" i="14701"/>
  <c r="Q218" i="14701"/>
  <c r="X218" i="14701"/>
  <c r="W218" i="14701"/>
  <c r="P218" i="14701"/>
  <c r="K218" i="14701"/>
  <c r="V218" i="14701"/>
  <c r="R218" i="14701"/>
  <c r="E218" i="14701"/>
  <c r="M218" i="14701"/>
  <c r="F218" i="14701"/>
  <c r="O218" i="14701"/>
  <c r="L218" i="14701"/>
  <c r="H218" i="14701"/>
  <c r="B218" i="14701"/>
  <c r="T218" i="14701"/>
  <c r="U218" i="14701"/>
  <c r="C218" i="14701"/>
  <c r="Y218" i="14701"/>
  <c r="N218" i="14701"/>
  <c r="J218" i="14701"/>
  <c r="G218" i="14701"/>
  <c r="D218" i="14701"/>
  <c r="S218" i="14701"/>
  <c r="I218" i="14701"/>
  <c r="K200" i="14701"/>
  <c r="S200" i="14701"/>
  <c r="X200" i="14701"/>
  <c r="L200" i="14701"/>
  <c r="U200" i="14701"/>
  <c r="Y200" i="14701"/>
  <c r="E200" i="14701"/>
  <c r="R200" i="14701"/>
  <c r="V200" i="14701"/>
  <c r="H200" i="14701"/>
  <c r="G200" i="14701"/>
  <c r="J200" i="14701"/>
  <c r="N200" i="14701"/>
  <c r="Q200" i="14701"/>
  <c r="D200" i="14701"/>
  <c r="I200" i="14701"/>
  <c r="C200" i="14701"/>
  <c r="B200" i="14701"/>
  <c r="M200" i="14701"/>
  <c r="O200" i="14701"/>
  <c r="T200" i="14701"/>
  <c r="F200" i="14701"/>
  <c r="W200" i="14701"/>
  <c r="P200" i="14701"/>
  <c r="P128" i="14701"/>
  <c r="F128" i="14701"/>
  <c r="R128" i="14701"/>
  <c r="U128" i="14701"/>
  <c r="Q128" i="14701"/>
  <c r="E128" i="14701"/>
  <c r="T128" i="14701"/>
  <c r="I128" i="14701"/>
  <c r="H128" i="14701"/>
  <c r="M128" i="14701"/>
  <c r="S128" i="14701"/>
  <c r="G128" i="14701"/>
  <c r="L128" i="14701"/>
  <c r="N128" i="14701"/>
  <c r="J128" i="14701"/>
  <c r="W128" i="14701"/>
  <c r="B128" i="14701"/>
  <c r="V128" i="14701"/>
  <c r="K128" i="14701"/>
  <c r="D128" i="14701"/>
  <c r="Y128" i="14701"/>
  <c r="O128" i="14701"/>
  <c r="C128" i="14701"/>
  <c r="X128" i="14701"/>
  <c r="C90" i="14701"/>
  <c r="T90" i="14701"/>
  <c r="F90" i="14701"/>
  <c r="X90" i="14701"/>
  <c r="S90" i="14701"/>
  <c r="Q90" i="14701"/>
  <c r="I90" i="14701"/>
  <c r="E90" i="14701"/>
  <c r="O90" i="14701"/>
  <c r="Y90" i="14701"/>
  <c r="P90" i="14701"/>
  <c r="L90" i="14701"/>
  <c r="M90" i="14701"/>
  <c r="D90" i="14701"/>
  <c r="W90" i="14701"/>
  <c r="K90" i="14701"/>
  <c r="J90" i="14701"/>
  <c r="H90" i="14701"/>
  <c r="N90" i="14701"/>
  <c r="V90" i="14701"/>
  <c r="G90" i="14701"/>
  <c r="B90" i="14701"/>
  <c r="U90" i="14701"/>
  <c r="R90" i="14701"/>
  <c r="Q200" i="14704"/>
  <c r="L200" i="14704"/>
  <c r="N200" i="14704"/>
  <c r="K200" i="14704"/>
  <c r="H200" i="14704"/>
  <c r="B200" i="14704"/>
  <c r="J200" i="14704"/>
  <c r="S200" i="14704"/>
  <c r="D200" i="14704"/>
  <c r="P200" i="14704"/>
  <c r="Y200" i="14704"/>
  <c r="O200" i="14704"/>
  <c r="C200" i="14704"/>
  <c r="X200" i="14704"/>
  <c r="R200" i="14704"/>
  <c r="F200" i="14704"/>
  <c r="W200" i="14704"/>
  <c r="E200" i="14704"/>
  <c r="V200" i="14704"/>
  <c r="I200" i="14704"/>
  <c r="G200" i="14704"/>
  <c r="M200" i="14704"/>
  <c r="U200" i="14704"/>
  <c r="T200" i="14704"/>
  <c r="K110" i="14704"/>
  <c r="L110" i="14704"/>
  <c r="C110" i="14704"/>
  <c r="V110" i="14704"/>
  <c r="S110" i="14704"/>
  <c r="P110" i="14704"/>
  <c r="W110" i="14704"/>
  <c r="J110" i="14704"/>
  <c r="B110" i="14704"/>
  <c r="U110" i="14704"/>
  <c r="R110" i="14704"/>
  <c r="N110" i="14704"/>
  <c r="H110" i="14704"/>
  <c r="G110" i="14704"/>
  <c r="E110" i="14704"/>
  <c r="O110" i="14704"/>
  <c r="T110" i="14704"/>
  <c r="F110" i="14704"/>
  <c r="Y110" i="14704"/>
  <c r="D110" i="14704"/>
  <c r="X110" i="14704"/>
  <c r="M110" i="14704"/>
  <c r="Q110" i="14704"/>
  <c r="I110" i="14704"/>
  <c r="Y182" i="14704"/>
  <c r="B182" i="14704"/>
  <c r="G182" i="14704"/>
  <c r="I182" i="14704"/>
  <c r="N182" i="14704"/>
  <c r="T182" i="14704"/>
  <c r="S182" i="14704"/>
  <c r="P182" i="14704"/>
  <c r="H182" i="14704"/>
  <c r="K182" i="14704"/>
  <c r="C182" i="14704"/>
  <c r="U182" i="14704"/>
  <c r="W182" i="14704"/>
  <c r="Q182" i="14704"/>
  <c r="L182" i="14704"/>
  <c r="M182" i="14704"/>
  <c r="D182" i="14704"/>
  <c r="J182" i="14704"/>
  <c r="F182" i="14704"/>
  <c r="R182" i="14704"/>
  <c r="X182" i="14704"/>
  <c r="E182" i="14704"/>
  <c r="O182" i="14704"/>
  <c r="V182" i="14704"/>
  <c r="M90" i="14704"/>
  <c r="C90" i="14704"/>
  <c r="W90" i="14704"/>
  <c r="Y90" i="14704"/>
  <c r="O90" i="14704"/>
  <c r="H90" i="14704"/>
  <c r="K90" i="14704"/>
  <c r="N90" i="14704"/>
  <c r="U90" i="14704"/>
  <c r="R90" i="14704"/>
  <c r="B90" i="14704"/>
  <c r="S90" i="14704"/>
  <c r="F90" i="14704"/>
  <c r="G90" i="14704"/>
  <c r="E90" i="14704"/>
  <c r="T90" i="14704"/>
  <c r="D90" i="14704"/>
  <c r="X90" i="14704"/>
  <c r="Q90" i="14704"/>
  <c r="L90" i="14704"/>
  <c r="V90" i="14704"/>
  <c r="P90" i="14704"/>
  <c r="J90" i="14704"/>
  <c r="I90" i="14704"/>
  <c r="X218" i="14704"/>
  <c r="B218" i="14704"/>
  <c r="C218" i="14704"/>
  <c r="G218" i="14704"/>
  <c r="N218" i="14704"/>
  <c r="P218" i="14704"/>
  <c r="U218" i="14704"/>
  <c r="O218" i="14704"/>
  <c r="D218" i="14704"/>
  <c r="W218" i="14704"/>
  <c r="S218" i="14704"/>
  <c r="Q218" i="14704"/>
  <c r="J218" i="14704"/>
  <c r="I218" i="14704"/>
  <c r="E218" i="14704"/>
  <c r="H218" i="14704"/>
  <c r="V218" i="14704"/>
  <c r="F218" i="14704"/>
  <c r="L218" i="14704"/>
  <c r="K218" i="14704"/>
  <c r="R218" i="14704"/>
  <c r="Y218" i="14704"/>
  <c r="T218" i="14704"/>
  <c r="M218" i="14704"/>
  <c r="I25" i="14683"/>
  <c r="I19" i="14683"/>
  <c r="I26" i="14683"/>
  <c r="I21" i="14683"/>
  <c r="I20" i="14683"/>
  <c r="I22" i="14683"/>
  <c r="I24" i="14683"/>
  <c r="I23" i="14683"/>
  <c r="I27" i="14707"/>
  <c r="I26" i="14707"/>
  <c r="I28" i="14707"/>
  <c r="I29" i="14707"/>
  <c r="I30" i="14707"/>
  <c r="I25" i="14707"/>
  <c r="I24" i="14707"/>
  <c r="I31" i="14707"/>
  <c r="O25" i="14679" a="1"/>
  <c r="O25" i="14679" s="1"/>
  <c r="M23" i="14679" a="1"/>
  <c r="M23" i="14679" s="1"/>
  <c r="P26" i="14679" a="1"/>
  <c r="P26" i="14679" s="1"/>
  <c r="L22" i="14679" a="1"/>
  <c r="L22" i="14679" s="1"/>
  <c r="K21" i="14679" a="1"/>
  <c r="K21" i="14679" s="1"/>
  <c r="N24" i="14679" a="1"/>
  <c r="N24" i="14679" s="1"/>
  <c r="J20" i="14679" a="1"/>
  <c r="J20" i="14679" s="1"/>
  <c r="J15" i="14679"/>
  <c r="F23" i="14679" a="1"/>
  <c r="F23" i="14679" s="1"/>
  <c r="G24" i="14679" a="1"/>
  <c r="G24" i="14679" s="1"/>
  <c r="E22" i="14679" a="1"/>
  <c r="E22" i="14679" s="1"/>
  <c r="D21" i="14679" a="1"/>
  <c r="D21" i="14679" s="1"/>
  <c r="H25" i="14679" a="1"/>
  <c r="H25" i="14679" s="1"/>
  <c r="C15" i="14679"/>
  <c r="I26" i="14679" a="1"/>
  <c r="I26" i="14679" s="1"/>
  <c r="C20" i="14679" a="1"/>
  <c r="C20" i="14679" s="1"/>
  <c r="N22" i="14679" a="1"/>
  <c r="N22" i="14679" s="1"/>
  <c r="M21" i="14679" a="1"/>
  <c r="M21" i="14679" s="1"/>
  <c r="O23" i="14679" a="1"/>
  <c r="O23" i="14679" s="1"/>
  <c r="Q25" i="14679" a="1"/>
  <c r="Q25" i="14679" s="1"/>
  <c r="P24" i="14679" a="1"/>
  <c r="P24" i="14679" s="1"/>
  <c r="L15" i="14679"/>
  <c r="L20" i="14679" a="1"/>
  <c r="L20" i="14679" s="1"/>
  <c r="R26" i="14679" a="1"/>
  <c r="R26" i="14679" s="1"/>
  <c r="N13" i="14679"/>
  <c r="F20" i="14679" a="1"/>
  <c r="F20" i="14679" s="1"/>
  <c r="H22" i="14679" a="1"/>
  <c r="H22" i="14679" s="1"/>
  <c r="K25" i="14679" a="1"/>
  <c r="K25" i="14679" s="1"/>
  <c r="J24" i="14679" a="1"/>
  <c r="J24" i="14679" s="1"/>
  <c r="G21" i="14679" a="1"/>
  <c r="G21" i="14679" s="1"/>
  <c r="F15" i="14679"/>
  <c r="L26" i="14679" a="1"/>
  <c r="L26" i="14679" s="1"/>
  <c r="I23" i="14679" a="1"/>
  <c r="I23" i="14679" s="1"/>
  <c r="N8" i="14679"/>
  <c r="N48" i="14648"/>
  <c r="E48" i="14648"/>
  <c r="M48" i="14648"/>
  <c r="F48" i="14648"/>
  <c r="L48" i="14648"/>
  <c r="K48" i="14648"/>
  <c r="G48" i="14648"/>
  <c r="H48" i="14648"/>
  <c r="C48" i="14648"/>
  <c r="D48" i="14648"/>
  <c r="J48" i="14648"/>
  <c r="I48" i="14648"/>
  <c r="J5" i="14617" a="1"/>
  <c r="J6" i="14617" s="1"/>
  <c r="C48" i="14667" l="1"/>
  <c r="B53" i="14667"/>
  <c r="C19" i="14667"/>
  <c r="C18" i="14667"/>
  <c r="C11" i="14667"/>
  <c r="C6" i="14667"/>
  <c r="C17" i="14667"/>
  <c r="C8" i="14667"/>
  <c r="C10" i="14667"/>
  <c r="C16" i="14667"/>
  <c r="C15" i="14667"/>
  <c r="C9" i="14667"/>
  <c r="C7" i="14667"/>
  <c r="C14" i="14667"/>
  <c r="C21" i="14667"/>
  <c r="C5" i="14667"/>
  <c r="C13" i="14667"/>
  <c r="C20" i="14667"/>
  <c r="C24" i="14706"/>
  <c r="C47" i="14706"/>
  <c r="D16" i="4128"/>
  <c r="J15" i="14667"/>
  <c r="L34" i="14706"/>
  <c r="N35" i="14706"/>
  <c r="N34" i="14706" s="1"/>
  <c r="L32" i="14667"/>
  <c r="N33" i="14667"/>
  <c r="N32" i="14667" s="1"/>
  <c r="K42" i="14674"/>
  <c r="H42" i="14674"/>
  <c r="N42" i="14674"/>
  <c r="E42" i="14674"/>
  <c r="D11" i="14639"/>
  <c r="F11" i="14639"/>
  <c r="H11" i="14639"/>
  <c r="J11" i="14639"/>
  <c r="L11" i="14639"/>
  <c r="N11" i="14639"/>
  <c r="C11" i="14639"/>
  <c r="E11" i="14639"/>
  <c r="G11" i="14639"/>
  <c r="I11" i="14639"/>
  <c r="K11" i="14639"/>
  <c r="M11" i="14639"/>
  <c r="O11" i="14639"/>
  <c r="C49" i="14702"/>
  <c r="N143" i="14702"/>
  <c r="M143" i="14702"/>
  <c r="Y143" i="14702"/>
  <c r="W143" i="14702"/>
  <c r="T143" i="14702"/>
  <c r="B143" i="14702"/>
  <c r="F49" i="14702"/>
  <c r="K49" i="14702"/>
  <c r="L49" i="14702"/>
  <c r="E49" i="14702"/>
  <c r="I49" i="14702"/>
  <c r="V143" i="14702"/>
  <c r="I143" i="14702"/>
  <c r="O143" i="14702"/>
  <c r="J143" i="14702"/>
  <c r="S143" i="14702"/>
  <c r="R143" i="14702"/>
  <c r="R104" i="14701"/>
  <c r="H49" i="14702"/>
  <c r="B49" i="14702"/>
  <c r="M49" i="14702"/>
  <c r="J49" i="14702"/>
  <c r="G49" i="14702"/>
  <c r="P143" i="14702"/>
  <c r="E143" i="14702"/>
  <c r="K143" i="14702"/>
  <c r="H143" i="14702"/>
  <c r="D143" i="14702"/>
  <c r="U143" i="14702"/>
  <c r="Q143" i="14702"/>
  <c r="G143" i="14702"/>
  <c r="F143" i="14702"/>
  <c r="X143" i="14702"/>
  <c r="L143" i="14702"/>
  <c r="I61" i="14704"/>
  <c r="D61" i="14704"/>
  <c r="J61" i="14704"/>
  <c r="M61" i="14704"/>
  <c r="H61" i="14704"/>
  <c r="C61" i="14704"/>
  <c r="L61" i="14704"/>
  <c r="K61" i="14704"/>
  <c r="E61" i="14704"/>
  <c r="F61" i="14704"/>
  <c r="B61" i="14704"/>
  <c r="G61" i="14704"/>
  <c r="D13" i="14690" a="1"/>
  <c r="D13" i="14690" s="1"/>
  <c r="B125" i="14702"/>
  <c r="W125" i="14702"/>
  <c r="R125" i="14702"/>
  <c r="X125" i="14702"/>
  <c r="F125" i="14702"/>
  <c r="E125" i="14702"/>
  <c r="S125" i="14702"/>
  <c r="D125" i="14702"/>
  <c r="T125" i="14702"/>
  <c r="P125" i="14702"/>
  <c r="C125" i="14702"/>
  <c r="L125" i="14702"/>
  <c r="G125" i="14702"/>
  <c r="Q125" i="14702"/>
  <c r="N125" i="14702"/>
  <c r="I125" i="14702"/>
  <c r="J125" i="14702"/>
  <c r="Y125" i="14702"/>
  <c r="O125" i="14702"/>
  <c r="M125" i="14702"/>
  <c r="U125" i="14702"/>
  <c r="V125" i="14702"/>
  <c r="K125" i="14702"/>
  <c r="H125" i="14702"/>
  <c r="B65" i="14698" a="1"/>
  <c r="B48" i="14701" a="1"/>
  <c r="B161" i="14701" a="1"/>
  <c r="B60" i="14698" a="1"/>
  <c r="G60" i="14704"/>
  <c r="D60" i="14704"/>
  <c r="L60" i="14704"/>
  <c r="K60" i="14704"/>
  <c r="F60" i="14704"/>
  <c r="C60" i="14704"/>
  <c r="H60" i="14704"/>
  <c r="M60" i="14704"/>
  <c r="J60" i="14704"/>
  <c r="E60" i="14704"/>
  <c r="B60" i="14704"/>
  <c r="I60" i="14704"/>
  <c r="C62" i="14704"/>
  <c r="M62" i="14704"/>
  <c r="H62" i="14704"/>
  <c r="K62" i="14704"/>
  <c r="E62" i="14704"/>
  <c r="F62" i="14704"/>
  <c r="D62" i="14704"/>
  <c r="I62" i="14704"/>
  <c r="L62" i="14704"/>
  <c r="B62" i="14704"/>
  <c r="G62" i="14704"/>
  <c r="J62" i="14704"/>
  <c r="G143" i="14700"/>
  <c r="T143" i="14700"/>
  <c r="L143" i="14700"/>
  <c r="V143" i="14700"/>
  <c r="U143" i="14700"/>
  <c r="X143" i="14700"/>
  <c r="R143" i="14700"/>
  <c r="N143" i="14700"/>
  <c r="K143" i="14700"/>
  <c r="J143" i="14700"/>
  <c r="Y143" i="14700"/>
  <c r="S143" i="14700"/>
  <c r="H143" i="14700"/>
  <c r="M143" i="14700"/>
  <c r="O143" i="14700"/>
  <c r="B143" i="14700"/>
  <c r="D143" i="14700"/>
  <c r="F143" i="14700"/>
  <c r="I143" i="14700"/>
  <c r="E143" i="14700"/>
  <c r="W143" i="14700"/>
  <c r="Q143" i="14700"/>
  <c r="P143" i="14700"/>
  <c r="C143" i="14700"/>
  <c r="T104" i="14701"/>
  <c r="Y104" i="14701"/>
  <c r="W161" i="14700"/>
  <c r="Y161" i="14700"/>
  <c r="R161" i="14700"/>
  <c r="P161" i="14700"/>
  <c r="F161" i="14700"/>
  <c r="L161" i="14700"/>
  <c r="M161" i="14700"/>
  <c r="C161" i="14700"/>
  <c r="Q161" i="14700"/>
  <c r="N161" i="14700"/>
  <c r="V161" i="14700"/>
  <c r="D161" i="14700"/>
  <c r="X161" i="14700"/>
  <c r="O161" i="14700"/>
  <c r="I161" i="14700"/>
  <c r="J161" i="14700"/>
  <c r="E161" i="14700"/>
  <c r="H161" i="14700"/>
  <c r="G161" i="14700"/>
  <c r="U161" i="14700"/>
  <c r="B161" i="14700"/>
  <c r="K161" i="14700"/>
  <c r="T161" i="14700"/>
  <c r="S161" i="14700"/>
  <c r="F49" i="14700"/>
  <c r="D49" i="14700"/>
  <c r="M49" i="14700"/>
  <c r="I49" i="14700"/>
  <c r="H49" i="14700"/>
  <c r="B49" i="14700"/>
  <c r="E49" i="14700"/>
  <c r="K49" i="14700"/>
  <c r="G49" i="14700"/>
  <c r="L49" i="14700"/>
  <c r="C49" i="14700"/>
  <c r="J49" i="14700"/>
  <c r="B66" i="14698" a="1"/>
  <c r="M65" i="14704"/>
  <c r="J65" i="14704"/>
  <c r="D65" i="14704"/>
  <c r="L65" i="14704"/>
  <c r="H65" i="14704"/>
  <c r="G65" i="14704"/>
  <c r="E65" i="14704"/>
  <c r="C65" i="14704"/>
  <c r="B65" i="14704"/>
  <c r="F65" i="14704"/>
  <c r="K65" i="14704"/>
  <c r="I65" i="14704"/>
  <c r="N49" i="14698"/>
  <c r="E53" i="14702"/>
  <c r="B53" i="14702"/>
  <c r="I53" i="14702"/>
  <c r="J53" i="14702"/>
  <c r="H53" i="14702"/>
  <c r="K53" i="14702"/>
  <c r="G53" i="14702"/>
  <c r="L53" i="14702"/>
  <c r="C53" i="14702"/>
  <c r="M53" i="14702"/>
  <c r="D53" i="14702"/>
  <c r="F53" i="14702"/>
  <c r="B52" i="14702"/>
  <c r="M52" i="14702"/>
  <c r="J52" i="14702"/>
  <c r="D52" i="14702"/>
  <c r="K52" i="14702"/>
  <c r="L52" i="14702"/>
  <c r="C52" i="14702"/>
  <c r="H52" i="14702"/>
  <c r="I52" i="14702"/>
  <c r="G52" i="14702"/>
  <c r="E52" i="14702"/>
  <c r="F52" i="14702"/>
  <c r="V104" i="14701"/>
  <c r="U104" i="14701"/>
  <c r="B61" i="14698" a="1"/>
  <c r="F47" i="14702"/>
  <c r="D47" i="14702"/>
  <c r="C47" i="14702"/>
  <c r="J47" i="14702"/>
  <c r="M47" i="14702"/>
  <c r="G47" i="14702"/>
  <c r="L47" i="14702"/>
  <c r="E47" i="14702"/>
  <c r="K47" i="14702"/>
  <c r="I47" i="14702"/>
  <c r="H47" i="14702"/>
  <c r="B47" i="14702"/>
  <c r="N52" i="14698"/>
  <c r="G54" i="14698"/>
  <c r="K54" i="14698"/>
  <c r="F54" i="14698"/>
  <c r="L54" i="14698"/>
  <c r="E54" i="14698"/>
  <c r="D54" i="14698"/>
  <c r="I46" i="14700"/>
  <c r="M46" i="14700"/>
  <c r="L46" i="14700"/>
  <c r="E46" i="14700"/>
  <c r="F46" i="14700"/>
  <c r="D46" i="14700"/>
  <c r="C46" i="14700"/>
  <c r="H46" i="14700"/>
  <c r="J46" i="14700"/>
  <c r="K46" i="14700"/>
  <c r="G46" i="14700"/>
  <c r="B46" i="14700"/>
  <c r="P215" i="14700"/>
  <c r="U215" i="14700"/>
  <c r="N215" i="14700"/>
  <c r="Y215" i="14700"/>
  <c r="Q215" i="14700"/>
  <c r="M215" i="14700"/>
  <c r="K215" i="14700"/>
  <c r="I215" i="14700"/>
  <c r="C215" i="14700"/>
  <c r="O215" i="14700"/>
  <c r="H215" i="14700"/>
  <c r="R215" i="14700"/>
  <c r="G215" i="14700"/>
  <c r="W215" i="14700"/>
  <c r="L215" i="14700"/>
  <c r="V215" i="14700"/>
  <c r="J215" i="14700"/>
  <c r="X215" i="14700"/>
  <c r="E215" i="14700"/>
  <c r="T215" i="14700"/>
  <c r="B215" i="14700"/>
  <c r="F215" i="14700"/>
  <c r="S215" i="14700"/>
  <c r="D215" i="14700"/>
  <c r="F53" i="14700"/>
  <c r="I53" i="14700"/>
  <c r="G53" i="14700"/>
  <c r="H53" i="14700"/>
  <c r="B53" i="14700"/>
  <c r="E53" i="14700"/>
  <c r="K53" i="14700"/>
  <c r="C53" i="14700"/>
  <c r="J53" i="14700"/>
  <c r="M53" i="14700"/>
  <c r="L53" i="14700"/>
  <c r="D53" i="14700"/>
  <c r="H51" i="14702"/>
  <c r="B51" i="14702"/>
  <c r="M51" i="14702"/>
  <c r="E51" i="14702"/>
  <c r="C51" i="14702"/>
  <c r="K51" i="14702"/>
  <c r="F51" i="14702"/>
  <c r="D51" i="14702"/>
  <c r="G51" i="14702"/>
  <c r="J51" i="14702"/>
  <c r="L51" i="14702"/>
  <c r="I51" i="14702"/>
  <c r="B51" i="14701" a="1"/>
  <c r="B215" i="14701" a="1"/>
  <c r="C197" i="14700"/>
  <c r="B197" i="14700"/>
  <c r="P197" i="14700"/>
  <c r="Q197" i="14700"/>
  <c r="I197" i="14700"/>
  <c r="N197" i="14700"/>
  <c r="U197" i="14700"/>
  <c r="V197" i="14700"/>
  <c r="K197" i="14700"/>
  <c r="X197" i="14700"/>
  <c r="H197" i="14700"/>
  <c r="S197" i="14700"/>
  <c r="L197" i="14700"/>
  <c r="E197" i="14700"/>
  <c r="T197" i="14700"/>
  <c r="W197" i="14700"/>
  <c r="G197" i="14700"/>
  <c r="J197" i="14700"/>
  <c r="D197" i="14700"/>
  <c r="M197" i="14700"/>
  <c r="O197" i="14700"/>
  <c r="F197" i="14700"/>
  <c r="R197" i="14700"/>
  <c r="Y197" i="14700"/>
  <c r="L50" i="14702"/>
  <c r="F50" i="14702"/>
  <c r="M50" i="14702"/>
  <c r="D50" i="14702"/>
  <c r="J50" i="14702"/>
  <c r="G50" i="14702"/>
  <c r="B50" i="14702"/>
  <c r="H50" i="14702"/>
  <c r="C50" i="14702"/>
  <c r="I50" i="14702"/>
  <c r="K50" i="14702"/>
  <c r="E50" i="14702"/>
  <c r="S104" i="14701"/>
  <c r="B63" i="14698" a="1"/>
  <c r="T233" i="14700"/>
  <c r="B233" i="14700"/>
  <c r="E233" i="14700"/>
  <c r="S233" i="14700"/>
  <c r="F233" i="14700"/>
  <c r="J233" i="14700"/>
  <c r="X233" i="14700"/>
  <c r="O233" i="14700"/>
  <c r="R233" i="14700"/>
  <c r="G233" i="14700"/>
  <c r="I233" i="14700"/>
  <c r="Q233" i="14700"/>
  <c r="Y233" i="14700"/>
  <c r="W233" i="14700"/>
  <c r="M233" i="14700"/>
  <c r="D233" i="14700"/>
  <c r="C233" i="14700"/>
  <c r="N233" i="14700"/>
  <c r="K233" i="14700"/>
  <c r="H233" i="14700"/>
  <c r="L233" i="14700"/>
  <c r="V233" i="14700"/>
  <c r="P233" i="14700"/>
  <c r="U233" i="14700"/>
  <c r="B143" i="14701" a="1"/>
  <c r="B47" i="14701" a="1"/>
  <c r="B62" i="14698" a="1"/>
  <c r="B64" i="14698" a="1"/>
  <c r="J64" i="14704"/>
  <c r="I64" i="14704"/>
  <c r="M64" i="14704"/>
  <c r="E64" i="14704"/>
  <c r="F64" i="14704"/>
  <c r="G64" i="14704"/>
  <c r="B64" i="14704"/>
  <c r="C64" i="14704"/>
  <c r="H64" i="14704"/>
  <c r="D64" i="14704"/>
  <c r="K64" i="14704"/>
  <c r="L64" i="14704"/>
  <c r="N48" i="14698"/>
  <c r="H13" i="14690"/>
  <c r="B14" i="14693" a="1"/>
  <c r="D14" i="14693" s="1"/>
  <c r="D20" i="14693" s="1"/>
  <c r="B7" i="14693" a="1"/>
  <c r="B7" i="14693" s="1"/>
  <c r="B12" i="14693" s="1"/>
  <c r="B125" i="14701" a="1"/>
  <c r="B46" i="14701" a="1"/>
  <c r="H63" i="14704"/>
  <c r="L63" i="14704"/>
  <c r="M63" i="14704"/>
  <c r="C63" i="14704"/>
  <c r="B63" i="14704"/>
  <c r="K63" i="14704"/>
  <c r="F63" i="14704"/>
  <c r="J63" i="14704"/>
  <c r="I63" i="14704"/>
  <c r="D63" i="14704"/>
  <c r="G63" i="14704"/>
  <c r="E63" i="14704"/>
  <c r="B59" i="14698" a="1"/>
  <c r="B68" i="14698"/>
  <c r="N54" i="14704"/>
  <c r="B138" i="14707" a="1"/>
  <c r="L46" i="14702"/>
  <c r="H46" i="14702"/>
  <c r="J46" i="14702"/>
  <c r="B46" i="14702"/>
  <c r="G46" i="14702"/>
  <c r="M46" i="14702"/>
  <c r="D46" i="14702"/>
  <c r="C46" i="14702"/>
  <c r="F46" i="14702"/>
  <c r="I46" i="14702"/>
  <c r="K46" i="14702"/>
  <c r="E46" i="14702"/>
  <c r="E47" i="14700"/>
  <c r="H47" i="14700"/>
  <c r="F47" i="14700"/>
  <c r="C47" i="14700"/>
  <c r="K47" i="14700"/>
  <c r="G47" i="14700"/>
  <c r="D47" i="14700"/>
  <c r="L47" i="14700"/>
  <c r="J47" i="14700"/>
  <c r="B47" i="14700"/>
  <c r="I47" i="14700"/>
  <c r="M47" i="14700"/>
  <c r="W104" i="14701"/>
  <c r="N50" i="14698"/>
  <c r="M48" i="14700"/>
  <c r="C48" i="14700"/>
  <c r="E48" i="14700"/>
  <c r="J48" i="14700"/>
  <c r="L48" i="14700"/>
  <c r="K48" i="14700"/>
  <c r="G48" i="14700"/>
  <c r="H48" i="14700"/>
  <c r="B48" i="14700"/>
  <c r="D48" i="14700"/>
  <c r="F48" i="14700"/>
  <c r="I48" i="14700"/>
  <c r="X179" i="14700"/>
  <c r="K179" i="14700"/>
  <c r="S179" i="14700"/>
  <c r="B179" i="14700"/>
  <c r="M179" i="14700"/>
  <c r="E179" i="14700"/>
  <c r="W179" i="14700"/>
  <c r="O179" i="14700"/>
  <c r="H179" i="14700"/>
  <c r="D179" i="14700"/>
  <c r="I179" i="14700"/>
  <c r="V179" i="14700"/>
  <c r="F179" i="14700"/>
  <c r="U179" i="14700"/>
  <c r="Y179" i="14700"/>
  <c r="P179" i="14700"/>
  <c r="G179" i="14700"/>
  <c r="Q179" i="14700"/>
  <c r="N179" i="14700"/>
  <c r="J179" i="14700"/>
  <c r="T179" i="14700"/>
  <c r="L179" i="14700"/>
  <c r="C179" i="14700"/>
  <c r="R179" i="14700"/>
  <c r="J59" i="14704"/>
  <c r="D59" i="14704"/>
  <c r="B59" i="14704"/>
  <c r="I59" i="14704"/>
  <c r="H59" i="14704"/>
  <c r="E59" i="14704"/>
  <c r="L59" i="14704"/>
  <c r="G59" i="14704"/>
  <c r="M59" i="14704"/>
  <c r="C59" i="14704"/>
  <c r="F59" i="14704"/>
  <c r="K59" i="14704"/>
  <c r="O251" i="14702"/>
  <c r="D251" i="14702"/>
  <c r="S251" i="14702"/>
  <c r="L251" i="14702"/>
  <c r="G251" i="14702"/>
  <c r="C251" i="14702"/>
  <c r="B251" i="14702"/>
  <c r="I251" i="14702"/>
  <c r="P251" i="14702"/>
  <c r="E251" i="14702"/>
  <c r="J251" i="14702"/>
  <c r="R251" i="14702"/>
  <c r="Q251" i="14702"/>
  <c r="X251" i="14702"/>
  <c r="N251" i="14702"/>
  <c r="F251" i="14702"/>
  <c r="H251" i="14702"/>
  <c r="V251" i="14702"/>
  <c r="M251" i="14702"/>
  <c r="W251" i="14702"/>
  <c r="Y251" i="14702"/>
  <c r="K251" i="14702"/>
  <c r="U251" i="14702"/>
  <c r="T251" i="14702"/>
  <c r="N51" i="14698"/>
  <c r="F233" i="14702"/>
  <c r="J233" i="14702"/>
  <c r="V233" i="14702"/>
  <c r="E233" i="14702"/>
  <c r="C233" i="14702"/>
  <c r="N233" i="14702"/>
  <c r="H233" i="14702"/>
  <c r="I233" i="14702"/>
  <c r="W233" i="14702"/>
  <c r="K233" i="14702"/>
  <c r="X233" i="14702"/>
  <c r="L233" i="14702"/>
  <c r="B233" i="14702"/>
  <c r="Q233" i="14702"/>
  <c r="D233" i="14702"/>
  <c r="O233" i="14702"/>
  <c r="P233" i="14702"/>
  <c r="Y233" i="14702"/>
  <c r="T233" i="14702"/>
  <c r="M233" i="14702"/>
  <c r="G233" i="14702"/>
  <c r="U233" i="14702"/>
  <c r="R233" i="14702"/>
  <c r="S233" i="14702"/>
  <c r="X104" i="14701"/>
  <c r="V179" i="14702"/>
  <c r="M179" i="14702"/>
  <c r="X179" i="14702"/>
  <c r="E179" i="14702"/>
  <c r="Q179" i="14702"/>
  <c r="N179" i="14702"/>
  <c r="Y179" i="14702"/>
  <c r="J179" i="14702"/>
  <c r="T179" i="14702"/>
  <c r="I179" i="14702"/>
  <c r="U179" i="14702"/>
  <c r="C179" i="14702"/>
  <c r="G179" i="14702"/>
  <c r="D179" i="14702"/>
  <c r="F179" i="14702"/>
  <c r="K179" i="14702"/>
  <c r="L179" i="14702"/>
  <c r="S179" i="14702"/>
  <c r="W179" i="14702"/>
  <c r="P179" i="14702"/>
  <c r="R179" i="14702"/>
  <c r="H179" i="14702"/>
  <c r="O179" i="14702"/>
  <c r="B179" i="14702"/>
  <c r="K161" i="14702"/>
  <c r="Y161" i="14702"/>
  <c r="E161" i="14702"/>
  <c r="J161" i="14702"/>
  <c r="V161" i="14702"/>
  <c r="G161" i="14702"/>
  <c r="H161" i="14702"/>
  <c r="S161" i="14702"/>
  <c r="D161" i="14702"/>
  <c r="T161" i="14702"/>
  <c r="R161" i="14702"/>
  <c r="O161" i="14702"/>
  <c r="Q161" i="14702"/>
  <c r="I161" i="14702"/>
  <c r="P161" i="14702"/>
  <c r="N161" i="14702"/>
  <c r="B161" i="14702"/>
  <c r="F161" i="14702"/>
  <c r="C161" i="14702"/>
  <c r="L161" i="14702"/>
  <c r="M161" i="14702"/>
  <c r="U161" i="14702"/>
  <c r="X161" i="14702"/>
  <c r="W161" i="14702"/>
  <c r="F100" i="14643"/>
  <c r="B53" i="14701" a="1"/>
  <c r="B251" i="14701" a="1"/>
  <c r="B54" i="14698"/>
  <c r="N46" i="14698"/>
  <c r="H54" i="14698"/>
  <c r="C54" i="14698"/>
  <c r="I54" i="14698"/>
  <c r="M54" i="14698"/>
  <c r="J54" i="14698"/>
  <c r="N47" i="14698"/>
  <c r="L125" i="14700"/>
  <c r="F125" i="14700"/>
  <c r="N125" i="14700"/>
  <c r="J125" i="14700"/>
  <c r="O125" i="14700"/>
  <c r="H125" i="14700"/>
  <c r="X125" i="14700"/>
  <c r="I125" i="14700"/>
  <c r="E125" i="14700"/>
  <c r="D125" i="14700"/>
  <c r="K125" i="14700"/>
  <c r="P125" i="14700"/>
  <c r="R125" i="14700"/>
  <c r="G125" i="14700"/>
  <c r="M125" i="14700"/>
  <c r="C125" i="14700"/>
  <c r="W125" i="14700"/>
  <c r="V125" i="14700"/>
  <c r="Y125" i="14700"/>
  <c r="S125" i="14700"/>
  <c r="B125" i="14700"/>
  <c r="Q125" i="14700"/>
  <c r="T125" i="14700"/>
  <c r="U125" i="14700"/>
  <c r="E51" i="14700"/>
  <c r="F51" i="14700"/>
  <c r="B51" i="14700"/>
  <c r="J51" i="14700"/>
  <c r="M51" i="14700"/>
  <c r="K51" i="14700"/>
  <c r="C51" i="14700"/>
  <c r="H51" i="14700"/>
  <c r="I51" i="14700"/>
  <c r="L51" i="14700"/>
  <c r="G51" i="14700"/>
  <c r="D51" i="14700"/>
  <c r="B49" i="14701" a="1"/>
  <c r="B179" i="14701" a="1"/>
  <c r="R251" i="14700"/>
  <c r="Y251" i="14700"/>
  <c r="P251" i="14700"/>
  <c r="G251" i="14700"/>
  <c r="Q251" i="14700"/>
  <c r="B251" i="14700"/>
  <c r="I251" i="14700"/>
  <c r="O251" i="14700"/>
  <c r="F251" i="14700"/>
  <c r="T251" i="14700"/>
  <c r="D251" i="14700"/>
  <c r="V251" i="14700"/>
  <c r="C251" i="14700"/>
  <c r="M251" i="14700"/>
  <c r="K251" i="14700"/>
  <c r="L251" i="14700"/>
  <c r="X251" i="14700"/>
  <c r="U251" i="14700"/>
  <c r="N251" i="14700"/>
  <c r="S251" i="14700"/>
  <c r="E251" i="14700"/>
  <c r="W251" i="14700"/>
  <c r="J251" i="14700"/>
  <c r="H251" i="14700"/>
  <c r="P215" i="14702"/>
  <c r="C215" i="14702"/>
  <c r="X215" i="14702"/>
  <c r="B215" i="14702"/>
  <c r="H215" i="14702"/>
  <c r="O215" i="14702"/>
  <c r="M215" i="14702"/>
  <c r="E215" i="14702"/>
  <c r="L215" i="14702"/>
  <c r="Y215" i="14702"/>
  <c r="R215" i="14702"/>
  <c r="I215" i="14702"/>
  <c r="J215" i="14702"/>
  <c r="N215" i="14702"/>
  <c r="G215" i="14702"/>
  <c r="D215" i="14702"/>
  <c r="U215" i="14702"/>
  <c r="W215" i="14702"/>
  <c r="V215" i="14702"/>
  <c r="F215" i="14702"/>
  <c r="Q215" i="14702"/>
  <c r="K215" i="14702"/>
  <c r="S215" i="14702"/>
  <c r="T215" i="14702"/>
  <c r="B50" i="14700"/>
  <c r="D50" i="14700"/>
  <c r="K50" i="14700"/>
  <c r="J50" i="14700"/>
  <c r="G50" i="14700"/>
  <c r="E50" i="14700"/>
  <c r="C50" i="14700"/>
  <c r="F50" i="14700"/>
  <c r="H50" i="14700"/>
  <c r="L50" i="14700"/>
  <c r="I50" i="14700"/>
  <c r="M50" i="14700"/>
  <c r="L197" i="14702"/>
  <c r="D197" i="14702"/>
  <c r="J197" i="14702"/>
  <c r="W197" i="14702"/>
  <c r="G197" i="14702"/>
  <c r="C197" i="14702"/>
  <c r="O197" i="14702"/>
  <c r="V197" i="14702"/>
  <c r="M197" i="14702"/>
  <c r="K197" i="14702"/>
  <c r="T197" i="14702"/>
  <c r="N197" i="14702"/>
  <c r="F197" i="14702"/>
  <c r="Q197" i="14702"/>
  <c r="Y197" i="14702"/>
  <c r="S197" i="14702"/>
  <c r="X197" i="14702"/>
  <c r="B197" i="14702"/>
  <c r="I197" i="14702"/>
  <c r="P197" i="14702"/>
  <c r="R197" i="14702"/>
  <c r="U197" i="14702"/>
  <c r="H197" i="14702"/>
  <c r="E197" i="14702"/>
  <c r="B197" i="14701" a="1"/>
  <c r="B50" i="14701" a="1"/>
  <c r="D66" i="14704"/>
  <c r="C66" i="14704"/>
  <c r="H66" i="14704"/>
  <c r="M66" i="14704"/>
  <c r="L66" i="14704"/>
  <c r="I66" i="14704"/>
  <c r="K66" i="14704"/>
  <c r="G66" i="14704"/>
  <c r="F66" i="14704"/>
  <c r="B66" i="14704"/>
  <c r="J66" i="14704"/>
  <c r="E66" i="14704"/>
  <c r="Q104" i="14701"/>
  <c r="N53" i="14698"/>
  <c r="I52" i="14700"/>
  <c r="B52" i="14700"/>
  <c r="H52" i="14700"/>
  <c r="D52" i="14700"/>
  <c r="F52" i="14700"/>
  <c r="J52" i="14700"/>
  <c r="M52" i="14700"/>
  <c r="L52" i="14700"/>
  <c r="G52" i="14700"/>
  <c r="K52" i="14700"/>
  <c r="C52" i="14700"/>
  <c r="E52" i="14700"/>
  <c r="B52" i="14701" a="1"/>
  <c r="B233" i="14701" a="1"/>
  <c r="P104" i="14701"/>
  <c r="J48" i="14702"/>
  <c r="D48" i="14702"/>
  <c r="G48" i="14702"/>
  <c r="I48" i="14702"/>
  <c r="E48" i="14702"/>
  <c r="M48" i="14702"/>
  <c r="C48" i="14702"/>
  <c r="B48" i="14702"/>
  <c r="H48" i="14702"/>
  <c r="L48" i="14702"/>
  <c r="K48" i="14702"/>
  <c r="F48" i="14702"/>
  <c r="I40" i="14669"/>
  <c r="E40" i="14669"/>
  <c r="F40" i="14669"/>
  <c r="C40" i="14669"/>
  <c r="B40" i="14669"/>
  <c r="J40" i="14669"/>
  <c r="D40" i="14669"/>
  <c r="L40" i="14669"/>
  <c r="G40" i="14669"/>
  <c r="M40" i="14669"/>
  <c r="H40" i="14669"/>
  <c r="G11" i="14657"/>
  <c r="C7" i="14693"/>
  <c r="C12" i="14693" s="1"/>
  <c r="A56" i="14649"/>
  <c r="A57" i="14649"/>
  <c r="A60" i="14649"/>
  <c r="A59" i="14649"/>
  <c r="A58" i="14649"/>
  <c r="B74" i="14649"/>
  <c r="B78" i="14649"/>
  <c r="B76" i="14649"/>
  <c r="B75" i="14649"/>
  <c r="B77" i="14649"/>
  <c r="B92" i="14649"/>
  <c r="B96" i="14649"/>
  <c r="B95" i="14649"/>
  <c r="B94" i="14649"/>
  <c r="B93" i="14649"/>
  <c r="E7" i="14693"/>
  <c r="E12" i="14693" s="1"/>
  <c r="E14" i="14693"/>
  <c r="E20" i="14693" s="1"/>
  <c r="F7" i="14693"/>
  <c r="F12" i="14693" s="1"/>
  <c r="B83" i="14649"/>
  <c r="B86" i="14649"/>
  <c r="B85" i="14649"/>
  <c r="B87" i="14649"/>
  <c r="B84" i="14649"/>
  <c r="A70" i="14684"/>
  <c r="A74" i="14684"/>
  <c r="A73" i="14684"/>
  <c r="A72" i="14684"/>
  <c r="A71" i="14684"/>
  <c r="A63" i="14684"/>
  <c r="A67" i="14684"/>
  <c r="A66" i="14684"/>
  <c r="A65" i="14684"/>
  <c r="A64" i="14684"/>
  <c r="L5" i="14628"/>
  <c r="C5" i="14628"/>
  <c r="N5" i="14628"/>
  <c r="J5" i="14628"/>
  <c r="K5" i="14628"/>
  <c r="D5" i="14628"/>
  <c r="E5" i="14628"/>
  <c r="M5" i="14628"/>
  <c r="G5" i="14628"/>
  <c r="F5" i="14628"/>
  <c r="I5" i="14628"/>
  <c r="H5" i="14628"/>
  <c r="G53" i="14623" a="1"/>
  <c r="G53" i="14623" s="1"/>
  <c r="E51" i="14623" a="1"/>
  <c r="E51" i="14623" s="1"/>
  <c r="F52" i="14623" a="1"/>
  <c r="F52" i="14623" s="1"/>
  <c r="B43" i="14623"/>
  <c r="C49" i="14623" a="1"/>
  <c r="C49" i="14623" s="1"/>
  <c r="N35" i="14623"/>
  <c r="B48" i="14623" a="1"/>
  <c r="B48" i="14623" s="1"/>
  <c r="B55" i="14623" s="1"/>
  <c r="D50" i="14623" a="1"/>
  <c r="D50" i="14623" s="1"/>
  <c r="H54" i="14623" a="1"/>
  <c r="H54" i="14623" s="1"/>
  <c r="N37" i="14623"/>
  <c r="N54" i="14623" a="1"/>
  <c r="N54" i="14623" s="1"/>
  <c r="K51" i="14623" a="1"/>
  <c r="K51" i="14623" s="1"/>
  <c r="L52" i="14623" a="1"/>
  <c r="L52" i="14623" s="1"/>
  <c r="H43" i="14623"/>
  <c r="M53" i="14623" a="1"/>
  <c r="M53" i="14623" s="1"/>
  <c r="J50" i="14623" a="1"/>
  <c r="J50" i="14623" s="1"/>
  <c r="I49" i="14623" a="1"/>
  <c r="I49" i="14623" s="1"/>
  <c r="H48" i="14623" a="1"/>
  <c r="H48" i="14623" s="1"/>
  <c r="N41" i="14623"/>
  <c r="Q54" i="14623" a="1"/>
  <c r="Q54" i="14623" s="1"/>
  <c r="K48" i="14623" a="1"/>
  <c r="K48" i="14623" s="1"/>
  <c r="P53" i="14623" a="1"/>
  <c r="P53" i="14623" s="1"/>
  <c r="O52" i="14623" a="1"/>
  <c r="O52" i="14623" s="1"/>
  <c r="K43" i="14623"/>
  <c r="L49" i="14623" a="1"/>
  <c r="L49" i="14623" s="1"/>
  <c r="M50" i="14623" a="1"/>
  <c r="M50" i="14623" s="1"/>
  <c r="N51" i="14623" a="1"/>
  <c r="N51" i="14623" s="1"/>
  <c r="L50" i="14623" a="1"/>
  <c r="L50" i="14623" s="1"/>
  <c r="P54" i="14623" a="1"/>
  <c r="P54" i="14623" s="1"/>
  <c r="M51" i="14623" a="1"/>
  <c r="M51" i="14623" s="1"/>
  <c r="K49" i="14623" a="1"/>
  <c r="K49" i="14623" s="1"/>
  <c r="J48" i="14623" a="1"/>
  <c r="J48" i="14623" s="1"/>
  <c r="J43" i="14623"/>
  <c r="O53" i="14623" a="1"/>
  <c r="O53" i="14623" s="1"/>
  <c r="N52" i="14623" a="1"/>
  <c r="N52" i="14623" s="1"/>
  <c r="J54" i="14623" a="1"/>
  <c r="J54" i="14623" s="1"/>
  <c r="H52" i="14623" a="1"/>
  <c r="H52" i="14623" s="1"/>
  <c r="I53" i="14623" a="1"/>
  <c r="I53" i="14623" s="1"/>
  <c r="F50" i="14623" a="1"/>
  <c r="F50" i="14623" s="1"/>
  <c r="E49" i="14623" a="1"/>
  <c r="E49" i="14623" s="1"/>
  <c r="D43" i="14623"/>
  <c r="D48" i="14623" a="1"/>
  <c r="D48" i="14623" s="1"/>
  <c r="G51" i="14623" a="1"/>
  <c r="G51" i="14623" s="1"/>
  <c r="N36" i="14623"/>
  <c r="N38" i="14623"/>
  <c r="L53" i="14623" a="1"/>
  <c r="L53" i="14623" s="1"/>
  <c r="G43" i="14623"/>
  <c r="G48" i="14623" a="1"/>
  <c r="G48" i="14623" s="1"/>
  <c r="I50" i="14623" a="1"/>
  <c r="I50" i="14623" s="1"/>
  <c r="H49" i="14623" a="1"/>
  <c r="H49" i="14623" s="1"/>
  <c r="J51" i="14623" a="1"/>
  <c r="J51" i="14623" s="1"/>
  <c r="K52" i="14623" a="1"/>
  <c r="K52" i="14623" s="1"/>
  <c r="M54" i="14623" a="1"/>
  <c r="M54" i="14623" s="1"/>
  <c r="G49" i="14623" a="1"/>
  <c r="G49" i="14623" s="1"/>
  <c r="F48" i="14623" a="1"/>
  <c r="F48" i="14623" s="1"/>
  <c r="H50" i="14623" a="1"/>
  <c r="H50" i="14623" s="1"/>
  <c r="K53" i="14623" a="1"/>
  <c r="K53" i="14623" s="1"/>
  <c r="I51" i="14623" a="1"/>
  <c r="I51" i="14623" s="1"/>
  <c r="F43" i="14623"/>
  <c r="J52" i="14623" a="1"/>
  <c r="J52" i="14623" s="1"/>
  <c r="L54" i="14623" a="1"/>
  <c r="L54" i="14623" s="1"/>
  <c r="J53" i="14623" a="1"/>
  <c r="J53" i="14623" s="1"/>
  <c r="G50" i="14623" a="1"/>
  <c r="G50" i="14623" s="1"/>
  <c r="H51" i="14623" a="1"/>
  <c r="H51" i="14623" s="1"/>
  <c r="E48" i="14623" a="1"/>
  <c r="E48" i="14623" s="1"/>
  <c r="E43" i="14623"/>
  <c r="I52" i="14623" a="1"/>
  <c r="I52" i="14623" s="1"/>
  <c r="K54" i="14623" a="1"/>
  <c r="K54" i="14623" s="1"/>
  <c r="F49" i="14623" a="1"/>
  <c r="F49" i="14623" s="1"/>
  <c r="P52" i="14623" a="1"/>
  <c r="P52" i="14623" s="1"/>
  <c r="O51" i="14623" a="1"/>
  <c r="O51" i="14623" s="1"/>
  <c r="R54" i="14623" a="1"/>
  <c r="R54" i="14623" s="1"/>
  <c r="Q53" i="14623" a="1"/>
  <c r="Q53" i="14623" s="1"/>
  <c r="M49" i="14623" a="1"/>
  <c r="M49" i="14623" s="1"/>
  <c r="L43" i="14623"/>
  <c r="N50" i="14623" a="1"/>
  <c r="N50" i="14623" s="1"/>
  <c r="L48" i="14623" a="1"/>
  <c r="L48" i="14623" s="1"/>
  <c r="E50" i="14623" a="1"/>
  <c r="E50" i="14623" s="1"/>
  <c r="D49" i="14623" a="1"/>
  <c r="D49" i="14623" s="1"/>
  <c r="F51" i="14623" a="1"/>
  <c r="F51" i="14623" s="1"/>
  <c r="G52" i="14623" a="1"/>
  <c r="G52" i="14623" s="1"/>
  <c r="H53" i="14623" a="1"/>
  <c r="H53" i="14623" s="1"/>
  <c r="C43" i="14623"/>
  <c r="I54" i="14623" a="1"/>
  <c r="I54" i="14623" s="1"/>
  <c r="C48" i="14623" a="1"/>
  <c r="C48" i="14623" s="1"/>
  <c r="N42" i="14623"/>
  <c r="J49" i="14623" a="1"/>
  <c r="J49" i="14623" s="1"/>
  <c r="N53" i="14623" a="1"/>
  <c r="N53" i="14623" s="1"/>
  <c r="L51" i="14623" a="1"/>
  <c r="L51" i="14623" s="1"/>
  <c r="O54" i="14623" a="1"/>
  <c r="O54" i="14623" s="1"/>
  <c r="I48" i="14623" a="1"/>
  <c r="I48" i="14623" s="1"/>
  <c r="I43" i="14623"/>
  <c r="K50" i="14623" a="1"/>
  <c r="K50" i="14623" s="1"/>
  <c r="M52" i="14623" a="1"/>
  <c r="M52" i="14623" s="1"/>
  <c r="N39" i="14623"/>
  <c r="O50" i="14623" a="1"/>
  <c r="O50" i="14623" s="1"/>
  <c r="R53" i="14623" a="1"/>
  <c r="R53" i="14623" s="1"/>
  <c r="M48" i="14623" a="1"/>
  <c r="M48" i="14623" s="1"/>
  <c r="M43" i="14623"/>
  <c r="P51" i="14623" a="1"/>
  <c r="P51" i="14623" s="1"/>
  <c r="S54" i="14623" a="1"/>
  <c r="S54" i="14623" s="1"/>
  <c r="N49" i="14623" a="1"/>
  <c r="N49" i="14623" s="1"/>
  <c r="Q52" i="14623" a="1"/>
  <c r="Q52" i="14623" s="1"/>
  <c r="N40" i="14623"/>
  <c r="C27" i="14679"/>
  <c r="C28" i="14679" s="1"/>
  <c r="F27" i="14679"/>
  <c r="F28" i="14679" s="1"/>
  <c r="O7" i="14676"/>
  <c r="O48" i="14648"/>
  <c r="I27" i="14683"/>
  <c r="J19" i="14683" s="1" a="1"/>
  <c r="I49" i="14683" a="1"/>
  <c r="B47" i="14678" a="1"/>
  <c r="G57" i="14683"/>
  <c r="B47" i="14632" a="1"/>
  <c r="O41" i="14674"/>
  <c r="O42" i="14674" s="1"/>
  <c r="C42" i="14675" s="1"/>
  <c r="O6" i="14641"/>
  <c r="I27" i="14679"/>
  <c r="I28" i="14679" s="1"/>
  <c r="D27" i="14679"/>
  <c r="D28" i="14679" s="1"/>
  <c r="G27" i="14679"/>
  <c r="G28" i="14679" s="1"/>
  <c r="E27" i="14679"/>
  <c r="E28" i="14679" s="1"/>
  <c r="B27" i="14679"/>
  <c r="B28" i="14679" s="1"/>
  <c r="Q28" i="14679"/>
  <c r="R28" i="14679"/>
  <c r="P28" i="14679"/>
  <c r="N39" i="14669"/>
  <c r="N36" i="14669"/>
  <c r="L12" i="14706"/>
  <c r="L16" i="14667"/>
  <c r="O19" i="14675"/>
  <c r="D87" i="14643"/>
  <c r="J5" i="14617"/>
  <c r="L27" i="14679"/>
  <c r="L28" i="14679" s="1"/>
  <c r="J27" i="14679"/>
  <c r="J28" i="14679" s="1"/>
  <c r="I32" i="14707"/>
  <c r="J24" i="14707" s="1" a="1"/>
  <c r="H49" i="14683" a="1"/>
  <c r="N5" i="14671"/>
  <c r="B7" i="14671" a="1"/>
  <c r="H79" i="14643" a="1"/>
  <c r="B47" i="14623" a="1"/>
  <c r="N7" i="14670"/>
  <c r="B47" i="14638" a="1"/>
  <c r="L17" i="14667"/>
  <c r="J53" i="14645"/>
  <c r="J54" i="14645" s="1"/>
  <c r="L53" i="14645"/>
  <c r="L54" i="14645" s="1"/>
  <c r="K53" i="14645"/>
  <c r="K54" i="14645" s="1"/>
  <c r="C53" i="14645"/>
  <c r="C54" i="14645" s="1"/>
  <c r="H53" i="14645"/>
  <c r="H54" i="14645" s="1"/>
  <c r="G53" i="14645"/>
  <c r="G54" i="14645" s="1"/>
  <c r="B53" i="14645"/>
  <c r="E53" i="14645"/>
  <c r="E54" i="14645" s="1"/>
  <c r="F53" i="14645"/>
  <c r="F54" i="14645" s="1"/>
  <c r="M53" i="14645"/>
  <c r="D53" i="14645"/>
  <c r="D54" i="14645" s="1"/>
  <c r="I53" i="14645"/>
  <c r="I54" i="14645" s="1"/>
  <c r="C7" i="14677" a="1"/>
  <c r="L11" i="14706"/>
  <c r="C6" i="14676" a="1"/>
  <c r="C63" i="14648" a="1"/>
  <c r="H27" i="14679"/>
  <c r="H28" i="14679" s="1"/>
  <c r="K27" i="14679"/>
  <c r="K28" i="14679" s="1"/>
  <c r="N15" i="14679"/>
  <c r="M27" i="14679"/>
  <c r="M28" i="14679" s="1"/>
  <c r="N28" i="14679"/>
  <c r="O28" i="14679"/>
  <c r="N33" i="14669"/>
  <c r="N38" i="14669"/>
  <c r="N35" i="14669"/>
  <c r="N34" i="14669"/>
  <c r="N37" i="14669"/>
  <c r="N32" i="14669"/>
  <c r="C100" i="14643"/>
  <c r="G92" i="14643" a="1"/>
  <c r="L14" i="14708"/>
  <c r="L20" i="14708" s="1"/>
  <c r="O39" i="14675"/>
  <c r="C41" i="14675" a="1"/>
  <c r="I80" i="14643"/>
  <c r="I82" i="14643"/>
  <c r="I85" i="14643"/>
  <c r="H87" i="14643"/>
  <c r="G20" i="14643" s="1"/>
  <c r="I86" i="14643"/>
  <c r="I83" i="14643"/>
  <c r="I81" i="14643"/>
  <c r="I84" i="14643"/>
  <c r="I79" i="14643"/>
  <c r="C24" i="14667" l="1"/>
  <c r="B14" i="14693"/>
  <c r="C14" i="14693"/>
  <c r="C20" i="14693" s="1"/>
  <c r="F14" i="14693"/>
  <c r="F20" i="14693" s="1"/>
  <c r="E16" i="4128"/>
  <c r="L15" i="14667"/>
  <c r="D7" i="14693"/>
  <c r="D12" i="14693" s="1"/>
  <c r="G12" i="14693" s="1"/>
  <c r="C11" i="14674" a="1"/>
  <c r="G13" i="14690"/>
  <c r="N49" i="14702"/>
  <c r="B60" i="14702" a="1"/>
  <c r="G60" i="14702" s="1"/>
  <c r="N61" i="14704"/>
  <c r="N48" i="14702"/>
  <c r="L52" i="14701"/>
  <c r="B52" i="14701"/>
  <c r="D52" i="14701"/>
  <c r="E52" i="14701"/>
  <c r="C52" i="14701"/>
  <c r="F52" i="14701"/>
  <c r="I52" i="14701"/>
  <c r="G52" i="14701"/>
  <c r="M52" i="14701"/>
  <c r="J52" i="14701"/>
  <c r="H52" i="14701"/>
  <c r="K52" i="14701"/>
  <c r="P197" i="14701"/>
  <c r="J197" i="14701"/>
  <c r="H197" i="14701"/>
  <c r="B197" i="14701"/>
  <c r="W197" i="14701"/>
  <c r="T197" i="14701"/>
  <c r="M197" i="14701"/>
  <c r="D197" i="14701"/>
  <c r="Q197" i="14701"/>
  <c r="F197" i="14701"/>
  <c r="I197" i="14701"/>
  <c r="N197" i="14701"/>
  <c r="L197" i="14701"/>
  <c r="S197" i="14701"/>
  <c r="E197" i="14701"/>
  <c r="X197" i="14701"/>
  <c r="U197" i="14701"/>
  <c r="V197" i="14701"/>
  <c r="G197" i="14701"/>
  <c r="K197" i="14701"/>
  <c r="O197" i="14701"/>
  <c r="C197" i="14701"/>
  <c r="Y197" i="14701"/>
  <c r="R197" i="14701"/>
  <c r="N50" i="14700"/>
  <c r="B66" i="14700" a="1"/>
  <c r="G49" i="14701"/>
  <c r="E49" i="14701"/>
  <c r="H49" i="14701"/>
  <c r="D49" i="14701"/>
  <c r="F49" i="14701"/>
  <c r="C49" i="14701"/>
  <c r="M49" i="14701"/>
  <c r="B49" i="14701"/>
  <c r="I49" i="14701"/>
  <c r="J49" i="14701"/>
  <c r="K49" i="14701"/>
  <c r="L49" i="14701"/>
  <c r="N51" i="14700"/>
  <c r="B68" i="14700"/>
  <c r="B59" i="14700" a="1"/>
  <c r="N54" i="14698"/>
  <c r="L53" i="14701"/>
  <c r="H53" i="14701"/>
  <c r="K53" i="14701"/>
  <c r="D53" i="14701"/>
  <c r="G53" i="14701"/>
  <c r="J53" i="14701"/>
  <c r="E53" i="14701"/>
  <c r="B53" i="14701"/>
  <c r="M53" i="14701"/>
  <c r="F53" i="14701"/>
  <c r="C53" i="14701"/>
  <c r="I53" i="14701"/>
  <c r="B61" i="14702" a="1"/>
  <c r="B62" i="14702" a="1"/>
  <c r="K67" i="14704"/>
  <c r="C67" i="14704"/>
  <c r="G67" i="14704"/>
  <c r="E67" i="14704"/>
  <c r="I67" i="14704"/>
  <c r="D67" i="14704"/>
  <c r="N47" i="14700"/>
  <c r="E54" i="14702"/>
  <c r="I54" i="14702"/>
  <c r="C54" i="14702"/>
  <c r="M54" i="14702"/>
  <c r="B54" i="14702"/>
  <c r="N46" i="14702"/>
  <c r="H54" i="14702"/>
  <c r="I144" i="14707"/>
  <c r="J141" i="14707"/>
  <c r="I140" i="14707"/>
  <c r="D141" i="14707"/>
  <c r="B145" i="14707"/>
  <c r="J144" i="14707"/>
  <c r="J143" i="14707"/>
  <c r="G141" i="14707"/>
  <c r="E141" i="14707"/>
  <c r="B142" i="14707"/>
  <c r="C143" i="14707"/>
  <c r="J139" i="14707"/>
  <c r="F141" i="14707"/>
  <c r="F144" i="14707"/>
  <c r="F142" i="14707"/>
  <c r="D145" i="14707"/>
  <c r="B141" i="14707"/>
  <c r="E140" i="14707"/>
  <c r="H142" i="14707"/>
  <c r="G143" i="14707"/>
  <c r="I138" i="14707"/>
  <c r="D138" i="14707"/>
  <c r="E144" i="14707"/>
  <c r="E138" i="14707"/>
  <c r="E142" i="14707"/>
  <c r="F143" i="14707"/>
  <c r="B138" i="14707"/>
  <c r="I141" i="14707"/>
  <c r="I142" i="14707"/>
  <c r="G139" i="14707"/>
  <c r="C146" i="14707"/>
  <c r="H145" i="14707"/>
  <c r="G145" i="14707"/>
  <c r="D144" i="14707"/>
  <c r="D142" i="14707"/>
  <c r="B144" i="14707"/>
  <c r="G144" i="14707"/>
  <c r="F138" i="14707"/>
  <c r="F146" i="14707"/>
  <c r="G146" i="14707"/>
  <c r="D139" i="14707"/>
  <c r="F145" i="14707"/>
  <c r="E145" i="14707"/>
  <c r="G138" i="14707"/>
  <c r="H143" i="14707"/>
  <c r="I145" i="14707"/>
  <c r="I146" i="14707"/>
  <c r="C145" i="14707"/>
  <c r="J142" i="14707"/>
  <c r="C140" i="14707"/>
  <c r="D146" i="14707"/>
  <c r="E146" i="14707"/>
  <c r="C139" i="14707"/>
  <c r="C142" i="14707"/>
  <c r="J146" i="14707"/>
  <c r="I139" i="14707"/>
  <c r="D143" i="14707"/>
  <c r="F139" i="14707"/>
  <c r="H139" i="14707"/>
  <c r="H140" i="14707"/>
  <c r="B139" i="14707"/>
  <c r="H146" i="14707"/>
  <c r="D140" i="14707"/>
  <c r="J140" i="14707"/>
  <c r="C144" i="14707"/>
  <c r="B143" i="14707"/>
  <c r="H138" i="14707"/>
  <c r="C141" i="14707"/>
  <c r="E143" i="14707"/>
  <c r="H141" i="14707"/>
  <c r="G140" i="14707"/>
  <c r="H144" i="14707"/>
  <c r="J145" i="14707"/>
  <c r="C138" i="14707"/>
  <c r="B140" i="14707"/>
  <c r="J138" i="14707"/>
  <c r="G142" i="14707"/>
  <c r="F140" i="14707"/>
  <c r="I143" i="14707"/>
  <c r="E139" i="14707"/>
  <c r="B146" i="14707"/>
  <c r="J46" i="14701"/>
  <c r="I46" i="14701"/>
  <c r="E46" i="14701"/>
  <c r="B46" i="14701"/>
  <c r="D46" i="14701"/>
  <c r="K46" i="14701"/>
  <c r="M46" i="14701"/>
  <c r="C46" i="14701"/>
  <c r="F46" i="14701"/>
  <c r="L46" i="14701"/>
  <c r="H46" i="14701"/>
  <c r="G46" i="14701"/>
  <c r="N64" i="14704"/>
  <c r="K62" i="14698"/>
  <c r="L62" i="14698"/>
  <c r="B62" i="14698"/>
  <c r="M62" i="14698"/>
  <c r="J62" i="14698"/>
  <c r="E62" i="14698"/>
  <c r="I62" i="14698"/>
  <c r="H62" i="14698"/>
  <c r="C62" i="14698"/>
  <c r="G62" i="14698"/>
  <c r="D62" i="14698"/>
  <c r="F62" i="14698"/>
  <c r="M143" i="14701"/>
  <c r="W143" i="14701"/>
  <c r="V143" i="14701"/>
  <c r="F143" i="14701"/>
  <c r="I143" i="14701"/>
  <c r="R143" i="14701"/>
  <c r="X143" i="14701"/>
  <c r="S143" i="14701"/>
  <c r="O143" i="14701"/>
  <c r="L143" i="14701"/>
  <c r="T143" i="14701"/>
  <c r="E143" i="14701"/>
  <c r="D143" i="14701"/>
  <c r="N143" i="14701"/>
  <c r="Q143" i="14701"/>
  <c r="G143" i="14701"/>
  <c r="C143" i="14701"/>
  <c r="J143" i="14701"/>
  <c r="Y143" i="14701"/>
  <c r="B143" i="14701"/>
  <c r="K143" i="14701"/>
  <c r="U143" i="14701"/>
  <c r="P143" i="14701"/>
  <c r="H143" i="14701"/>
  <c r="N50" i="14702"/>
  <c r="B51" i="14701"/>
  <c r="I51" i="14701"/>
  <c r="F51" i="14701"/>
  <c r="J51" i="14701"/>
  <c r="L51" i="14701"/>
  <c r="E51" i="14701"/>
  <c r="C51" i="14701"/>
  <c r="M51" i="14701"/>
  <c r="D51" i="14701"/>
  <c r="K51" i="14701"/>
  <c r="H51" i="14701"/>
  <c r="G51" i="14701"/>
  <c r="N53" i="14700"/>
  <c r="B64" i="14700" a="1"/>
  <c r="G54" i="14700"/>
  <c r="J54" i="14700"/>
  <c r="C54" i="14700"/>
  <c r="F54" i="14700"/>
  <c r="L54" i="14700"/>
  <c r="I54" i="14700"/>
  <c r="N47" i="14702"/>
  <c r="E61" i="14698"/>
  <c r="C61" i="14698"/>
  <c r="K61" i="14698"/>
  <c r="J61" i="14698"/>
  <c r="M61" i="14698"/>
  <c r="B61" i="14698"/>
  <c r="L61" i="14698"/>
  <c r="F61" i="14698"/>
  <c r="G61" i="14698"/>
  <c r="D61" i="14698"/>
  <c r="H61" i="14698"/>
  <c r="I61" i="14698"/>
  <c r="N52" i="14702"/>
  <c r="K66" i="14698"/>
  <c r="M66" i="14698"/>
  <c r="E66" i="14698"/>
  <c r="L66" i="14698"/>
  <c r="G66" i="14698"/>
  <c r="D66" i="14698"/>
  <c r="C66" i="14698"/>
  <c r="J66" i="14698"/>
  <c r="B66" i="14698"/>
  <c r="I66" i="14698"/>
  <c r="F66" i="14698"/>
  <c r="H66" i="14698"/>
  <c r="N60" i="14704"/>
  <c r="R161" i="14701"/>
  <c r="X161" i="14701"/>
  <c r="Q161" i="14701"/>
  <c r="W161" i="14701"/>
  <c r="C161" i="14701"/>
  <c r="L161" i="14701"/>
  <c r="U161" i="14701"/>
  <c r="J161" i="14701"/>
  <c r="D161" i="14701"/>
  <c r="G161" i="14701"/>
  <c r="H161" i="14701"/>
  <c r="S161" i="14701"/>
  <c r="K161" i="14701"/>
  <c r="Y161" i="14701"/>
  <c r="B161" i="14701"/>
  <c r="M161" i="14701"/>
  <c r="P161" i="14701"/>
  <c r="I161" i="14701"/>
  <c r="V161" i="14701"/>
  <c r="E161" i="14701"/>
  <c r="O161" i="14701"/>
  <c r="T161" i="14701"/>
  <c r="N161" i="14701"/>
  <c r="F161" i="14701"/>
  <c r="M65" i="14698"/>
  <c r="B65" i="14698"/>
  <c r="I65" i="14698"/>
  <c r="L65" i="14698"/>
  <c r="G65" i="14698"/>
  <c r="J65" i="14698"/>
  <c r="C65" i="14698"/>
  <c r="E65" i="14698"/>
  <c r="F65" i="14698"/>
  <c r="H65" i="14698"/>
  <c r="K65" i="14698"/>
  <c r="D65" i="14698"/>
  <c r="B59" i="14702" a="1"/>
  <c r="B68" i="14702"/>
  <c r="E13" i="14690"/>
  <c r="M233" i="14701"/>
  <c r="W233" i="14701"/>
  <c r="O233" i="14701"/>
  <c r="Y233" i="14701"/>
  <c r="G233" i="14701"/>
  <c r="S233" i="14701"/>
  <c r="B233" i="14701"/>
  <c r="X233" i="14701"/>
  <c r="L233" i="14701"/>
  <c r="I233" i="14701"/>
  <c r="N233" i="14701"/>
  <c r="T233" i="14701"/>
  <c r="F233" i="14701"/>
  <c r="U233" i="14701"/>
  <c r="E233" i="14701"/>
  <c r="H233" i="14701"/>
  <c r="C233" i="14701"/>
  <c r="Q233" i="14701"/>
  <c r="D233" i="14701"/>
  <c r="V233" i="14701"/>
  <c r="P233" i="14701"/>
  <c r="R233" i="14701"/>
  <c r="K233" i="14701"/>
  <c r="J233" i="14701"/>
  <c r="N52" i="14700"/>
  <c r="N66" i="14704"/>
  <c r="C50" i="14701"/>
  <c r="H50" i="14701"/>
  <c r="M50" i="14701"/>
  <c r="B50" i="14701"/>
  <c r="K50" i="14701"/>
  <c r="G50" i="14701"/>
  <c r="D50" i="14701"/>
  <c r="F50" i="14701"/>
  <c r="E50" i="14701"/>
  <c r="J50" i="14701"/>
  <c r="I50" i="14701"/>
  <c r="L50" i="14701"/>
  <c r="B63" i="14702" a="1"/>
  <c r="B64" i="14702" a="1"/>
  <c r="Q179" i="14701"/>
  <c r="I179" i="14701"/>
  <c r="J179" i="14701"/>
  <c r="M179" i="14701"/>
  <c r="F179" i="14701"/>
  <c r="X179" i="14701"/>
  <c r="C179" i="14701"/>
  <c r="S179" i="14701"/>
  <c r="G179" i="14701"/>
  <c r="V179" i="14701"/>
  <c r="E179" i="14701"/>
  <c r="N179" i="14701"/>
  <c r="O179" i="14701"/>
  <c r="U179" i="14701"/>
  <c r="L179" i="14701"/>
  <c r="R179" i="14701"/>
  <c r="B179" i="14701"/>
  <c r="H179" i="14701"/>
  <c r="Y179" i="14701"/>
  <c r="W179" i="14701"/>
  <c r="K179" i="14701"/>
  <c r="D179" i="14701"/>
  <c r="P179" i="14701"/>
  <c r="T179" i="14701"/>
  <c r="J251" i="14701"/>
  <c r="O251" i="14701"/>
  <c r="C251" i="14701"/>
  <c r="Y251" i="14701"/>
  <c r="I251" i="14701"/>
  <c r="V251" i="14701"/>
  <c r="P251" i="14701"/>
  <c r="Q251" i="14701"/>
  <c r="K251" i="14701"/>
  <c r="G251" i="14701"/>
  <c r="R251" i="14701"/>
  <c r="F251" i="14701"/>
  <c r="W251" i="14701"/>
  <c r="M251" i="14701"/>
  <c r="E251" i="14701"/>
  <c r="N251" i="14701"/>
  <c r="S251" i="14701"/>
  <c r="D251" i="14701"/>
  <c r="B251" i="14701"/>
  <c r="X251" i="14701"/>
  <c r="U251" i="14701"/>
  <c r="T251" i="14701"/>
  <c r="L251" i="14701"/>
  <c r="H251" i="14701"/>
  <c r="B65" i="14702" a="1"/>
  <c r="B66" i="14702" a="1"/>
  <c r="F67" i="14704"/>
  <c r="M67" i="14704"/>
  <c r="L67" i="14704"/>
  <c r="H67" i="14704"/>
  <c r="B67" i="14704"/>
  <c r="N59" i="14704"/>
  <c r="J67" i="14704"/>
  <c r="B62" i="14700" a="1"/>
  <c r="N48" i="14700"/>
  <c r="K54" i="14702"/>
  <c r="F54" i="14702"/>
  <c r="D54" i="14702"/>
  <c r="G54" i="14702"/>
  <c r="J54" i="14702"/>
  <c r="L54" i="14702"/>
  <c r="H59" i="14698"/>
  <c r="M59" i="14698"/>
  <c r="B59" i="14698"/>
  <c r="C59" i="14698"/>
  <c r="K59" i="14698"/>
  <c r="G59" i="14698"/>
  <c r="F59" i="14698"/>
  <c r="J59" i="14698"/>
  <c r="I59" i="14698"/>
  <c r="D59" i="14698"/>
  <c r="E59" i="14698"/>
  <c r="L59" i="14698"/>
  <c r="N63" i="14704"/>
  <c r="W125" i="14701"/>
  <c r="B125" i="14701"/>
  <c r="S125" i="14701"/>
  <c r="Y125" i="14701"/>
  <c r="P125" i="14701"/>
  <c r="J125" i="14701"/>
  <c r="R125" i="14701"/>
  <c r="Q125" i="14701"/>
  <c r="E125" i="14701"/>
  <c r="D125" i="14701"/>
  <c r="L125" i="14701"/>
  <c r="K125" i="14701"/>
  <c r="O125" i="14701"/>
  <c r="C125" i="14701"/>
  <c r="F125" i="14701"/>
  <c r="M125" i="14701"/>
  <c r="U125" i="14701"/>
  <c r="I125" i="14701"/>
  <c r="N125" i="14701"/>
  <c r="V125" i="14701"/>
  <c r="G125" i="14701"/>
  <c r="X125" i="14701"/>
  <c r="H125" i="14701"/>
  <c r="T125" i="14701"/>
  <c r="F64" i="14698"/>
  <c r="J64" i="14698"/>
  <c r="D64" i="14698"/>
  <c r="B64" i="14698"/>
  <c r="L64" i="14698"/>
  <c r="E64" i="14698"/>
  <c r="C64" i="14698"/>
  <c r="M64" i="14698"/>
  <c r="H64" i="14698"/>
  <c r="K64" i="14698"/>
  <c r="G64" i="14698"/>
  <c r="I64" i="14698"/>
  <c r="M47" i="14701"/>
  <c r="G47" i="14701"/>
  <c r="J47" i="14701"/>
  <c r="B47" i="14701"/>
  <c r="D47" i="14701"/>
  <c r="F47" i="14701"/>
  <c r="L47" i="14701"/>
  <c r="I47" i="14701"/>
  <c r="E47" i="14701"/>
  <c r="C47" i="14701"/>
  <c r="K47" i="14701"/>
  <c r="H47" i="14701"/>
  <c r="B65" i="14700" a="1"/>
  <c r="H63" i="14698"/>
  <c r="C63" i="14698"/>
  <c r="B63" i="14698"/>
  <c r="K63" i="14698"/>
  <c r="D63" i="14698"/>
  <c r="E63" i="14698"/>
  <c r="F63" i="14698"/>
  <c r="G63" i="14698"/>
  <c r="M63" i="14698"/>
  <c r="J63" i="14698"/>
  <c r="L63" i="14698"/>
  <c r="I63" i="14698"/>
  <c r="B63" i="14700" a="1"/>
  <c r="O215" i="14701"/>
  <c r="P215" i="14701"/>
  <c r="N215" i="14701"/>
  <c r="B215" i="14701"/>
  <c r="Y215" i="14701"/>
  <c r="E215" i="14701"/>
  <c r="V215" i="14701"/>
  <c r="S215" i="14701"/>
  <c r="C215" i="14701"/>
  <c r="J215" i="14701"/>
  <c r="T215" i="14701"/>
  <c r="I215" i="14701"/>
  <c r="L215" i="14701"/>
  <c r="D215" i="14701"/>
  <c r="K215" i="14701"/>
  <c r="R215" i="14701"/>
  <c r="G215" i="14701"/>
  <c r="Q215" i="14701"/>
  <c r="M215" i="14701"/>
  <c r="F215" i="14701"/>
  <c r="X215" i="14701"/>
  <c r="U215" i="14701"/>
  <c r="H215" i="14701"/>
  <c r="W215" i="14701"/>
  <c r="N51" i="14702"/>
  <c r="B54" i="14700"/>
  <c r="N46" i="14700"/>
  <c r="K54" i="14700"/>
  <c r="H54" i="14700"/>
  <c r="D54" i="14700"/>
  <c r="E54" i="14700"/>
  <c r="M54" i="14700"/>
  <c r="N53" i="14702"/>
  <c r="N65" i="14704"/>
  <c r="N49" i="14700"/>
  <c r="B61" i="14700" a="1"/>
  <c r="B60" i="14700" a="1"/>
  <c r="N62" i="14704"/>
  <c r="K60" i="14698"/>
  <c r="I60" i="14698"/>
  <c r="G60" i="14698"/>
  <c r="H60" i="14698"/>
  <c r="E60" i="14698"/>
  <c r="D60" i="14698"/>
  <c r="L60" i="14698"/>
  <c r="J60" i="14698"/>
  <c r="M60" i="14698"/>
  <c r="F60" i="14698"/>
  <c r="B60" i="14698"/>
  <c r="C60" i="14698"/>
  <c r="B48" i="14701"/>
  <c r="L48" i="14701"/>
  <c r="K48" i="14701"/>
  <c r="G48" i="14701"/>
  <c r="E48" i="14701"/>
  <c r="F48" i="14701"/>
  <c r="C48" i="14701"/>
  <c r="M48" i="14701"/>
  <c r="I48" i="14701"/>
  <c r="D48" i="14701"/>
  <c r="J48" i="14701"/>
  <c r="H48" i="14701"/>
  <c r="F13" i="14690"/>
  <c r="N40" i="14669"/>
  <c r="D17" i="14706"/>
  <c r="C16" i="14626"/>
  <c r="C9" i="14626" s="1"/>
  <c r="H19" i="14622" a="1"/>
  <c r="H19" i="14622" s="1"/>
  <c r="D9" i="14667"/>
  <c r="C9" i="11"/>
  <c r="B19" i="14622" a="1"/>
  <c r="B19" i="14622" s="1"/>
  <c r="C44" i="14622" a="1"/>
  <c r="G20" i="14693"/>
  <c r="C55" i="14623"/>
  <c r="I55" i="14623"/>
  <c r="M55" i="14623"/>
  <c r="B49" i="14632" a="1"/>
  <c r="N55" i="14623"/>
  <c r="D51" i="14632" a="1"/>
  <c r="P55" i="14623"/>
  <c r="O55" i="14623"/>
  <c r="C50" i="14632" a="1"/>
  <c r="G55" i="14623"/>
  <c r="D55" i="14623"/>
  <c r="J55" i="14623"/>
  <c r="H55" i="14623"/>
  <c r="N43" i="14623"/>
  <c r="O5" i="14628"/>
  <c r="E52" i="14632" a="1"/>
  <c r="Q55" i="14623"/>
  <c r="S55" i="14623"/>
  <c r="G54" i="14632"/>
  <c r="R55" i="14623"/>
  <c r="F53" i="14632" a="1"/>
  <c r="L55" i="14623"/>
  <c r="E55" i="14623"/>
  <c r="F55" i="14623"/>
  <c r="K55" i="14623"/>
  <c r="S30" i="14679"/>
  <c r="N12" i="14706" s="1"/>
  <c r="I87" i="14643"/>
  <c r="M41" i="14675"/>
  <c r="E41" i="14675"/>
  <c r="D41" i="14675"/>
  <c r="G41" i="14675"/>
  <c r="C41" i="14675"/>
  <c r="F41" i="14675"/>
  <c r="N41" i="14675"/>
  <c r="K41" i="14675"/>
  <c r="I41" i="14675"/>
  <c r="H41" i="14675"/>
  <c r="L41" i="14675"/>
  <c r="J41" i="14675"/>
  <c r="J26" i="14683"/>
  <c r="J27" i="14683"/>
  <c r="J21" i="14683"/>
  <c r="J22" i="14683"/>
  <c r="J20" i="14683"/>
  <c r="J25" i="14683"/>
  <c r="J23" i="14683"/>
  <c r="J24" i="14683"/>
  <c r="J19" i="14683"/>
  <c r="G92" i="14643"/>
  <c r="G93" i="14643"/>
  <c r="G96" i="14643"/>
  <c r="G98" i="14643"/>
  <c r="G99" i="14643"/>
  <c r="G94" i="14643"/>
  <c r="G97" i="14643"/>
  <c r="G95" i="14643"/>
  <c r="L6" i="14676"/>
  <c r="E6" i="14676"/>
  <c r="K6" i="14676"/>
  <c r="J6" i="14676"/>
  <c r="G6" i="14676"/>
  <c r="H6" i="14676"/>
  <c r="N6" i="14676"/>
  <c r="I6" i="14676"/>
  <c r="C6" i="14676"/>
  <c r="D6" i="14676"/>
  <c r="F6" i="14676"/>
  <c r="M6" i="14676"/>
  <c r="I7" i="14677"/>
  <c r="D7" i="14677"/>
  <c r="E7" i="14677"/>
  <c r="F7" i="14677"/>
  <c r="H7" i="14677"/>
  <c r="C7" i="14677"/>
  <c r="G7" i="14677"/>
  <c r="K7" i="14677"/>
  <c r="L7" i="14677"/>
  <c r="N7" i="14677"/>
  <c r="J7" i="14677"/>
  <c r="M7" i="14677"/>
  <c r="N53" i="14645"/>
  <c r="B54" i="14645"/>
  <c r="F47" i="14638"/>
  <c r="C47" i="14638"/>
  <c r="Q47" i="14638"/>
  <c r="K47" i="14638"/>
  <c r="E47" i="14638"/>
  <c r="L47" i="14638"/>
  <c r="N47" i="14638"/>
  <c r="I47" i="14638"/>
  <c r="M47" i="14638"/>
  <c r="B47" i="14638"/>
  <c r="J47" i="14638"/>
  <c r="S47" i="14638"/>
  <c r="H47" i="14638"/>
  <c r="D47" i="14638"/>
  <c r="G47" i="14638"/>
  <c r="P47" i="14638"/>
  <c r="R47" i="14638"/>
  <c r="O47" i="14638"/>
  <c r="M5" i="14617" a="1"/>
  <c r="M6" i="14617" s="1"/>
  <c r="J28" i="14707"/>
  <c r="J26" i="14707"/>
  <c r="J30" i="14707"/>
  <c r="J29" i="14707"/>
  <c r="J27" i="14707"/>
  <c r="J32" i="14707"/>
  <c r="J25" i="14707"/>
  <c r="J24" i="14707"/>
  <c r="J31" i="14707"/>
  <c r="F35" i="4128"/>
  <c r="L5" i="14617"/>
  <c r="C6" i="14677" a="1"/>
  <c r="C78" i="14648" a="1"/>
  <c r="N47" i="14632"/>
  <c r="O47" i="14632"/>
  <c r="S47" i="14632"/>
  <c r="E47" i="14632"/>
  <c r="G47" i="14632"/>
  <c r="B47" i="14632"/>
  <c r="R47" i="14632"/>
  <c r="C47" i="14632"/>
  <c r="H47" i="14632"/>
  <c r="M47" i="14632"/>
  <c r="P47" i="14632"/>
  <c r="J47" i="14632"/>
  <c r="F47" i="14632"/>
  <c r="L47" i="14632"/>
  <c r="D47" i="14632"/>
  <c r="I47" i="14632"/>
  <c r="Q47" i="14632"/>
  <c r="K47" i="14632"/>
  <c r="N7" i="14708"/>
  <c r="X22" i="14655" s="1"/>
  <c r="N8" i="14708"/>
  <c r="X24" i="14655" s="1"/>
  <c r="J7" i="14617"/>
  <c r="D97" i="14643"/>
  <c r="H14" i="14643"/>
  <c r="E15" i="14643" s="1" a="1"/>
  <c r="D95" i="14643"/>
  <c r="D94" i="14643"/>
  <c r="D96" i="14643"/>
  <c r="D98" i="14643"/>
  <c r="D93" i="14643"/>
  <c r="D99" i="14643"/>
  <c r="D92" i="14643"/>
  <c r="G100" i="14643"/>
  <c r="C63" i="14648"/>
  <c r="I63" i="14648"/>
  <c r="N63" i="14648"/>
  <c r="F63" i="14648"/>
  <c r="J63" i="14648"/>
  <c r="G63" i="14648"/>
  <c r="H63" i="14648"/>
  <c r="K63" i="14648"/>
  <c r="D63" i="14648"/>
  <c r="E63" i="14648"/>
  <c r="M63" i="14648"/>
  <c r="L63" i="14648"/>
  <c r="D47" i="14623"/>
  <c r="K47" i="14623"/>
  <c r="F47" i="14623"/>
  <c r="M47" i="14623"/>
  <c r="B47" i="14623"/>
  <c r="Q47" i="14623"/>
  <c r="O47" i="14623"/>
  <c r="G47" i="14623"/>
  <c r="I47" i="14623"/>
  <c r="N47" i="14623"/>
  <c r="R47" i="14623"/>
  <c r="E47" i="14623"/>
  <c r="H47" i="14623"/>
  <c r="J47" i="14623"/>
  <c r="C47" i="14623"/>
  <c r="S47" i="14623"/>
  <c r="P47" i="14623"/>
  <c r="L47" i="14623"/>
  <c r="H80" i="14643"/>
  <c r="H81" i="14643"/>
  <c r="H79" i="14643"/>
  <c r="H84" i="14643"/>
  <c r="H85" i="14643"/>
  <c r="H82" i="14643"/>
  <c r="H86" i="14643"/>
  <c r="H83" i="14643"/>
  <c r="L7" i="14671"/>
  <c r="M7" i="14671"/>
  <c r="E7" i="14671"/>
  <c r="G7" i="14671"/>
  <c r="B7" i="14671"/>
  <c r="I7" i="14671"/>
  <c r="K7" i="14671"/>
  <c r="H7" i="14671"/>
  <c r="D7" i="14671"/>
  <c r="F7" i="14671"/>
  <c r="J7" i="14671"/>
  <c r="C7" i="14671"/>
  <c r="H54" i="14683"/>
  <c r="H52" i="14683"/>
  <c r="H50" i="14683"/>
  <c r="H49" i="14683"/>
  <c r="H56" i="14683"/>
  <c r="H53" i="14683"/>
  <c r="H55" i="14683"/>
  <c r="H51" i="14683"/>
  <c r="F23" i="4128"/>
  <c r="S31" i="14679"/>
  <c r="H57" i="14683" a="1"/>
  <c r="H57" i="14683" s="1"/>
  <c r="G47" i="14678"/>
  <c r="O47" i="14678"/>
  <c r="L47" i="14678"/>
  <c r="J47" i="14678"/>
  <c r="I47" i="14678"/>
  <c r="C47" i="14678"/>
  <c r="E47" i="14678"/>
  <c r="Q47" i="14678"/>
  <c r="M47" i="14678"/>
  <c r="D47" i="14678"/>
  <c r="N47" i="14678"/>
  <c r="R47" i="14678"/>
  <c r="F47" i="14678"/>
  <c r="S47" i="14678"/>
  <c r="B47" i="14678"/>
  <c r="P47" i="14678"/>
  <c r="K47" i="14678"/>
  <c r="H47" i="14678"/>
  <c r="I54" i="14683"/>
  <c r="I52" i="14683"/>
  <c r="I51" i="14683"/>
  <c r="I56" i="14683"/>
  <c r="I55" i="14683"/>
  <c r="I53" i="14683"/>
  <c r="I50" i="14683"/>
  <c r="I49" i="14683"/>
  <c r="C29" i="14682" l="1" a="1"/>
  <c r="F16" i="4128"/>
  <c r="N15" i="14667"/>
  <c r="G16" i="4128" s="1"/>
  <c r="N42" i="14675"/>
  <c r="K42" i="14675"/>
  <c r="E42" i="14675"/>
  <c r="H42" i="14675"/>
  <c r="D11" i="14674"/>
  <c r="F11" i="14674"/>
  <c r="H11" i="14674"/>
  <c r="J11" i="14674"/>
  <c r="L11" i="14674"/>
  <c r="N11" i="14674"/>
  <c r="C11" i="14674"/>
  <c r="E11" i="14674"/>
  <c r="G11" i="14674"/>
  <c r="I11" i="14674"/>
  <c r="K11" i="14674"/>
  <c r="M11" i="14674"/>
  <c r="O11" i="14674"/>
  <c r="M60" i="14702"/>
  <c r="N60" i="14698"/>
  <c r="B59" i="14701" a="1"/>
  <c r="D59" i="14701" s="1"/>
  <c r="L60" i="14702"/>
  <c r="D60" i="14702"/>
  <c r="E60" i="14702"/>
  <c r="H60" i="14702"/>
  <c r="B60" i="14702"/>
  <c r="F60" i="14702"/>
  <c r="J60" i="14702"/>
  <c r="C60" i="14702"/>
  <c r="I60" i="14702"/>
  <c r="K60" i="14702"/>
  <c r="L61" i="14700"/>
  <c r="E61" i="14700"/>
  <c r="M61" i="14700"/>
  <c r="K61" i="14700"/>
  <c r="G61" i="14700"/>
  <c r="H61" i="14700"/>
  <c r="J61" i="14700"/>
  <c r="I61" i="14700"/>
  <c r="D61" i="14700"/>
  <c r="F61" i="14700"/>
  <c r="C61" i="14700"/>
  <c r="B61" i="14700"/>
  <c r="N54" i="14700"/>
  <c r="G63" i="14700"/>
  <c r="M63" i="14700"/>
  <c r="I63" i="14700"/>
  <c r="K63" i="14700"/>
  <c r="L63" i="14700"/>
  <c r="H63" i="14700"/>
  <c r="C63" i="14700"/>
  <c r="J63" i="14700"/>
  <c r="F63" i="14700"/>
  <c r="E63" i="14700"/>
  <c r="D63" i="14700"/>
  <c r="B63" i="14700"/>
  <c r="N63" i="14698"/>
  <c r="N47" i="14701"/>
  <c r="N64" i="14698"/>
  <c r="B68" i="14701"/>
  <c r="E67" i="14698"/>
  <c r="I67" i="14698"/>
  <c r="F67" i="14698"/>
  <c r="K67" i="14698"/>
  <c r="N59" i="14698"/>
  <c r="B35" i="14632" a="1"/>
  <c r="B67" i="14698"/>
  <c r="H67" i="14698"/>
  <c r="L62" i="14700"/>
  <c r="H62" i="14700"/>
  <c r="M62" i="14700"/>
  <c r="F62" i="14700"/>
  <c r="J62" i="14700"/>
  <c r="I62" i="14700"/>
  <c r="B62" i="14700"/>
  <c r="K62" i="14700"/>
  <c r="E62" i="14700"/>
  <c r="C62" i="14700"/>
  <c r="G62" i="14700"/>
  <c r="D62" i="14700"/>
  <c r="K66" i="14702"/>
  <c r="D66" i="14702"/>
  <c r="J66" i="14702"/>
  <c r="M66" i="14702"/>
  <c r="I66" i="14702"/>
  <c r="H66" i="14702"/>
  <c r="E66" i="14702"/>
  <c r="B66" i="14702"/>
  <c r="C66" i="14702"/>
  <c r="G66" i="14702"/>
  <c r="F66" i="14702"/>
  <c r="L66" i="14702"/>
  <c r="B66" i="14701" a="1"/>
  <c r="B62" i="14701" a="1"/>
  <c r="G64" i="14702"/>
  <c r="J64" i="14702"/>
  <c r="M64" i="14702"/>
  <c r="D64" i="14702"/>
  <c r="H64" i="14702"/>
  <c r="B64" i="14702"/>
  <c r="K64" i="14702"/>
  <c r="C64" i="14702"/>
  <c r="E64" i="14702"/>
  <c r="I64" i="14702"/>
  <c r="L64" i="14702"/>
  <c r="F64" i="14702"/>
  <c r="N50" i="14701"/>
  <c r="E56" i="14690" a="1"/>
  <c r="E67" i="14690" a="1"/>
  <c r="E30" i="14690" a="1"/>
  <c r="L59" i="14702"/>
  <c r="H59" i="14702"/>
  <c r="J59" i="14702"/>
  <c r="I59" i="14702"/>
  <c r="F59" i="14702"/>
  <c r="D59" i="14702"/>
  <c r="G59" i="14702"/>
  <c r="K59" i="14702"/>
  <c r="B59" i="14702"/>
  <c r="E59" i="14702"/>
  <c r="C59" i="14702"/>
  <c r="M59" i="14702"/>
  <c r="B61" i="14701" a="1"/>
  <c r="I64" i="14700"/>
  <c r="B64" i="14700"/>
  <c r="L64" i="14700"/>
  <c r="M64" i="14700"/>
  <c r="G64" i="14700"/>
  <c r="J64" i="14700"/>
  <c r="D64" i="14700"/>
  <c r="E64" i="14700"/>
  <c r="H64" i="14700"/>
  <c r="K64" i="14700"/>
  <c r="C64" i="14700"/>
  <c r="F64" i="14700"/>
  <c r="N62" i="14698"/>
  <c r="G54" i="14701"/>
  <c r="L54" i="14701"/>
  <c r="C54" i="14701"/>
  <c r="K54" i="14701"/>
  <c r="B54" i="14701"/>
  <c r="N46" i="14701"/>
  <c r="I54" i="14701"/>
  <c r="J61" i="14702"/>
  <c r="B61" i="14702"/>
  <c r="D61" i="14702"/>
  <c r="L61" i="14702"/>
  <c r="C61" i="14702"/>
  <c r="G61" i="14702"/>
  <c r="M61" i="14702"/>
  <c r="E61" i="14702"/>
  <c r="H61" i="14702"/>
  <c r="I61" i="14702"/>
  <c r="F61" i="14702"/>
  <c r="K61" i="14702"/>
  <c r="C59" i="14700"/>
  <c r="G59" i="14700"/>
  <c r="M59" i="14700"/>
  <c r="H59" i="14700"/>
  <c r="K59" i="14700"/>
  <c r="L59" i="14700"/>
  <c r="D59" i="14700"/>
  <c r="J59" i="14700"/>
  <c r="E59" i="14700"/>
  <c r="F59" i="14700"/>
  <c r="B59" i="14700"/>
  <c r="I59" i="14700"/>
  <c r="N48" i="14701"/>
  <c r="M60" i="14700"/>
  <c r="G60" i="14700"/>
  <c r="F60" i="14700"/>
  <c r="B60" i="14700"/>
  <c r="E60" i="14700"/>
  <c r="C60" i="14700"/>
  <c r="D60" i="14700"/>
  <c r="H60" i="14700"/>
  <c r="J60" i="14700"/>
  <c r="L60" i="14700"/>
  <c r="K60" i="14700"/>
  <c r="I60" i="14700"/>
  <c r="B64" i="14701" a="1"/>
  <c r="E65" i="14700"/>
  <c r="C65" i="14700"/>
  <c r="G65" i="14700"/>
  <c r="M65" i="14700"/>
  <c r="H65" i="14700"/>
  <c r="J65" i="14700"/>
  <c r="K65" i="14700"/>
  <c r="L65" i="14700"/>
  <c r="I65" i="14700"/>
  <c r="D65" i="14700"/>
  <c r="B65" i="14700"/>
  <c r="F65" i="14700"/>
  <c r="L67" i="14698"/>
  <c r="D67" i="14698"/>
  <c r="J67" i="14698"/>
  <c r="G67" i="14698"/>
  <c r="C67" i="14698"/>
  <c r="M67" i="14698"/>
  <c r="N67" i="14704"/>
  <c r="K65" i="14702"/>
  <c r="B65" i="14702"/>
  <c r="G65" i="14702"/>
  <c r="J65" i="14702"/>
  <c r="E65" i="14702"/>
  <c r="H65" i="14702"/>
  <c r="I65" i="14702"/>
  <c r="F65" i="14702"/>
  <c r="L65" i="14702"/>
  <c r="M65" i="14702"/>
  <c r="C65" i="14702"/>
  <c r="D65" i="14702"/>
  <c r="K63" i="14702"/>
  <c r="I63" i="14702"/>
  <c r="L63" i="14702"/>
  <c r="J63" i="14702"/>
  <c r="M63" i="14702"/>
  <c r="D63" i="14702"/>
  <c r="H63" i="14702"/>
  <c r="E63" i="14702"/>
  <c r="B63" i="14702"/>
  <c r="F63" i="14702"/>
  <c r="C63" i="14702"/>
  <c r="G63" i="14702"/>
  <c r="B65" i="14701" a="1"/>
  <c r="N65" i="14698"/>
  <c r="N66" i="14698"/>
  <c r="N61" i="14698"/>
  <c r="N51" i="14701"/>
  <c r="B60" i="14701" a="1"/>
  <c r="H54" i="14701"/>
  <c r="F54" i="14701"/>
  <c r="M54" i="14701"/>
  <c r="D54" i="14701"/>
  <c r="E54" i="14701"/>
  <c r="J54" i="14701"/>
  <c r="N54" i="14702"/>
  <c r="D62" i="14702"/>
  <c r="F62" i="14702"/>
  <c r="L62" i="14702"/>
  <c r="J62" i="14702"/>
  <c r="B62" i="14702"/>
  <c r="K62" i="14702"/>
  <c r="M62" i="14702"/>
  <c r="H62" i="14702"/>
  <c r="C62" i="14702"/>
  <c r="G62" i="14702"/>
  <c r="E62" i="14702"/>
  <c r="I62" i="14702"/>
  <c r="N53" i="14701"/>
  <c r="N49" i="14701"/>
  <c r="G66" i="14700"/>
  <c r="L66" i="14700"/>
  <c r="F66" i="14700"/>
  <c r="D66" i="14700"/>
  <c r="J66" i="14700"/>
  <c r="M66" i="14700"/>
  <c r="I66" i="14700"/>
  <c r="C66" i="14700"/>
  <c r="K66" i="14700"/>
  <c r="H66" i="14700"/>
  <c r="E66" i="14700"/>
  <c r="B66" i="14700"/>
  <c r="B63" i="14701" a="1"/>
  <c r="N52" i="14701"/>
  <c r="E44" i="14622"/>
  <c r="C7" i="14674" s="1" a="1"/>
  <c r="F44" i="14622"/>
  <c r="C7" i="14675" s="1" a="1"/>
  <c r="D44" i="14622"/>
  <c r="C7" i="14639" s="1" a="1"/>
  <c r="C44" i="14622"/>
  <c r="C7" i="14634" s="1" a="1"/>
  <c r="D9" i="11"/>
  <c r="C6" i="11"/>
  <c r="F9" i="14667"/>
  <c r="D5" i="14667"/>
  <c r="D7" i="14622"/>
  <c r="B44" i="14622"/>
  <c r="B46" i="14622" s="1"/>
  <c r="B18" i="14622"/>
  <c r="C19" i="14622"/>
  <c r="D7" i="14706"/>
  <c r="D21" i="14667"/>
  <c r="H18" i="14622"/>
  <c r="I18" i="14622" s="1"/>
  <c r="C26" i="14626"/>
  <c r="I19" i="14622"/>
  <c r="B22" i="14628"/>
  <c r="C22" i="14628" s="1"/>
  <c r="D16" i="14706"/>
  <c r="F17" i="14706"/>
  <c r="N16" i="14667"/>
  <c r="E53" i="14632"/>
  <c r="E54" i="14632"/>
  <c r="E52" i="14632"/>
  <c r="C15" i="14625" a="1"/>
  <c r="C51" i="14632"/>
  <c r="C50" i="14632"/>
  <c r="C53" i="14632"/>
  <c r="C54" i="14632"/>
  <c r="C52" i="14632"/>
  <c r="S57" i="14623"/>
  <c r="F54" i="14632"/>
  <c r="F53" i="14632"/>
  <c r="D54" i="14632"/>
  <c r="D51" i="14632"/>
  <c r="D52" i="14632"/>
  <c r="D53" i="14632"/>
  <c r="B49" i="14632"/>
  <c r="B53" i="14632"/>
  <c r="B54" i="14632"/>
  <c r="B50" i="14632"/>
  <c r="B51" i="14632"/>
  <c r="B52" i="14632"/>
  <c r="D100" i="14643"/>
  <c r="I57" i="14683"/>
  <c r="J57" i="14683" s="1" a="1"/>
  <c r="J57" i="14683" s="1"/>
  <c r="J49" i="14683" a="1"/>
  <c r="N17" i="14667"/>
  <c r="N11" i="14706"/>
  <c r="N7" i="14671"/>
  <c r="I98" i="14643"/>
  <c r="I95" i="14643"/>
  <c r="I97" i="14643"/>
  <c r="I99" i="14643"/>
  <c r="I94" i="14643"/>
  <c r="I93" i="14643"/>
  <c r="I92" i="14643"/>
  <c r="H100" i="14643"/>
  <c r="H20" i="14643" s="1"/>
  <c r="I96" i="14643"/>
  <c r="G15" i="14643"/>
  <c r="F15" i="14643"/>
  <c r="E15" i="14643"/>
  <c r="H15" i="14643"/>
  <c r="K6" i="14677"/>
  <c r="C6" i="14677"/>
  <c r="L6" i="14677"/>
  <c r="F6" i="14677"/>
  <c r="E6" i="14677"/>
  <c r="M6" i="14677"/>
  <c r="D6" i="14677"/>
  <c r="N6" i="14677"/>
  <c r="H6" i="14677"/>
  <c r="J6" i="14677"/>
  <c r="I6" i="14677"/>
  <c r="G6" i="14677"/>
  <c r="M5" i="14617"/>
  <c r="O6" i="14676"/>
  <c r="H92" i="14643" a="1"/>
  <c r="O63" i="14648"/>
  <c r="L22" i="14708"/>
  <c r="N14" i="14708"/>
  <c r="N20" i="14708" s="1"/>
  <c r="L78" i="14648"/>
  <c r="H78" i="14648"/>
  <c r="G78" i="14648"/>
  <c r="E78" i="14648"/>
  <c r="C78" i="14648"/>
  <c r="K78" i="14648"/>
  <c r="D78" i="14648"/>
  <c r="I78" i="14648"/>
  <c r="N78" i="14648"/>
  <c r="J78" i="14648"/>
  <c r="M78" i="14648"/>
  <c r="F78" i="14648"/>
  <c r="K5" i="14617" a="1"/>
  <c r="O7" i="14677"/>
  <c r="O41" i="14675"/>
  <c r="O42" i="14675" s="1"/>
  <c r="M7" i="14617" l="1"/>
  <c r="N22" i="14708" s="1"/>
  <c r="F24" i="14708" s="1"/>
  <c r="C24" i="14628"/>
  <c r="C11" i="14675" a="1"/>
  <c r="C59" i="14701"/>
  <c r="E59" i="14701"/>
  <c r="H59" i="14701"/>
  <c r="F59" i="14701"/>
  <c r="N61" i="14700"/>
  <c r="M59" i="14701"/>
  <c r="J59" i="14701"/>
  <c r="G59" i="14701"/>
  <c r="B59" i="14701"/>
  <c r="L59" i="14701"/>
  <c r="K59" i="14701"/>
  <c r="I59" i="14701"/>
  <c r="N60" i="14702"/>
  <c r="N65" i="14700"/>
  <c r="G63" i="14701"/>
  <c r="L63" i="14701"/>
  <c r="J63" i="14701"/>
  <c r="K63" i="14701"/>
  <c r="M63" i="14701"/>
  <c r="B63" i="14701"/>
  <c r="I63" i="14701"/>
  <c r="H63" i="14701"/>
  <c r="D63" i="14701"/>
  <c r="F63" i="14701"/>
  <c r="E63" i="14701"/>
  <c r="C63" i="14701"/>
  <c r="N62" i="14702"/>
  <c r="I60" i="14701"/>
  <c r="D60" i="14701"/>
  <c r="E60" i="14701"/>
  <c r="K60" i="14701"/>
  <c r="C60" i="14701"/>
  <c r="L60" i="14701"/>
  <c r="M60" i="14701"/>
  <c r="J60" i="14701"/>
  <c r="F60" i="14701"/>
  <c r="H60" i="14701"/>
  <c r="G60" i="14701"/>
  <c r="B60" i="14701"/>
  <c r="N65" i="14702"/>
  <c r="N60" i="14700"/>
  <c r="N59" i="14700"/>
  <c r="B35" i="14638" a="1"/>
  <c r="B67" i="14700"/>
  <c r="E67" i="14700"/>
  <c r="D67" i="14700"/>
  <c r="K67" i="14700"/>
  <c r="M67" i="14700"/>
  <c r="C67" i="14700"/>
  <c r="M67" i="14702"/>
  <c r="E67" i="14702"/>
  <c r="K67" i="14702"/>
  <c r="D67" i="14702"/>
  <c r="I67" i="14702"/>
  <c r="H67" i="14702"/>
  <c r="G30" i="14690"/>
  <c r="E30" i="14690"/>
  <c r="H30" i="14690"/>
  <c r="F30" i="14690"/>
  <c r="H56" i="14690"/>
  <c r="F56" i="14690"/>
  <c r="E56" i="14690"/>
  <c r="G56" i="14690"/>
  <c r="N64" i="14702"/>
  <c r="D62" i="14701"/>
  <c r="G62" i="14701"/>
  <c r="H62" i="14701"/>
  <c r="E62" i="14701"/>
  <c r="L62" i="14701"/>
  <c r="F62" i="14701"/>
  <c r="K62" i="14701"/>
  <c r="M62" i="14701"/>
  <c r="B62" i="14701"/>
  <c r="C62" i="14701"/>
  <c r="I62" i="14701"/>
  <c r="J62" i="14701"/>
  <c r="N66" i="14702"/>
  <c r="G40" i="14632"/>
  <c r="K41" i="14632"/>
  <c r="C35" i="14632"/>
  <c r="C42" i="14632"/>
  <c r="H38" i="14632"/>
  <c r="E41" i="14632"/>
  <c r="J42" i="14632"/>
  <c r="E36" i="14632"/>
  <c r="L41" i="14632"/>
  <c r="J38" i="14632"/>
  <c r="F41" i="14632"/>
  <c r="F37" i="14632"/>
  <c r="E37" i="14632"/>
  <c r="H41" i="14632"/>
  <c r="H40" i="14632"/>
  <c r="M38" i="14632"/>
  <c r="K38" i="14632"/>
  <c r="B36" i="14632"/>
  <c r="D42" i="14632"/>
  <c r="B41" i="14632"/>
  <c r="C39" i="14632"/>
  <c r="B42" i="14632"/>
  <c r="L40" i="14632"/>
  <c r="D36" i="14632"/>
  <c r="H35" i="14632"/>
  <c r="M36" i="14632"/>
  <c r="J36" i="14632"/>
  <c r="D41" i="14632"/>
  <c r="M35" i="14632"/>
  <c r="M42" i="14632"/>
  <c r="K36" i="14632"/>
  <c r="D38" i="14632"/>
  <c r="I41" i="14632"/>
  <c r="E35" i="14632"/>
  <c r="F35" i="14632"/>
  <c r="K35" i="14632"/>
  <c r="H36" i="14632"/>
  <c r="F36" i="14632"/>
  <c r="F38" i="14632"/>
  <c r="G41" i="14632"/>
  <c r="C41" i="14632"/>
  <c r="I36" i="14632"/>
  <c r="L36" i="14632"/>
  <c r="C40" i="14632"/>
  <c r="B35" i="14632"/>
  <c r="E40" i="14632"/>
  <c r="L35" i="14632"/>
  <c r="L39" i="14632"/>
  <c r="D35" i="14632"/>
  <c r="G39" i="14632"/>
  <c r="F39" i="14632"/>
  <c r="F40" i="14632"/>
  <c r="C38" i="14632"/>
  <c r="M40" i="14632"/>
  <c r="D37" i="14632"/>
  <c r="B38" i="14632"/>
  <c r="J40" i="14632"/>
  <c r="H39" i="14632"/>
  <c r="M39" i="14632"/>
  <c r="C36" i="14632"/>
  <c r="I39" i="14632"/>
  <c r="C37" i="14632"/>
  <c r="B40" i="14632"/>
  <c r="I42" i="14632"/>
  <c r="L42" i="14632"/>
  <c r="I37" i="14632"/>
  <c r="L37" i="14632"/>
  <c r="F42" i="14632"/>
  <c r="B37" i="14632"/>
  <c r="I40" i="14632"/>
  <c r="G42" i="14632"/>
  <c r="H42" i="14632"/>
  <c r="D40" i="14632"/>
  <c r="E39" i="14632"/>
  <c r="G37" i="14632"/>
  <c r="E42" i="14632"/>
  <c r="I35" i="14632"/>
  <c r="G36" i="14632"/>
  <c r="J41" i="14632"/>
  <c r="I38" i="14632"/>
  <c r="M41" i="14632"/>
  <c r="J35" i="14632"/>
  <c r="G38" i="14632"/>
  <c r="B39" i="14632"/>
  <c r="J37" i="14632"/>
  <c r="G35" i="14632"/>
  <c r="K40" i="14632"/>
  <c r="E38" i="14632"/>
  <c r="H37" i="14632"/>
  <c r="J39" i="14632"/>
  <c r="K37" i="14632"/>
  <c r="K39" i="14632"/>
  <c r="M37" i="14632"/>
  <c r="D39" i="14632"/>
  <c r="K42" i="14632"/>
  <c r="L38" i="14632"/>
  <c r="N63" i="14700"/>
  <c r="N66" i="14700"/>
  <c r="E65" i="14701"/>
  <c r="M65" i="14701"/>
  <c r="L65" i="14701"/>
  <c r="G65" i="14701"/>
  <c r="J65" i="14701"/>
  <c r="K65" i="14701"/>
  <c r="I65" i="14701"/>
  <c r="H65" i="14701"/>
  <c r="C65" i="14701"/>
  <c r="B65" i="14701"/>
  <c r="D65" i="14701"/>
  <c r="F65" i="14701"/>
  <c r="N63" i="14702"/>
  <c r="M64" i="14701"/>
  <c r="I64" i="14701"/>
  <c r="G64" i="14701"/>
  <c r="B64" i="14701"/>
  <c r="E64" i="14701"/>
  <c r="F64" i="14701"/>
  <c r="C64" i="14701"/>
  <c r="H64" i="14701"/>
  <c r="D64" i="14701"/>
  <c r="L64" i="14701"/>
  <c r="K64" i="14701"/>
  <c r="J64" i="14701"/>
  <c r="I67" i="14700"/>
  <c r="F67" i="14700"/>
  <c r="J67" i="14700"/>
  <c r="L67" i="14700"/>
  <c r="H67" i="14700"/>
  <c r="G67" i="14700"/>
  <c r="N61" i="14702"/>
  <c r="N54" i="14701"/>
  <c r="N64" i="14700"/>
  <c r="D61" i="14701"/>
  <c r="G61" i="14701"/>
  <c r="I61" i="14701"/>
  <c r="M61" i="14701"/>
  <c r="F61" i="14701"/>
  <c r="B61" i="14701"/>
  <c r="C61" i="14701"/>
  <c r="H61" i="14701"/>
  <c r="K61" i="14701"/>
  <c r="L61" i="14701"/>
  <c r="J61" i="14701"/>
  <c r="E61" i="14701"/>
  <c r="C67" i="14702"/>
  <c r="B67" i="14702"/>
  <c r="B35" i="14679" a="1"/>
  <c r="N59" i="14702"/>
  <c r="G67" i="14702"/>
  <c r="F67" i="14702"/>
  <c r="J67" i="14702"/>
  <c r="L67" i="14702"/>
  <c r="H67" i="14690"/>
  <c r="G67" i="14690"/>
  <c r="F67" i="14690"/>
  <c r="E67" i="14690"/>
  <c r="B66" i="14701"/>
  <c r="M66" i="14701"/>
  <c r="C66" i="14701"/>
  <c r="D66" i="14701"/>
  <c r="H66" i="14701"/>
  <c r="J66" i="14701"/>
  <c r="G66" i="14701"/>
  <c r="E66" i="14701"/>
  <c r="F66" i="14701"/>
  <c r="I66" i="14701"/>
  <c r="K66" i="14701"/>
  <c r="L66" i="14701"/>
  <c r="N62" i="14700"/>
  <c r="N67" i="14698"/>
  <c r="C5" i="14634" a="1"/>
  <c r="F16" i="14706"/>
  <c r="H17" i="14706"/>
  <c r="C16" i="14649"/>
  <c r="B24" i="14649" s="1"/>
  <c r="C32" i="11"/>
  <c r="D6" i="11"/>
  <c r="D32" i="11" s="1"/>
  <c r="C46" i="14622"/>
  <c r="N7" i="14634"/>
  <c r="G7" i="14634"/>
  <c r="C7" i="14634"/>
  <c r="M7" i="14634"/>
  <c r="J7" i="14634"/>
  <c r="E7" i="14634"/>
  <c r="D7" i="14634"/>
  <c r="F7" i="14634"/>
  <c r="L7" i="14634"/>
  <c r="H7" i="14634"/>
  <c r="I7" i="14634"/>
  <c r="K7" i="14634"/>
  <c r="F46" i="14622"/>
  <c r="F7" i="14675"/>
  <c r="E7" i="14675"/>
  <c r="C7" i="14675"/>
  <c r="N7" i="14675"/>
  <c r="K7" i="14675"/>
  <c r="D7" i="14675"/>
  <c r="H7" i="14675"/>
  <c r="G7" i="14675"/>
  <c r="M7" i="14675"/>
  <c r="L7" i="14675"/>
  <c r="J7" i="14675"/>
  <c r="I7" i="14675"/>
  <c r="H9" i="14667"/>
  <c r="F5" i="14667"/>
  <c r="B19" i="14659"/>
  <c r="D28" i="14667"/>
  <c r="G11" i="14626"/>
  <c r="G9" i="14626" s="1"/>
  <c r="G29" i="14626" s="1"/>
  <c r="M16" i="14662"/>
  <c r="M73" i="14662" s="1"/>
  <c r="D41" i="14706"/>
  <c r="D46" i="14622"/>
  <c r="I7" i="14639"/>
  <c r="L7" i="14639"/>
  <c r="F7" i="14639"/>
  <c r="M7" i="14639"/>
  <c r="D7" i="14639"/>
  <c r="K7" i="14639"/>
  <c r="H7" i="14639"/>
  <c r="N7" i="14639"/>
  <c r="J7" i="14639"/>
  <c r="G7" i="14639"/>
  <c r="E7" i="14639"/>
  <c r="C7" i="14639"/>
  <c r="E46" i="14622"/>
  <c r="E7" i="14674"/>
  <c r="D7" i="14674"/>
  <c r="G7" i="14674"/>
  <c r="M7" i="14674"/>
  <c r="I7" i="14674"/>
  <c r="J7" i="14674"/>
  <c r="N7" i="14674"/>
  <c r="L7" i="14674"/>
  <c r="F7" i="14674"/>
  <c r="H7" i="14674"/>
  <c r="K7" i="14674"/>
  <c r="C7" i="14674"/>
  <c r="F29" i="14706"/>
  <c r="F51" i="14706" s="1"/>
  <c r="F40" i="14667"/>
  <c r="F15" i="14625"/>
  <c r="J15" i="14625"/>
  <c r="N15" i="14625"/>
  <c r="E15" i="14625"/>
  <c r="K15" i="14625"/>
  <c r="I15" i="14625"/>
  <c r="C15" i="14625"/>
  <c r="M15" i="14625"/>
  <c r="D15" i="14625"/>
  <c r="G15" i="14625"/>
  <c r="L15" i="14625"/>
  <c r="H15" i="14625"/>
  <c r="O78" i="14648"/>
  <c r="K6" i="14617"/>
  <c r="K7" i="14617"/>
  <c r="K5" i="14617"/>
  <c r="H98" i="14643"/>
  <c r="H92" i="14643"/>
  <c r="H93" i="14643"/>
  <c r="H95" i="14643"/>
  <c r="H94" i="14643"/>
  <c r="H96" i="14643"/>
  <c r="H97" i="14643"/>
  <c r="H99" i="14643"/>
  <c r="G35" i="4128"/>
  <c r="B39" i="14649" s="1" a="1"/>
  <c r="O5" i="14617"/>
  <c r="G23" i="4128"/>
  <c r="O6" i="14677"/>
  <c r="C11" i="4128" a="1"/>
  <c r="B48" i="14649" a="1"/>
  <c r="J56" i="14683"/>
  <c r="J52" i="14683"/>
  <c r="J55" i="14683"/>
  <c r="J49" i="14683"/>
  <c r="J54" i="14683"/>
  <c r="J51" i="14683"/>
  <c r="J50" i="14683"/>
  <c r="J53" i="14683"/>
  <c r="I100" i="14643"/>
  <c r="N5" i="14617" l="1" a="1"/>
  <c r="B5" i="14695" a="1"/>
  <c r="H5" i="14695" s="1"/>
  <c r="D11" i="14675"/>
  <c r="F11" i="14675"/>
  <c r="H11" i="14675"/>
  <c r="J11" i="14675"/>
  <c r="L11" i="14675"/>
  <c r="N11" i="14675"/>
  <c r="C11" i="14675"/>
  <c r="E11" i="14675"/>
  <c r="G11" i="14675"/>
  <c r="I11" i="14675"/>
  <c r="K11" i="14675"/>
  <c r="M11" i="14675"/>
  <c r="O11" i="14675"/>
  <c r="N59" i="14701"/>
  <c r="G5" i="14634"/>
  <c r="D5" i="14634"/>
  <c r="H5" i="14634"/>
  <c r="J5" i="14634"/>
  <c r="I5" i="14634"/>
  <c r="L5" i="14634"/>
  <c r="E5" i="14634"/>
  <c r="F5" i="14634"/>
  <c r="C5" i="14634"/>
  <c r="K5" i="14634"/>
  <c r="N5" i="14634"/>
  <c r="M5" i="14634"/>
  <c r="N66" i="14701"/>
  <c r="B37" i="14679"/>
  <c r="D39" i="14679"/>
  <c r="K37" i="14679"/>
  <c r="J37" i="14679"/>
  <c r="F38" i="14679"/>
  <c r="H37" i="14679"/>
  <c r="G40" i="14679"/>
  <c r="E36" i="14679"/>
  <c r="F41" i="14679"/>
  <c r="F35" i="14679"/>
  <c r="I37" i="14679"/>
  <c r="G39" i="14679"/>
  <c r="D35" i="14679"/>
  <c r="D42" i="14679"/>
  <c r="L39" i="14679"/>
  <c r="E42" i="14679"/>
  <c r="H42" i="14679"/>
  <c r="B41" i="14679"/>
  <c r="L37" i="14679"/>
  <c r="G38" i="14679"/>
  <c r="C35" i="14679"/>
  <c r="F40" i="14679"/>
  <c r="B35" i="14679"/>
  <c r="C40" i="14679"/>
  <c r="M39" i="14679"/>
  <c r="D37" i="14679"/>
  <c r="E40" i="14679"/>
  <c r="J41" i="14679"/>
  <c r="E39" i="14679"/>
  <c r="G37" i="14679"/>
  <c r="H40" i="14679"/>
  <c r="M38" i="14679"/>
  <c r="L42" i="14679"/>
  <c r="K40" i="14679"/>
  <c r="D40" i="14679"/>
  <c r="B40" i="14679"/>
  <c r="J38" i="14679"/>
  <c r="I41" i="14679"/>
  <c r="E35" i="14679"/>
  <c r="M36" i="14679"/>
  <c r="E41" i="14679"/>
  <c r="C41" i="14679"/>
  <c r="J39" i="14679"/>
  <c r="I40" i="14679"/>
  <c r="C37" i="14679"/>
  <c r="F39" i="14679"/>
  <c r="K42" i="14679"/>
  <c r="I36" i="14679"/>
  <c r="J36" i="14679"/>
  <c r="C39" i="14679"/>
  <c r="D38" i="14679"/>
  <c r="F42" i="14679"/>
  <c r="J35" i="14679"/>
  <c r="C36" i="14679"/>
  <c r="G42" i="14679"/>
  <c r="H35" i="14679"/>
  <c r="B42" i="14679"/>
  <c r="C42" i="14679"/>
  <c r="B36" i="14679"/>
  <c r="K38" i="14679"/>
  <c r="K35" i="14679"/>
  <c r="I39" i="14679"/>
  <c r="M42" i="14679"/>
  <c r="B39" i="14679"/>
  <c r="J40" i="14679"/>
  <c r="F36" i="14679"/>
  <c r="M35" i="14679"/>
  <c r="K41" i="14679"/>
  <c r="E38" i="14679"/>
  <c r="L35" i="14679"/>
  <c r="G41" i="14679"/>
  <c r="I35" i="14679"/>
  <c r="B38" i="14679"/>
  <c r="L36" i="14679"/>
  <c r="L38" i="14679"/>
  <c r="C38" i="14679"/>
  <c r="M41" i="14679"/>
  <c r="E37" i="14679"/>
  <c r="M40" i="14679"/>
  <c r="I42" i="14679"/>
  <c r="H38" i="14679"/>
  <c r="F37" i="14679"/>
  <c r="D41" i="14679"/>
  <c r="G36" i="14679"/>
  <c r="K36" i="14679"/>
  <c r="I38" i="14679"/>
  <c r="D36" i="14679"/>
  <c r="L41" i="14679"/>
  <c r="M37" i="14679"/>
  <c r="J42" i="14679"/>
  <c r="H39" i="14679"/>
  <c r="H41" i="14679"/>
  <c r="G35" i="14679"/>
  <c r="K39" i="14679"/>
  <c r="H36" i="14679"/>
  <c r="L40" i="14679"/>
  <c r="N64" i="14701"/>
  <c r="K50" i="14632" a="1"/>
  <c r="K50" i="14632" s="1"/>
  <c r="L51" i="14632" a="1"/>
  <c r="L51" i="14632" s="1"/>
  <c r="I48" i="14632" a="1"/>
  <c r="I48" i="14632" s="1"/>
  <c r="N53" i="14632" a="1"/>
  <c r="N53" i="14632" s="1"/>
  <c r="J49" i="14632" a="1"/>
  <c r="J49" i="14632" s="1"/>
  <c r="I43" i="14632"/>
  <c r="M52" i="14632" a="1"/>
  <c r="M52" i="14632" s="1"/>
  <c r="O54" i="14632" a="1"/>
  <c r="O54" i="14632" s="1"/>
  <c r="N37" i="14632"/>
  <c r="N40" i="14632"/>
  <c r="I53" i="14632" a="1"/>
  <c r="I53" i="14632" s="1"/>
  <c r="E49" i="14632" a="1"/>
  <c r="E49" i="14632" s="1"/>
  <c r="F50" i="14632" a="1"/>
  <c r="F50" i="14632" s="1"/>
  <c r="J54" i="14632" a="1"/>
  <c r="J54" i="14632" s="1"/>
  <c r="H52" i="14632" a="1"/>
  <c r="H52" i="14632" s="1"/>
  <c r="D48" i="14632" a="1"/>
  <c r="D48" i="14632" s="1"/>
  <c r="G51" i="14632" a="1"/>
  <c r="G51" i="14632" s="1"/>
  <c r="D43" i="14632"/>
  <c r="L43" i="14632"/>
  <c r="P52" i="14632" a="1"/>
  <c r="P52" i="14632" s="1"/>
  <c r="L48" i="14632" a="1"/>
  <c r="L48" i="14632" s="1"/>
  <c r="R54" i="14632" a="1"/>
  <c r="R54" i="14632" s="1"/>
  <c r="N50" i="14632" a="1"/>
  <c r="N50" i="14632" s="1"/>
  <c r="O51" i="14632" a="1"/>
  <c r="O51" i="14632" s="1"/>
  <c r="Q53" i="14632" a="1"/>
  <c r="Q53" i="14632" s="1"/>
  <c r="M49" i="14632" a="1"/>
  <c r="M49" i="14632" s="1"/>
  <c r="D50" i="14632" a="1"/>
  <c r="D50" i="14632" s="1"/>
  <c r="N35" i="14632"/>
  <c r="C49" i="14632" a="1"/>
  <c r="C49" i="14632" s="1"/>
  <c r="G53" i="14632" a="1"/>
  <c r="G53" i="14632" s="1"/>
  <c r="F52" i="14632" a="1"/>
  <c r="F52" i="14632" s="1"/>
  <c r="B43" i="14632"/>
  <c r="E51" i="14632" a="1"/>
  <c r="E51" i="14632" s="1"/>
  <c r="H54" i="14632" a="1"/>
  <c r="H54" i="14632" s="1"/>
  <c r="B48" i="14632" a="1"/>
  <c r="B48" i="14632" s="1"/>
  <c r="B55" i="14632" s="1"/>
  <c r="G49" i="14632" a="1"/>
  <c r="G49" i="14632" s="1"/>
  <c r="J52" i="14632" a="1"/>
  <c r="J52" i="14632" s="1"/>
  <c r="F48" i="14632" a="1"/>
  <c r="F48" i="14632" s="1"/>
  <c r="F43" i="14632"/>
  <c r="K53" i="14632" a="1"/>
  <c r="K53" i="14632" s="1"/>
  <c r="I51" i="14632" a="1"/>
  <c r="I51" i="14632" s="1"/>
  <c r="H50" i="14632" a="1"/>
  <c r="H50" i="14632" s="1"/>
  <c r="L54" i="14632" a="1"/>
  <c r="L54" i="14632" s="1"/>
  <c r="S54" i="14632" a="1"/>
  <c r="S54" i="14632" s="1"/>
  <c r="Q52" i="14632" a="1"/>
  <c r="Q52" i="14632" s="1"/>
  <c r="P51" i="14632" a="1"/>
  <c r="P51" i="14632" s="1"/>
  <c r="M43" i="14632"/>
  <c r="N49" i="14632" a="1"/>
  <c r="N49" i="14632" s="1"/>
  <c r="R53" i="14632" a="1"/>
  <c r="R53" i="14632" s="1"/>
  <c r="M48" i="14632" a="1"/>
  <c r="M48" i="14632" s="1"/>
  <c r="O50" i="14632" a="1"/>
  <c r="O50" i="14632" s="1"/>
  <c r="K51" i="14632" a="1"/>
  <c r="K51" i="14632" s="1"/>
  <c r="N54" i="14632" a="1"/>
  <c r="N54" i="14632" s="1"/>
  <c r="J50" i="14632" a="1"/>
  <c r="J50" i="14632" s="1"/>
  <c r="L52" i="14632" a="1"/>
  <c r="L52" i="14632" s="1"/>
  <c r="M53" i="14632" a="1"/>
  <c r="M53" i="14632" s="1"/>
  <c r="H48" i="14632" a="1"/>
  <c r="H48" i="14632" s="1"/>
  <c r="I49" i="14632" a="1"/>
  <c r="I49" i="14632" s="1"/>
  <c r="H43" i="14632"/>
  <c r="I54" i="14632" a="1"/>
  <c r="I54" i="14632" s="1"/>
  <c r="D49" i="14632" a="1"/>
  <c r="D49" i="14632" s="1"/>
  <c r="H53" i="14632" a="1"/>
  <c r="H53" i="14632" s="1"/>
  <c r="C43" i="14632"/>
  <c r="C48" i="14632" a="1"/>
  <c r="C48" i="14632" s="1"/>
  <c r="G52" i="14632" a="1"/>
  <c r="G52" i="14632" s="1"/>
  <c r="F51" i="14632" a="1"/>
  <c r="F51" i="14632" s="1"/>
  <c r="E50" i="14632" a="1"/>
  <c r="E50" i="14632" s="1"/>
  <c r="B4" i="14694" a="1"/>
  <c r="E4" i="14694" s="1"/>
  <c r="N67" i="14700"/>
  <c r="C5" i="14639" a="1"/>
  <c r="G67" i="14701"/>
  <c r="F67" i="14701"/>
  <c r="M67" i="14701"/>
  <c r="C67" i="14701"/>
  <c r="E67" i="14701"/>
  <c r="I67" i="14701"/>
  <c r="N63" i="14701"/>
  <c r="B5" i="14695"/>
  <c r="C5" i="14675" a="1"/>
  <c r="N67" i="14702"/>
  <c r="N61" i="14701"/>
  <c r="N65" i="14701"/>
  <c r="K52" i="14632" a="1"/>
  <c r="K52" i="14632" s="1"/>
  <c r="G43" i="14632"/>
  <c r="M54" i="14632" a="1"/>
  <c r="M54" i="14632" s="1"/>
  <c r="G48" i="14632" a="1"/>
  <c r="G48" i="14632" s="1"/>
  <c r="I50" i="14632" a="1"/>
  <c r="I50" i="14632" s="1"/>
  <c r="L53" i="14632" a="1"/>
  <c r="L53" i="14632" s="1"/>
  <c r="J51" i="14632" a="1"/>
  <c r="J51" i="14632" s="1"/>
  <c r="H49" i="14632" a="1"/>
  <c r="H49" i="14632" s="1"/>
  <c r="N39" i="14632"/>
  <c r="N52" i="14632" a="1"/>
  <c r="N52" i="14632" s="1"/>
  <c r="O53" i="14632" a="1"/>
  <c r="O53" i="14632" s="1"/>
  <c r="K49" i="14632" a="1"/>
  <c r="K49" i="14632" s="1"/>
  <c r="L50" i="14632" a="1"/>
  <c r="L50" i="14632" s="1"/>
  <c r="P54" i="14632" a="1"/>
  <c r="P54" i="14632" s="1"/>
  <c r="J43" i="14632"/>
  <c r="J48" i="14632" a="1"/>
  <c r="J48" i="14632" s="1"/>
  <c r="M51" i="14632" a="1"/>
  <c r="M51" i="14632" s="1"/>
  <c r="N38" i="14632"/>
  <c r="P53" i="14632" a="1"/>
  <c r="P53" i="14632" s="1"/>
  <c r="M50" i="14632" a="1"/>
  <c r="M50" i="14632" s="1"/>
  <c r="Q54" i="14632" a="1"/>
  <c r="Q54" i="14632" s="1"/>
  <c r="N51" i="14632" a="1"/>
  <c r="N51" i="14632" s="1"/>
  <c r="K48" i="14632" a="1"/>
  <c r="K48" i="14632" s="1"/>
  <c r="O52" i="14632" a="1"/>
  <c r="O52" i="14632" s="1"/>
  <c r="L49" i="14632" a="1"/>
  <c r="L49" i="14632" s="1"/>
  <c r="K43" i="14632"/>
  <c r="H51" i="14632" a="1"/>
  <c r="H51" i="14632" s="1"/>
  <c r="G50" i="14632" a="1"/>
  <c r="G50" i="14632" s="1"/>
  <c r="E43" i="14632"/>
  <c r="K54" i="14632" a="1"/>
  <c r="K54" i="14632" s="1"/>
  <c r="J53" i="14632" a="1"/>
  <c r="J53" i="14632" s="1"/>
  <c r="F49" i="14632" a="1"/>
  <c r="F49" i="14632" s="1"/>
  <c r="E48" i="14632" a="1"/>
  <c r="E48" i="14632" s="1"/>
  <c r="I52" i="14632" a="1"/>
  <c r="I52" i="14632" s="1"/>
  <c r="N42" i="14632"/>
  <c r="N41" i="14632"/>
  <c r="N36" i="14632"/>
  <c r="N62" i="14701"/>
  <c r="G4" i="14694"/>
  <c r="F4" i="14694"/>
  <c r="B4" i="14692" a="1"/>
  <c r="G4" i="14692" s="1"/>
  <c r="J36" i="14638"/>
  <c r="J41" i="14638"/>
  <c r="D36" i="14638"/>
  <c r="B40" i="14638"/>
  <c r="E38" i="14638"/>
  <c r="E36" i="14638"/>
  <c r="L41" i="14638"/>
  <c r="H41" i="14638"/>
  <c r="D40" i="14638"/>
  <c r="F38" i="14638"/>
  <c r="C36" i="14638"/>
  <c r="B37" i="14638"/>
  <c r="I37" i="14638"/>
  <c r="I36" i="14638"/>
  <c r="G38" i="14638"/>
  <c r="C39" i="14638"/>
  <c r="H40" i="14638"/>
  <c r="I39" i="14638"/>
  <c r="J35" i="14638"/>
  <c r="K42" i="14638"/>
  <c r="H35" i="14638"/>
  <c r="I40" i="14638"/>
  <c r="I35" i="14638"/>
  <c r="J42" i="14638"/>
  <c r="L42" i="14638"/>
  <c r="B42" i="14638"/>
  <c r="H37" i="14638"/>
  <c r="F40" i="14638"/>
  <c r="K39" i="14638"/>
  <c r="G41" i="14638"/>
  <c r="C35" i="14638"/>
  <c r="K36" i="14638"/>
  <c r="D35" i="14638"/>
  <c r="G37" i="14638"/>
  <c r="D38" i="14638"/>
  <c r="M36" i="14638"/>
  <c r="F39" i="14638"/>
  <c r="F35" i="14638"/>
  <c r="H42" i="14638"/>
  <c r="G42" i="14638"/>
  <c r="G36" i="14638"/>
  <c r="E35" i="14638"/>
  <c r="I41" i="14638"/>
  <c r="G40" i="14638"/>
  <c r="L37" i="14638"/>
  <c r="C42" i="14638"/>
  <c r="H38" i="14638"/>
  <c r="M39" i="14638"/>
  <c r="M38" i="14638"/>
  <c r="C41" i="14638"/>
  <c r="C40" i="14638"/>
  <c r="J40" i="14638"/>
  <c r="M35" i="14638"/>
  <c r="L38" i="14638"/>
  <c r="B38" i="14638"/>
  <c r="G39" i="14638"/>
  <c r="D39" i="14638"/>
  <c r="I38" i="14638"/>
  <c r="B35" i="14638"/>
  <c r="K35" i="14638"/>
  <c r="E41" i="14638"/>
  <c r="H36" i="14638"/>
  <c r="B36" i="14638"/>
  <c r="K40" i="14638"/>
  <c r="C37" i="14638"/>
  <c r="D37" i="14638"/>
  <c r="M37" i="14638"/>
  <c r="J39" i="14638"/>
  <c r="L36" i="14638"/>
  <c r="L39" i="14638"/>
  <c r="D42" i="14638"/>
  <c r="D41" i="14638"/>
  <c r="F37" i="14638"/>
  <c r="M42" i="14638"/>
  <c r="F42" i="14638"/>
  <c r="E39" i="14638"/>
  <c r="M41" i="14638"/>
  <c r="E37" i="14638"/>
  <c r="K37" i="14638"/>
  <c r="C38" i="14638"/>
  <c r="B41" i="14638"/>
  <c r="L40" i="14638"/>
  <c r="K41" i="14638"/>
  <c r="E42" i="14638"/>
  <c r="E40" i="14638"/>
  <c r="L35" i="14638"/>
  <c r="J38" i="14638"/>
  <c r="H39" i="14638"/>
  <c r="K38" i="14638"/>
  <c r="B39" i="14638"/>
  <c r="F41" i="14638"/>
  <c r="G35" i="14638"/>
  <c r="J37" i="14638"/>
  <c r="M40" i="14638"/>
  <c r="F36" i="14638"/>
  <c r="I42" i="14638"/>
  <c r="N60" i="14701"/>
  <c r="B67" i="14701"/>
  <c r="B35" i="14678" a="1"/>
  <c r="H67" i="14701"/>
  <c r="J67" i="14701"/>
  <c r="L67" i="14701"/>
  <c r="K67" i="14701"/>
  <c r="D67" i="14701"/>
  <c r="O7" i="14639"/>
  <c r="C82" i="14689" a="1"/>
  <c r="D82" i="14689" s="1"/>
  <c r="D26" i="14667"/>
  <c r="F28" i="14667"/>
  <c r="O7" i="14675"/>
  <c r="H26" i="14622"/>
  <c r="C15" i="14649"/>
  <c r="D7" i="14690" a="1"/>
  <c r="H16" i="14706"/>
  <c r="J17" i="14706"/>
  <c r="O7" i="14674"/>
  <c r="F41" i="14706"/>
  <c r="D39" i="14706"/>
  <c r="B20" i="14659"/>
  <c r="F20" i="14667" s="1"/>
  <c r="F19" i="14659"/>
  <c r="D18" i="14659"/>
  <c r="C19" i="14659"/>
  <c r="J9" i="14667"/>
  <c r="H5" i="14667"/>
  <c r="O7" i="14634"/>
  <c r="E22" i="11" a="1"/>
  <c r="E6" i="11" a="1"/>
  <c r="B26" i="14622"/>
  <c r="B28" i="14622" s="1"/>
  <c r="E16" i="11" a="1"/>
  <c r="E32" i="11"/>
  <c r="O15" i="14625"/>
  <c r="F50" i="14667"/>
  <c r="B45" i="14649" s="1"/>
  <c r="F48" i="14649"/>
  <c r="E48" i="14649"/>
  <c r="B48" i="14649"/>
  <c r="C48" i="14649"/>
  <c r="D48" i="14649"/>
  <c r="F39" i="14649"/>
  <c r="B60" i="14649" s="1"/>
  <c r="D39" i="14649"/>
  <c r="B58" i="14649" s="1"/>
  <c r="B39" i="14649"/>
  <c r="C39" i="14649"/>
  <c r="B57" i="14649" s="1"/>
  <c r="E39" i="14649"/>
  <c r="B59" i="14649" s="1"/>
  <c r="G11" i="4128"/>
  <c r="N23" i="14708" s="1"/>
  <c r="N30" i="14708" s="1"/>
  <c r="N31" i="14708" s="1"/>
  <c r="F11" i="4128"/>
  <c r="L23" i="14708" s="1"/>
  <c r="L30" i="14708" s="1"/>
  <c r="L31" i="14708" s="1"/>
  <c r="D11" i="4128"/>
  <c r="H23" i="14708" s="1"/>
  <c r="H30" i="14708" s="1"/>
  <c r="H31" i="14708" s="1"/>
  <c r="E11" i="4128"/>
  <c r="J23" i="14708" s="1"/>
  <c r="J30" i="14708" s="1"/>
  <c r="J31" i="14708" s="1"/>
  <c r="C11" i="4128"/>
  <c r="F23" i="14708" s="1"/>
  <c r="F30" i="14708" s="1"/>
  <c r="N5" i="14617" l="1"/>
  <c r="N6" i="14617"/>
  <c r="N7" i="14617"/>
  <c r="F8" i="14706"/>
  <c r="E5" i="14695"/>
  <c r="F5" i="14695"/>
  <c r="C5" i="14695"/>
  <c r="D5" i="14695"/>
  <c r="G5" i="14695"/>
  <c r="D29" i="14682" a="1"/>
  <c r="E55" i="14632"/>
  <c r="C55" i="14632"/>
  <c r="N39" i="14638"/>
  <c r="I35" i="14678"/>
  <c r="K37" i="14678"/>
  <c r="G42" i="14678"/>
  <c r="D40" i="14678"/>
  <c r="K35" i="14678"/>
  <c r="B40" i="14678"/>
  <c r="M37" i="14678"/>
  <c r="F41" i="14678"/>
  <c r="E42" i="14678"/>
  <c r="J38" i="14678"/>
  <c r="K41" i="14678"/>
  <c r="M42" i="14678"/>
  <c r="J39" i="14678"/>
  <c r="H37" i="14678"/>
  <c r="F36" i="14678"/>
  <c r="L35" i="14678"/>
  <c r="L37" i="14678"/>
  <c r="F40" i="14678"/>
  <c r="K38" i="14678"/>
  <c r="C36" i="14678"/>
  <c r="I41" i="14678"/>
  <c r="L41" i="14678"/>
  <c r="F42" i="14678"/>
  <c r="E36" i="14678"/>
  <c r="K42" i="14678"/>
  <c r="G36" i="14678"/>
  <c r="I37" i="14678"/>
  <c r="E37" i="14678"/>
  <c r="J36" i="14678"/>
  <c r="E35" i="14678"/>
  <c r="B42" i="14678"/>
  <c r="G40" i="14678"/>
  <c r="C42" i="14678"/>
  <c r="H40" i="14678"/>
  <c r="E38" i="14678"/>
  <c r="K36" i="14678"/>
  <c r="G38" i="14678"/>
  <c r="J42" i="14678"/>
  <c r="I36" i="14678"/>
  <c r="H41" i="14678"/>
  <c r="C37" i="14678"/>
  <c r="E41" i="14678"/>
  <c r="L42" i="14678"/>
  <c r="C35" i="14678"/>
  <c r="M38" i="14678"/>
  <c r="D42" i="14678"/>
  <c r="B37" i="14678"/>
  <c r="I42" i="14678"/>
  <c r="B36" i="14678"/>
  <c r="H36" i="14678"/>
  <c r="L40" i="14678"/>
  <c r="I40" i="14678"/>
  <c r="D35" i="14678"/>
  <c r="K40" i="14678"/>
  <c r="C40" i="14678"/>
  <c r="H35" i="14678"/>
  <c r="B35" i="14678"/>
  <c r="I39" i="14678"/>
  <c r="H42" i="14678"/>
  <c r="F35" i="14678"/>
  <c r="M41" i="14678"/>
  <c r="D41" i="14678"/>
  <c r="M39" i="14678"/>
  <c r="K39" i="14678"/>
  <c r="G41" i="14678"/>
  <c r="J40" i="14678"/>
  <c r="J41" i="14678"/>
  <c r="D38" i="14678"/>
  <c r="L36" i="14678"/>
  <c r="G35" i="14678"/>
  <c r="B38" i="14678"/>
  <c r="H39" i="14678"/>
  <c r="G37" i="14678"/>
  <c r="H38" i="14678"/>
  <c r="L38" i="14678"/>
  <c r="B39" i="14678"/>
  <c r="L39" i="14678"/>
  <c r="F37" i="14678"/>
  <c r="C38" i="14678"/>
  <c r="M36" i="14678"/>
  <c r="B41" i="14678"/>
  <c r="D39" i="14678"/>
  <c r="F39" i="14678"/>
  <c r="E40" i="14678"/>
  <c r="D37" i="14678"/>
  <c r="E39" i="14678"/>
  <c r="M40" i="14678"/>
  <c r="C41" i="14678"/>
  <c r="G39" i="14678"/>
  <c r="I38" i="14678"/>
  <c r="J37" i="14678"/>
  <c r="J35" i="14678"/>
  <c r="F38" i="14678"/>
  <c r="C39" i="14678"/>
  <c r="M35" i="14678"/>
  <c r="D36" i="14678"/>
  <c r="N41" i="14638"/>
  <c r="N36" i="14638"/>
  <c r="B48" i="14638" a="1"/>
  <c r="B48" i="14638" s="1"/>
  <c r="C49" i="14638" a="1"/>
  <c r="C49" i="14638" s="1"/>
  <c r="H54" i="14638" a="1"/>
  <c r="H54" i="14638" s="1"/>
  <c r="D50" i="14638" a="1"/>
  <c r="D50" i="14638" s="1"/>
  <c r="N35" i="14638"/>
  <c r="B43" i="14638"/>
  <c r="G53" i="14638" a="1"/>
  <c r="G53" i="14638" s="1"/>
  <c r="F52" i="14638" a="1"/>
  <c r="F52" i="14638" s="1"/>
  <c r="E51" i="14638" a="1"/>
  <c r="E51" i="14638" s="1"/>
  <c r="N38" i="14638"/>
  <c r="R53" i="14638" a="1"/>
  <c r="R53" i="14638" s="1"/>
  <c r="M43" i="14638"/>
  <c r="S54" i="14638" a="1"/>
  <c r="S54" i="14638" s="1"/>
  <c r="P51" i="14638" a="1"/>
  <c r="P51" i="14638" s="1"/>
  <c r="N49" i="14638" a="1"/>
  <c r="N49" i="14638" s="1"/>
  <c r="O50" i="14638" a="1"/>
  <c r="O50" i="14638" s="1"/>
  <c r="Q52" i="14638" a="1"/>
  <c r="Q52" i="14638" s="1"/>
  <c r="M48" i="14638" a="1"/>
  <c r="M48" i="14638" s="1"/>
  <c r="D48" i="14638" a="1"/>
  <c r="D48" i="14638" s="1"/>
  <c r="F50" i="14638" a="1"/>
  <c r="F50" i="14638" s="1"/>
  <c r="H52" i="14638" a="1"/>
  <c r="H52" i="14638" s="1"/>
  <c r="E49" i="14638" a="1"/>
  <c r="E49" i="14638" s="1"/>
  <c r="D43" i="14638"/>
  <c r="G51" i="14638" a="1"/>
  <c r="G51" i="14638" s="1"/>
  <c r="I53" i="14638" a="1"/>
  <c r="I53" i="14638" s="1"/>
  <c r="J54" i="14638" a="1"/>
  <c r="J54" i="14638" s="1"/>
  <c r="D49" i="14638" a="1"/>
  <c r="D49" i="14638" s="1"/>
  <c r="E50" i="14638" a="1"/>
  <c r="E50" i="14638" s="1"/>
  <c r="C48" i="14638" a="1"/>
  <c r="C48" i="14638" s="1"/>
  <c r="C43" i="14638"/>
  <c r="F51" i="14638" a="1"/>
  <c r="F51" i="14638" s="1"/>
  <c r="I54" i="14638" a="1"/>
  <c r="I54" i="14638" s="1"/>
  <c r="G52" i="14638" a="1"/>
  <c r="G52" i="14638" s="1"/>
  <c r="H53" i="14638" a="1"/>
  <c r="H53" i="14638" s="1"/>
  <c r="I43" i="14638"/>
  <c r="L51" i="14638" a="1"/>
  <c r="L51" i="14638" s="1"/>
  <c r="J49" i="14638" a="1"/>
  <c r="J49" i="14638" s="1"/>
  <c r="O54" i="14638" a="1"/>
  <c r="O54" i="14638" s="1"/>
  <c r="K50" i="14638" a="1"/>
  <c r="K50" i="14638" s="1"/>
  <c r="I48" i="14638" a="1"/>
  <c r="I48" i="14638" s="1"/>
  <c r="M52" i="14638" a="1"/>
  <c r="M52" i="14638" s="1"/>
  <c r="N53" i="14638" a="1"/>
  <c r="N53" i="14638" s="1"/>
  <c r="J50" i="14638" a="1"/>
  <c r="J50" i="14638" s="1"/>
  <c r="L52" i="14638" a="1"/>
  <c r="L52" i="14638" s="1"/>
  <c r="I49" i="14638" a="1"/>
  <c r="I49" i="14638" s="1"/>
  <c r="H43" i="14638"/>
  <c r="K51" i="14638" a="1"/>
  <c r="K51" i="14638" s="1"/>
  <c r="H48" i="14638" a="1"/>
  <c r="H48" i="14638" s="1"/>
  <c r="N54" i="14638" a="1"/>
  <c r="N54" i="14638" s="1"/>
  <c r="M53" i="14638" a="1"/>
  <c r="M53" i="14638" s="1"/>
  <c r="K49" i="14638" a="1"/>
  <c r="K49" i="14638" s="1"/>
  <c r="M51" i="14638" a="1"/>
  <c r="M51" i="14638" s="1"/>
  <c r="J48" i="14638" a="1"/>
  <c r="J48" i="14638" s="1"/>
  <c r="J43" i="14638"/>
  <c r="P54" i="14638" a="1"/>
  <c r="P54" i="14638" s="1"/>
  <c r="N52" i="14638" a="1"/>
  <c r="N52" i="14638" s="1"/>
  <c r="O53" i="14638" a="1"/>
  <c r="O53" i="14638" s="1"/>
  <c r="L50" i="14638" a="1"/>
  <c r="L50" i="14638" s="1"/>
  <c r="F4" i="14692"/>
  <c r="K55" i="14632"/>
  <c r="K5" i="14675"/>
  <c r="M5" i="14675"/>
  <c r="H5" i="14675"/>
  <c r="F5" i="14675"/>
  <c r="J5" i="14675"/>
  <c r="I5" i="14675"/>
  <c r="C5" i="14675"/>
  <c r="N5" i="14675"/>
  <c r="E5" i="14675"/>
  <c r="G5" i="14675"/>
  <c r="L5" i="14675"/>
  <c r="D5" i="14675"/>
  <c r="K5" i="14639"/>
  <c r="N5" i="14639"/>
  <c r="H5" i="14639"/>
  <c r="L5" i="14639"/>
  <c r="I5" i="14639"/>
  <c r="E5" i="14639"/>
  <c r="J5" i="14639"/>
  <c r="F5" i="14639"/>
  <c r="M5" i="14639"/>
  <c r="D5" i="14639"/>
  <c r="C5" i="14639"/>
  <c r="G5" i="14639"/>
  <c r="H4" i="14694"/>
  <c r="M55" i="14632"/>
  <c r="N55" i="14632"/>
  <c r="B49" i="14638" a="1"/>
  <c r="P55" i="14632"/>
  <c r="D51" i="14638" a="1"/>
  <c r="G54" i="14638"/>
  <c r="S55" i="14632"/>
  <c r="F55" i="14632"/>
  <c r="N43" i="14632"/>
  <c r="D55" i="14632"/>
  <c r="M54" i="14679" a="1"/>
  <c r="M54" i="14679" s="1"/>
  <c r="J51" i="14679" a="1"/>
  <c r="J51" i="14679" s="1"/>
  <c r="K52" i="14679" a="1"/>
  <c r="K52" i="14679" s="1"/>
  <c r="I50" i="14679" a="1"/>
  <c r="I50" i="14679" s="1"/>
  <c r="H49" i="14679" a="1"/>
  <c r="H49" i="14679" s="1"/>
  <c r="G48" i="14679" a="1"/>
  <c r="G48" i="14679" s="1"/>
  <c r="L53" i="14679" a="1"/>
  <c r="L53" i="14679" s="1"/>
  <c r="G43" i="14679"/>
  <c r="N38" i="14679"/>
  <c r="S54" i="14679" a="1"/>
  <c r="S54" i="14679" s="1"/>
  <c r="S55" i="14679" s="1"/>
  <c r="Q52" i="14679" a="1"/>
  <c r="Q52" i="14679" s="1"/>
  <c r="M43" i="14679"/>
  <c r="R53" i="14679" a="1"/>
  <c r="R53" i="14679" s="1"/>
  <c r="N49" i="14679" a="1"/>
  <c r="N49" i="14679" s="1"/>
  <c r="P51" i="14679" a="1"/>
  <c r="P51" i="14679" s="1"/>
  <c r="O50" i="14679" a="1"/>
  <c r="O50" i="14679" s="1"/>
  <c r="M48" i="14679" a="1"/>
  <c r="M48" i="14679" s="1"/>
  <c r="K48" i="14679" a="1"/>
  <c r="K48" i="14679" s="1"/>
  <c r="O52" i="14679" a="1"/>
  <c r="O52" i="14679" s="1"/>
  <c r="Q54" i="14679" a="1"/>
  <c r="Q54" i="14679" s="1"/>
  <c r="L49" i="14679" a="1"/>
  <c r="L49" i="14679" s="1"/>
  <c r="K43" i="14679"/>
  <c r="N51" i="14679" a="1"/>
  <c r="N51" i="14679" s="1"/>
  <c r="M50" i="14679" a="1"/>
  <c r="M50" i="14679" s="1"/>
  <c r="P53" i="14679" a="1"/>
  <c r="P53" i="14679" s="1"/>
  <c r="N36" i="14679"/>
  <c r="N42" i="14679"/>
  <c r="M51" i="14679" a="1"/>
  <c r="M51" i="14679" s="1"/>
  <c r="O53" i="14679" a="1"/>
  <c r="O53" i="14679" s="1"/>
  <c r="P54" i="14679" a="1"/>
  <c r="P54" i="14679" s="1"/>
  <c r="J43" i="14679"/>
  <c r="K49" i="14679" a="1"/>
  <c r="K49" i="14679" s="1"/>
  <c r="J48" i="14679" a="1"/>
  <c r="J48" i="14679" s="1"/>
  <c r="L50" i="14679" a="1"/>
  <c r="L50" i="14679" s="1"/>
  <c r="N52" i="14679" a="1"/>
  <c r="N52" i="14679" s="1"/>
  <c r="F49" i="14679" a="1"/>
  <c r="F49" i="14679" s="1"/>
  <c r="H51" i="14679" a="1"/>
  <c r="H51" i="14679" s="1"/>
  <c r="G50" i="14679" a="1"/>
  <c r="G50" i="14679" s="1"/>
  <c r="E48" i="14679" a="1"/>
  <c r="E48" i="14679" s="1"/>
  <c r="K54" i="14679" a="1"/>
  <c r="K54" i="14679" s="1"/>
  <c r="J53" i="14679" a="1"/>
  <c r="J53" i="14679" s="1"/>
  <c r="E43" i="14679"/>
  <c r="I52" i="14679" a="1"/>
  <c r="I52" i="14679" s="1"/>
  <c r="G53" i="14679" a="1"/>
  <c r="G53" i="14679" s="1"/>
  <c r="F52" i="14679" a="1"/>
  <c r="F52" i="14679" s="1"/>
  <c r="N35" i="14679"/>
  <c r="B43" i="14679"/>
  <c r="B48" i="14679" a="1"/>
  <c r="B48" i="14679" s="1"/>
  <c r="D50" i="14679" a="1"/>
  <c r="D50" i="14679" s="1"/>
  <c r="E51" i="14679" a="1"/>
  <c r="E51" i="14679" s="1"/>
  <c r="H54" i="14679" a="1"/>
  <c r="H54" i="14679" s="1"/>
  <c r="C49" i="14679" a="1"/>
  <c r="C49" i="14679" s="1"/>
  <c r="G52" i="14679" a="1"/>
  <c r="G52" i="14679" s="1"/>
  <c r="C43" i="14679"/>
  <c r="E50" i="14679" a="1"/>
  <c r="E50" i="14679" s="1"/>
  <c r="C48" i="14679" a="1"/>
  <c r="C48" i="14679" s="1"/>
  <c r="D49" i="14679" a="1"/>
  <c r="D49" i="14679" s="1"/>
  <c r="H53" i="14679" a="1"/>
  <c r="H53" i="14679" s="1"/>
  <c r="I54" i="14679" a="1"/>
  <c r="I54" i="14679" s="1"/>
  <c r="F51" i="14679" a="1"/>
  <c r="F51" i="14679" s="1"/>
  <c r="J54" i="14679" a="1"/>
  <c r="J54" i="14679" s="1"/>
  <c r="D48" i="14679" a="1"/>
  <c r="D48" i="14679" s="1"/>
  <c r="F50" i="14679" a="1"/>
  <c r="F50" i="14679" s="1"/>
  <c r="D43" i="14679"/>
  <c r="I53" i="14679" a="1"/>
  <c r="I53" i="14679" s="1"/>
  <c r="H52" i="14679" a="1"/>
  <c r="H52" i="14679" s="1"/>
  <c r="G51" i="14679" a="1"/>
  <c r="G51" i="14679" s="1"/>
  <c r="E49" i="14679" a="1"/>
  <c r="E49" i="14679" s="1"/>
  <c r="N37" i="14679"/>
  <c r="C5" i="14674" a="1"/>
  <c r="N67" i="14701"/>
  <c r="G43" i="14638"/>
  <c r="G48" i="14638" a="1"/>
  <c r="G48" i="14638" s="1"/>
  <c r="M54" i="14638" a="1"/>
  <c r="M54" i="14638" s="1"/>
  <c r="H49" i="14638" a="1"/>
  <c r="H49" i="14638" s="1"/>
  <c r="I50" i="14638" a="1"/>
  <c r="I50" i="14638" s="1"/>
  <c r="J51" i="14638" a="1"/>
  <c r="J51" i="14638" s="1"/>
  <c r="L53" i="14638" a="1"/>
  <c r="L53" i="14638" s="1"/>
  <c r="K52" i="14638" a="1"/>
  <c r="K52" i="14638" s="1"/>
  <c r="N50" i="14638" a="1"/>
  <c r="N50" i="14638" s="1"/>
  <c r="Q53" i="14638" a="1"/>
  <c r="Q53" i="14638" s="1"/>
  <c r="O51" i="14638" a="1"/>
  <c r="O51" i="14638" s="1"/>
  <c r="R54" i="14638" a="1"/>
  <c r="R54" i="14638" s="1"/>
  <c r="L48" i="14638" a="1"/>
  <c r="L48" i="14638" s="1"/>
  <c r="L43" i="14638"/>
  <c r="P52" i="14638" a="1"/>
  <c r="P52" i="14638" s="1"/>
  <c r="M49" i="14638" a="1"/>
  <c r="M49" i="14638" s="1"/>
  <c r="P53" i="14638" a="1"/>
  <c r="P53" i="14638" s="1"/>
  <c r="K43" i="14638"/>
  <c r="O52" i="14638" a="1"/>
  <c r="O52" i="14638" s="1"/>
  <c r="L49" i="14638" a="1"/>
  <c r="L49" i="14638" s="1"/>
  <c r="Q54" i="14638" a="1"/>
  <c r="Q54" i="14638" s="1"/>
  <c r="K48" i="14638" a="1"/>
  <c r="K48" i="14638" s="1"/>
  <c r="M50" i="14638" a="1"/>
  <c r="M50" i="14638" s="1"/>
  <c r="N51" i="14638" a="1"/>
  <c r="N51" i="14638" s="1"/>
  <c r="F49" i="14638" a="1"/>
  <c r="F49" i="14638" s="1"/>
  <c r="I52" i="14638" a="1"/>
  <c r="I52" i="14638" s="1"/>
  <c r="G50" i="14638" a="1"/>
  <c r="G50" i="14638" s="1"/>
  <c r="J53" i="14638" a="1"/>
  <c r="J53" i="14638" s="1"/>
  <c r="E43" i="14638"/>
  <c r="K54" i="14638" a="1"/>
  <c r="K54" i="14638" s="1"/>
  <c r="H51" i="14638" a="1"/>
  <c r="H51" i="14638" s="1"/>
  <c r="E48" i="14638" a="1"/>
  <c r="E48" i="14638" s="1"/>
  <c r="K53" i="14638" a="1"/>
  <c r="K53" i="14638" s="1"/>
  <c r="G49" i="14638" a="1"/>
  <c r="G49" i="14638" s="1"/>
  <c r="J52" i="14638" a="1"/>
  <c r="J52" i="14638" s="1"/>
  <c r="H50" i="14638" a="1"/>
  <c r="H50" i="14638" s="1"/>
  <c r="F43" i="14638"/>
  <c r="I51" i="14638" a="1"/>
  <c r="I51" i="14638" s="1"/>
  <c r="F48" i="14638" a="1"/>
  <c r="F48" i="14638" s="1"/>
  <c r="L54" i="14638" a="1"/>
  <c r="L54" i="14638" s="1"/>
  <c r="N42" i="14638"/>
  <c r="N37" i="14638"/>
  <c r="N40" i="14638"/>
  <c r="B4" i="14692"/>
  <c r="C4" i="14692"/>
  <c r="D4" i="14692"/>
  <c r="E4" i="14692"/>
  <c r="J55" i="14632"/>
  <c r="G55" i="14632"/>
  <c r="H4" i="14692"/>
  <c r="C4" i="14694"/>
  <c r="D4" i="14694"/>
  <c r="B4" i="14694"/>
  <c r="H55" i="14632"/>
  <c r="O55" i="14632"/>
  <c r="C50" i="14638" a="1"/>
  <c r="F53" i="14638" a="1"/>
  <c r="R55" i="14632"/>
  <c r="Q55" i="14632"/>
  <c r="E52" i="14638" a="1"/>
  <c r="L55" i="14632"/>
  <c r="I55" i="14632"/>
  <c r="I43" i="14679"/>
  <c r="K50" i="14679" a="1"/>
  <c r="K50" i="14679" s="1"/>
  <c r="O54" i="14679" a="1"/>
  <c r="O54" i="14679" s="1"/>
  <c r="M52" i="14679" a="1"/>
  <c r="M52" i="14679" s="1"/>
  <c r="L51" i="14679" a="1"/>
  <c r="L51" i="14679" s="1"/>
  <c r="J49" i="14679" a="1"/>
  <c r="J49" i="14679" s="1"/>
  <c r="N53" i="14679" a="1"/>
  <c r="N53" i="14679" s="1"/>
  <c r="I48" i="14679" a="1"/>
  <c r="I48" i="14679" s="1"/>
  <c r="R54" i="14679" a="1"/>
  <c r="R54" i="14679" s="1"/>
  <c r="O51" i="14679" a="1"/>
  <c r="O51" i="14679" s="1"/>
  <c r="L48" i="14679" a="1"/>
  <c r="L48" i="14679" s="1"/>
  <c r="N50" i="14679" a="1"/>
  <c r="N50" i="14679" s="1"/>
  <c r="L43" i="14679"/>
  <c r="Q53" i="14679" a="1"/>
  <c r="Q53" i="14679" s="1"/>
  <c r="M49" i="14679" a="1"/>
  <c r="M49" i="14679" s="1"/>
  <c r="P52" i="14679" a="1"/>
  <c r="P52" i="14679" s="1"/>
  <c r="N39" i="14679"/>
  <c r="J50" i="14679" a="1"/>
  <c r="J50" i="14679" s="1"/>
  <c r="M53" i="14679" a="1"/>
  <c r="M53" i="14679" s="1"/>
  <c r="L52" i="14679" a="1"/>
  <c r="L52" i="14679" s="1"/>
  <c r="I49" i="14679" a="1"/>
  <c r="I49" i="14679" s="1"/>
  <c r="K51" i="14679" a="1"/>
  <c r="K51" i="14679" s="1"/>
  <c r="H48" i="14679" a="1"/>
  <c r="H48" i="14679" s="1"/>
  <c r="N54" i="14679" a="1"/>
  <c r="N54" i="14679" s="1"/>
  <c r="H43" i="14679"/>
  <c r="N40" i="14679"/>
  <c r="N41" i="14679"/>
  <c r="G49" i="14679" a="1"/>
  <c r="G49" i="14679" s="1"/>
  <c r="F43" i="14679"/>
  <c r="F48" i="14679" a="1"/>
  <c r="F48" i="14679" s="1"/>
  <c r="K53" i="14679" a="1"/>
  <c r="K53" i="14679" s="1"/>
  <c r="J52" i="14679" a="1"/>
  <c r="J52" i="14679" s="1"/>
  <c r="H50" i="14679" a="1"/>
  <c r="H50" i="14679" s="1"/>
  <c r="L54" i="14679" a="1"/>
  <c r="L54" i="14679" s="1"/>
  <c r="I51" i="14679" a="1"/>
  <c r="I51" i="14679" s="1"/>
  <c r="C82" i="14689"/>
  <c r="F82" i="14689"/>
  <c r="G82" i="14689"/>
  <c r="E82" i="14689"/>
  <c r="E17" i="11"/>
  <c r="E18" i="11"/>
  <c r="E16" i="11"/>
  <c r="E20" i="11"/>
  <c r="E19" i="11"/>
  <c r="E13" i="11"/>
  <c r="E14" i="11"/>
  <c r="E7" i="11"/>
  <c r="E8" i="11"/>
  <c r="E6" i="11"/>
  <c r="E12" i="11"/>
  <c r="E9" i="11"/>
  <c r="E10" i="11"/>
  <c r="E11" i="11"/>
  <c r="J5" i="14667"/>
  <c r="L9" i="14667"/>
  <c r="E18" i="14659"/>
  <c r="I18" i="14659"/>
  <c r="D47" i="14706"/>
  <c r="D45" i="14706"/>
  <c r="E51" i="14706"/>
  <c r="F55" i="14649"/>
  <c r="E50" i="14667"/>
  <c r="D44" i="14667"/>
  <c r="D46" i="14667"/>
  <c r="E29" i="11"/>
  <c r="E25" i="11"/>
  <c r="E23" i="11"/>
  <c r="E30" i="11"/>
  <c r="E24" i="11"/>
  <c r="E26" i="11"/>
  <c r="E22" i="11"/>
  <c r="E27" i="11"/>
  <c r="E28" i="11"/>
  <c r="C20" i="14659"/>
  <c r="F20" i="14659"/>
  <c r="N23" i="14625"/>
  <c r="J16" i="14706"/>
  <c r="L17" i="14706"/>
  <c r="G7" i="14690"/>
  <c r="G9" i="14690" s="1"/>
  <c r="F7" i="14690"/>
  <c r="F9" i="14690" s="1"/>
  <c r="D7" i="14690"/>
  <c r="D9" i="14690" s="1"/>
  <c r="H7" i="14690"/>
  <c r="H9" i="14690" s="1"/>
  <c r="E7" i="14690"/>
  <c r="E9" i="14690" s="1"/>
  <c r="B35" i="14625"/>
  <c r="D22" i="14667"/>
  <c r="D13" i="14667" s="1"/>
  <c r="I26" i="14622"/>
  <c r="D6" i="14706"/>
  <c r="D5" i="14706" s="1"/>
  <c r="H28" i="14622"/>
  <c r="I28" i="14622" s="1"/>
  <c r="B36" i="11" s="1"/>
  <c r="B37" i="11" s="1"/>
  <c r="B38" i="11" s="1"/>
  <c r="F31" i="14708"/>
  <c r="F33" i="14708"/>
  <c r="B56" i="14649"/>
  <c r="B22" i="14710" a="1"/>
  <c r="D24" i="14667" l="1"/>
  <c r="E13" i="14667" s="1"/>
  <c r="O5" i="14639"/>
  <c r="N41" i="14678"/>
  <c r="H55" i="14679"/>
  <c r="L55" i="14679"/>
  <c r="F53" i="14638"/>
  <c r="F54" i="14638"/>
  <c r="L55" i="14638"/>
  <c r="H5" i="14674"/>
  <c r="N5" i="14674"/>
  <c r="F5" i="14674"/>
  <c r="E5" i="14674"/>
  <c r="J5" i="14674"/>
  <c r="I5" i="14674"/>
  <c r="D5" i="14674"/>
  <c r="C5" i="14674"/>
  <c r="K5" i="14674"/>
  <c r="G5" i="14674"/>
  <c r="M5" i="14674"/>
  <c r="L5" i="14674"/>
  <c r="J55" i="14679"/>
  <c r="M55" i="14679"/>
  <c r="P55" i="14679"/>
  <c r="R55" i="14679"/>
  <c r="Q55" i="14679"/>
  <c r="D54" i="14638"/>
  <c r="D53" i="14638"/>
  <c r="D52" i="14638"/>
  <c r="D51" i="14638"/>
  <c r="B50" i="14638"/>
  <c r="B53" i="14638"/>
  <c r="B51" i="14638"/>
  <c r="B54" i="14638"/>
  <c r="B52" i="14638"/>
  <c r="B49" i="14638"/>
  <c r="H55" i="14638"/>
  <c r="I55" i="14638"/>
  <c r="M55" i="14638"/>
  <c r="O55" i="14638"/>
  <c r="C50" i="14678" a="1"/>
  <c r="D51" i="14678" a="1"/>
  <c r="P55" i="14638"/>
  <c r="N52" i="14678" a="1"/>
  <c r="N52" i="14678" s="1"/>
  <c r="K49" i="14678" a="1"/>
  <c r="K49" i="14678" s="1"/>
  <c r="O53" i="14678" a="1"/>
  <c r="O53" i="14678" s="1"/>
  <c r="P54" i="14678" a="1"/>
  <c r="P54" i="14678" s="1"/>
  <c r="J43" i="14678"/>
  <c r="J48" i="14678" a="1"/>
  <c r="J48" i="14678" s="1"/>
  <c r="M51" i="14678" a="1"/>
  <c r="M51" i="14678" s="1"/>
  <c r="L50" i="14678" a="1"/>
  <c r="L50" i="14678" s="1"/>
  <c r="N39" i="14678"/>
  <c r="H49" i="14678" a="1"/>
  <c r="H49" i="14678" s="1"/>
  <c r="L53" i="14678" a="1"/>
  <c r="L53" i="14678" s="1"/>
  <c r="J51" i="14678" a="1"/>
  <c r="J51" i="14678" s="1"/>
  <c r="M54" i="14678" a="1"/>
  <c r="M54" i="14678" s="1"/>
  <c r="I50" i="14678" a="1"/>
  <c r="I50" i="14678" s="1"/>
  <c r="G48" i="14678" a="1"/>
  <c r="G48" i="14678" s="1"/>
  <c r="K52" i="14678" a="1"/>
  <c r="K52" i="14678" s="1"/>
  <c r="G43" i="14678"/>
  <c r="F43" i="14678"/>
  <c r="G49" i="14678" a="1"/>
  <c r="G49" i="14678" s="1"/>
  <c r="K53" i="14678" a="1"/>
  <c r="K53" i="14678" s="1"/>
  <c r="L54" i="14678" a="1"/>
  <c r="L54" i="14678" s="1"/>
  <c r="H50" i="14678" a="1"/>
  <c r="H50" i="14678" s="1"/>
  <c r="F48" i="14678" a="1"/>
  <c r="F48" i="14678" s="1"/>
  <c r="I51" i="14678" a="1"/>
  <c r="I51" i="14678" s="1"/>
  <c r="J52" i="14678" a="1"/>
  <c r="J52" i="14678" s="1"/>
  <c r="K51" i="14678" a="1"/>
  <c r="K51" i="14678" s="1"/>
  <c r="J50" i="14678" a="1"/>
  <c r="J50" i="14678" s="1"/>
  <c r="H48" i="14678" a="1"/>
  <c r="H48" i="14678" s="1"/>
  <c r="M53" i="14678" a="1"/>
  <c r="M53" i="14678" s="1"/>
  <c r="H43" i="14678"/>
  <c r="N54" i="14678" a="1"/>
  <c r="N54" i="14678" s="1"/>
  <c r="I49" i="14678" a="1"/>
  <c r="I49" i="14678" s="1"/>
  <c r="L52" i="14678" a="1"/>
  <c r="L52" i="14678" s="1"/>
  <c r="E50" i="14678" a="1"/>
  <c r="E50" i="14678" s="1"/>
  <c r="C48" i="14678" a="1"/>
  <c r="C48" i="14678" s="1"/>
  <c r="D49" i="14678" a="1"/>
  <c r="D49" i="14678" s="1"/>
  <c r="I54" i="14678" a="1"/>
  <c r="I54" i="14678" s="1"/>
  <c r="C43" i="14678"/>
  <c r="F51" i="14678" a="1"/>
  <c r="F51" i="14678" s="1"/>
  <c r="G52" i="14678" a="1"/>
  <c r="G52" i="14678" s="1"/>
  <c r="H53" i="14678" a="1"/>
  <c r="H53" i="14678" s="1"/>
  <c r="E48" i="14678" a="1"/>
  <c r="E48" i="14678" s="1"/>
  <c r="H51" i="14678" a="1"/>
  <c r="H51" i="14678" s="1"/>
  <c r="K54" i="14678" a="1"/>
  <c r="K54" i="14678" s="1"/>
  <c r="E43" i="14678"/>
  <c r="F49" i="14678" a="1"/>
  <c r="F49" i="14678" s="1"/>
  <c r="I52" i="14678" a="1"/>
  <c r="I52" i="14678" s="1"/>
  <c r="J53" i="14678" a="1"/>
  <c r="J53" i="14678" s="1"/>
  <c r="G50" i="14678" a="1"/>
  <c r="G50" i="14678" s="1"/>
  <c r="N50" i="14678" a="1"/>
  <c r="N50" i="14678" s="1"/>
  <c r="P52" i="14678" a="1"/>
  <c r="P52" i="14678" s="1"/>
  <c r="L43" i="14678"/>
  <c r="R54" i="14678" a="1"/>
  <c r="R54" i="14678" s="1"/>
  <c r="O51" i="14678" a="1"/>
  <c r="O51" i="14678" s="1"/>
  <c r="Q53" i="14678" a="1"/>
  <c r="Q53" i="14678" s="1"/>
  <c r="M49" i="14678" a="1"/>
  <c r="M49" i="14678" s="1"/>
  <c r="L48" i="14678" a="1"/>
  <c r="L48" i="14678" s="1"/>
  <c r="N40" i="14678"/>
  <c r="I55" i="14679"/>
  <c r="E52" i="14638"/>
  <c r="E54" i="14638"/>
  <c r="E53" i="14638"/>
  <c r="C52" i="14638"/>
  <c r="C54" i="14638"/>
  <c r="C53" i="14638"/>
  <c r="C51" i="14638"/>
  <c r="C50" i="14638"/>
  <c r="K55" i="14638"/>
  <c r="G55" i="14638"/>
  <c r="N43" i="14679"/>
  <c r="K55" i="14679"/>
  <c r="O55" i="14679"/>
  <c r="N55" i="14679"/>
  <c r="C15" i="14633" a="1"/>
  <c r="S57" i="14632"/>
  <c r="O5" i="14675"/>
  <c r="J55" i="14638"/>
  <c r="E52" i="14678" a="1"/>
  <c r="Q55" i="14638"/>
  <c r="B49" i="14678" a="1"/>
  <c r="N55" i="14638"/>
  <c r="S55" i="14638"/>
  <c r="G54" i="14678"/>
  <c r="F53" i="14678" a="1"/>
  <c r="R55" i="14638"/>
  <c r="N43" i="14638"/>
  <c r="M48" i="14678" a="1"/>
  <c r="M48" i="14678" s="1"/>
  <c r="Q52" i="14678" a="1"/>
  <c r="Q52" i="14678" s="1"/>
  <c r="P51" i="14678" a="1"/>
  <c r="P51" i="14678" s="1"/>
  <c r="R53" i="14678" a="1"/>
  <c r="R53" i="14678" s="1"/>
  <c r="O50" i="14678" a="1"/>
  <c r="O50" i="14678" s="1"/>
  <c r="S54" i="14678" a="1"/>
  <c r="S54" i="14678" s="1"/>
  <c r="N49" i="14678" a="1"/>
  <c r="N49" i="14678" s="1"/>
  <c r="M43" i="14678"/>
  <c r="N38" i="14678"/>
  <c r="E51" i="14678" a="1"/>
  <c r="E51" i="14678" s="1"/>
  <c r="B43" i="14678"/>
  <c r="C49" i="14678" a="1"/>
  <c r="C49" i="14678" s="1"/>
  <c r="H54" i="14678" a="1"/>
  <c r="H54" i="14678" s="1"/>
  <c r="D50" i="14678" a="1"/>
  <c r="D50" i="14678" s="1"/>
  <c r="G53" i="14678" a="1"/>
  <c r="G53" i="14678" s="1"/>
  <c r="N35" i="14678"/>
  <c r="B48" i="14678" a="1"/>
  <c r="B48" i="14678" s="1"/>
  <c r="F52" i="14678" a="1"/>
  <c r="F52" i="14678" s="1"/>
  <c r="E49" i="14678" a="1"/>
  <c r="E49" i="14678" s="1"/>
  <c r="I53" i="14678" a="1"/>
  <c r="I53" i="14678" s="1"/>
  <c r="D43" i="14678"/>
  <c r="F50" i="14678" a="1"/>
  <c r="F50" i="14678" s="1"/>
  <c r="G51" i="14678" a="1"/>
  <c r="G51" i="14678" s="1"/>
  <c r="H52" i="14678" a="1"/>
  <c r="H52" i="14678" s="1"/>
  <c r="J54" i="14678" a="1"/>
  <c r="J54" i="14678" s="1"/>
  <c r="D48" i="14678" a="1"/>
  <c r="D48" i="14678" s="1"/>
  <c r="N36" i="14678"/>
  <c r="N37" i="14678"/>
  <c r="N42" i="14678"/>
  <c r="O52" i="14678" a="1"/>
  <c r="O52" i="14678" s="1"/>
  <c r="M50" i="14678" a="1"/>
  <c r="M50" i="14678" s="1"/>
  <c r="Q54" i="14678" a="1"/>
  <c r="Q54" i="14678" s="1"/>
  <c r="K48" i="14678" a="1"/>
  <c r="K48" i="14678" s="1"/>
  <c r="N51" i="14678" a="1"/>
  <c r="N51" i="14678" s="1"/>
  <c r="K43" i="14678"/>
  <c r="P53" i="14678" a="1"/>
  <c r="P53" i="14678" s="1"/>
  <c r="L49" i="14678" a="1"/>
  <c r="L49" i="14678" s="1"/>
  <c r="I48" i="14678" a="1"/>
  <c r="I48" i="14678" s="1"/>
  <c r="J49" i="14678" a="1"/>
  <c r="J49" i="14678" s="1"/>
  <c r="L51" i="14678" a="1"/>
  <c r="L51" i="14678" s="1"/>
  <c r="M52" i="14678" a="1"/>
  <c r="M52" i="14678" s="1"/>
  <c r="I43" i="14678"/>
  <c r="O54" i="14678" a="1"/>
  <c r="O54" i="14678" s="1"/>
  <c r="K50" i="14678" a="1"/>
  <c r="K50" i="14678" s="1"/>
  <c r="N53" i="14678" a="1"/>
  <c r="N53" i="14678" s="1"/>
  <c r="D15" i="14649" a="1"/>
  <c r="F15" i="14649" s="1"/>
  <c r="C27" i="14626"/>
  <c r="C19" i="14626" s="1"/>
  <c r="C29" i="14626" s="1"/>
  <c r="G31" i="14626" s="1"/>
  <c r="C30" i="14622"/>
  <c r="B34" i="11"/>
  <c r="B35" i="11" s="1"/>
  <c r="D27" i="14690"/>
  <c r="F28" i="14690" s="1"/>
  <c r="B9" i="14648"/>
  <c r="D82" i="14649"/>
  <c r="C82" i="14649" s="1"/>
  <c r="C85" i="14648"/>
  <c r="C87" i="14648" s="1"/>
  <c r="B27" i="14684"/>
  <c r="L16" i="14706"/>
  <c r="N17" i="14706"/>
  <c r="N16" i="14706" s="1"/>
  <c r="E26" i="14667"/>
  <c r="E42" i="14667"/>
  <c r="E41" i="14667"/>
  <c r="E27" i="14667"/>
  <c r="E43" i="14667"/>
  <c r="E39" i="14667"/>
  <c r="E35" i="14667"/>
  <c r="E38" i="14667"/>
  <c r="E28" i="14667"/>
  <c r="E37" i="14667"/>
  <c r="E45" i="14667"/>
  <c r="E34" i="14667"/>
  <c r="E29" i="14667"/>
  <c r="E33" i="14667"/>
  <c r="E32" i="14667"/>
  <c r="E30" i="14667"/>
  <c r="E40" i="14667"/>
  <c r="E39" i="14706"/>
  <c r="E43" i="14706"/>
  <c r="E29" i="14706"/>
  <c r="E32" i="14706"/>
  <c r="E27" i="14706"/>
  <c r="E28" i="14706"/>
  <c r="E36" i="14706"/>
  <c r="E26" i="14706"/>
  <c r="E41" i="14706"/>
  <c r="E37" i="14706"/>
  <c r="E34" i="14706"/>
  <c r="E40" i="14706"/>
  <c r="E35" i="14706"/>
  <c r="E31" i="14706"/>
  <c r="E42" i="14706"/>
  <c r="E30" i="14706"/>
  <c r="E46" i="14706"/>
  <c r="N9" i="14667"/>
  <c r="N5" i="14667" s="1"/>
  <c r="L5" i="14667"/>
  <c r="D24" i="14706"/>
  <c r="E44" i="14667"/>
  <c r="D48" i="14667"/>
  <c r="E45" i="14706"/>
  <c r="D49" i="14706"/>
  <c r="C22" i="14710"/>
  <c r="B22" i="14710"/>
  <c r="D22" i="14710"/>
  <c r="E22" i="14710"/>
  <c r="F22" i="14710"/>
  <c r="E11" i="14667" l="1"/>
  <c r="D53" i="14667"/>
  <c r="C84" i="14690" s="1"/>
  <c r="E17" i="14667"/>
  <c r="E6" i="14667"/>
  <c r="E8" i="14667"/>
  <c r="E20" i="14667"/>
  <c r="E14" i="14667"/>
  <c r="E22" i="14667"/>
  <c r="E19" i="14667"/>
  <c r="E21" i="14667"/>
  <c r="E15" i="14667"/>
  <c r="E9" i="14667"/>
  <c r="E7" i="14667"/>
  <c r="E5" i="14667"/>
  <c r="E24" i="14667" s="1"/>
  <c r="E18" i="14667"/>
  <c r="E16" i="14667"/>
  <c r="I55" i="14678"/>
  <c r="K55" i="14678"/>
  <c r="B49" i="14679" a="1"/>
  <c r="N55" i="14678"/>
  <c r="O55" i="14678"/>
  <c r="C50" i="14679" a="1"/>
  <c r="P55" i="14678"/>
  <c r="D51" i="14679" a="1"/>
  <c r="M55" i="14678"/>
  <c r="S57" i="14638"/>
  <c r="H40" i="14667"/>
  <c r="H29" i="14706"/>
  <c r="H51" i="14706" s="1"/>
  <c r="S57" i="14679"/>
  <c r="C55" i="14638"/>
  <c r="L55" i="14678"/>
  <c r="G55" i="14678"/>
  <c r="D54" i="14678"/>
  <c r="D52" i="14678"/>
  <c r="D53" i="14678"/>
  <c r="D51" i="14678"/>
  <c r="B55" i="14638"/>
  <c r="D55" i="14638"/>
  <c r="F55" i="14638"/>
  <c r="N43" i="14678"/>
  <c r="G54" i="14679"/>
  <c r="G55" i="14679" s="1"/>
  <c r="S55" i="14678"/>
  <c r="R55" i="14678"/>
  <c r="F53" i="14679" a="1"/>
  <c r="Q55" i="14678"/>
  <c r="E52" i="14679" a="1"/>
  <c r="F54" i="14678"/>
  <c r="F53" i="14678"/>
  <c r="B49" i="14678"/>
  <c r="B52" i="14678"/>
  <c r="B51" i="14678"/>
  <c r="B50" i="14678"/>
  <c r="B53" i="14678"/>
  <c r="B54" i="14678"/>
  <c r="E53" i="14678"/>
  <c r="E54" i="14678"/>
  <c r="E52" i="14678"/>
  <c r="E15" i="14633"/>
  <c r="I15" i="14633"/>
  <c r="G15" i="14633"/>
  <c r="J15" i="14633"/>
  <c r="C15" i="14633"/>
  <c r="F15" i="14633"/>
  <c r="H15" i="14633"/>
  <c r="D15" i="14633"/>
  <c r="N15" i="14633"/>
  <c r="K15" i="14633"/>
  <c r="L15" i="14633"/>
  <c r="M15" i="14633"/>
  <c r="E55" i="14638"/>
  <c r="H55" i="14678"/>
  <c r="J55" i="14678"/>
  <c r="C53" i="14678"/>
  <c r="C51" i="14678"/>
  <c r="C50" i="14678"/>
  <c r="C54" i="14678"/>
  <c r="C52" i="14678"/>
  <c r="O5" i="14674"/>
  <c r="D15" i="14649"/>
  <c r="E15" i="14649"/>
  <c r="G15" i="14649"/>
  <c r="E6" i="14706"/>
  <c r="E17" i="14706"/>
  <c r="E11" i="14706"/>
  <c r="E10" i="14706"/>
  <c r="E8" i="14706"/>
  <c r="E9" i="14706"/>
  <c r="E21" i="14706"/>
  <c r="E7" i="14706"/>
  <c r="E22" i="14706"/>
  <c r="E16" i="14706"/>
  <c r="E20" i="14706"/>
  <c r="E13" i="14706"/>
  <c r="E19" i="14706"/>
  <c r="E12" i="14706"/>
  <c r="E14" i="14706"/>
  <c r="E47" i="14706"/>
  <c r="B30" i="14622"/>
  <c r="C31" i="14622"/>
  <c r="E49" i="14706"/>
  <c r="D91" i="14649"/>
  <c r="E48" i="14667"/>
  <c r="E5" i="14706"/>
  <c r="D54" i="14706"/>
  <c r="E46" i="14667"/>
  <c r="C91" i="14649" l="1"/>
  <c r="E29" i="14682" a="1"/>
  <c r="E22" i="14628"/>
  <c r="E24" i="14628" s="1"/>
  <c r="E55" i="14678"/>
  <c r="D55" i="14678"/>
  <c r="O15" i="14633"/>
  <c r="F55" i="14678"/>
  <c r="E54" i="14679"/>
  <c r="E53" i="14679"/>
  <c r="E52" i="14679"/>
  <c r="F53" i="14679"/>
  <c r="F54" i="14679"/>
  <c r="J29" i="14706"/>
  <c r="J51" i="14706" s="1"/>
  <c r="J40" i="14667"/>
  <c r="D53" i="14679"/>
  <c r="D52" i="14679"/>
  <c r="D51" i="14679"/>
  <c r="D54" i="14679"/>
  <c r="C51" i="14679"/>
  <c r="C54" i="14679"/>
  <c r="C50" i="14679"/>
  <c r="C52" i="14679"/>
  <c r="C53" i="14679"/>
  <c r="S57" i="14678"/>
  <c r="C55" i="14678"/>
  <c r="B55" i="14678"/>
  <c r="C15" i="14641" a="1"/>
  <c r="N29" i="14706"/>
  <c r="N51" i="14706" s="1"/>
  <c r="N40" i="14667"/>
  <c r="N50" i="14667" s="1"/>
  <c r="H50" i="14667"/>
  <c r="C45" i="14649" s="1"/>
  <c r="B49" i="14679"/>
  <c r="B51" i="14679"/>
  <c r="B52" i="14679"/>
  <c r="B54" i="14679"/>
  <c r="B53" i="14679"/>
  <c r="B50" i="14679"/>
  <c r="D18" i="14649" a="1"/>
  <c r="G18" i="14649" s="1"/>
  <c r="B23" i="14649"/>
  <c r="E24" i="14706"/>
  <c r="H22" i="14628" l="1"/>
  <c r="H24" i="14628" s="1"/>
  <c r="C15" i="14676" a="1"/>
  <c r="L15" i="14676" s="1"/>
  <c r="D55" i="14679"/>
  <c r="F55" i="14679"/>
  <c r="H15" i="14641"/>
  <c r="N15" i="14641"/>
  <c r="E15" i="14641"/>
  <c r="F15" i="14641"/>
  <c r="M15" i="14641"/>
  <c r="C15" i="14641"/>
  <c r="L15" i="14641"/>
  <c r="J15" i="14641"/>
  <c r="D15" i="14641"/>
  <c r="I15" i="14641"/>
  <c r="G15" i="14641"/>
  <c r="K15" i="14641"/>
  <c r="L40" i="14667"/>
  <c r="L29" i="14706"/>
  <c r="L51" i="14706" s="1"/>
  <c r="J50" i="14667"/>
  <c r="D45" i="14649" s="1"/>
  <c r="E55" i="14679"/>
  <c r="B55" i="14679"/>
  <c r="C55" i="14679"/>
  <c r="E18" i="14649"/>
  <c r="F18" i="14649"/>
  <c r="D18" i="14649"/>
  <c r="K22" i="14628" l="1"/>
  <c r="K24" i="14628" s="1"/>
  <c r="H15" i="14676"/>
  <c r="D15" i="14676"/>
  <c r="J15" i="14676"/>
  <c r="F15" i="14676"/>
  <c r="K15" i="14676"/>
  <c r="C15" i="14676"/>
  <c r="I15" i="14676"/>
  <c r="M15" i="14676"/>
  <c r="G15" i="14676"/>
  <c r="N15" i="14676"/>
  <c r="E15" i="14676"/>
  <c r="C15" i="14677" a="1"/>
  <c r="L50" i="14667"/>
  <c r="O15" i="14641"/>
  <c r="B26" i="14649"/>
  <c r="C23" i="14649" s="1" a="1"/>
  <c r="C26" i="14649" s="1"/>
  <c r="F29" i="14682" l="1" a="1"/>
  <c r="F39" i="14682"/>
  <c r="M22" i="14628"/>
  <c r="M24" i="14628" s="1"/>
  <c r="N22" i="14628"/>
  <c r="N24" i="14628" s="1"/>
  <c r="O15" i="14676"/>
  <c r="G15" i="14677"/>
  <c r="N15" i="14677"/>
  <c r="L15" i="14677"/>
  <c r="F15" i="14677"/>
  <c r="D15" i="14677"/>
  <c r="J15" i="14677"/>
  <c r="I15" i="14677"/>
  <c r="C15" i="14677"/>
  <c r="K15" i="14677"/>
  <c r="H15" i="14677"/>
  <c r="E15" i="14677"/>
  <c r="M15" i="14677"/>
  <c r="E45" i="14649"/>
  <c r="F45" i="14649"/>
  <c r="C25" i="14649"/>
  <c r="C24" i="14649"/>
  <c r="C23" i="14649"/>
  <c r="O15" i="14677" l="1"/>
  <c r="C12" i="14696" a="1"/>
  <c r="C22" i="14625" a="1"/>
  <c r="D24" i="14634" l="1"/>
  <c r="E22" i="14634"/>
  <c r="E24" i="14634" s="1"/>
  <c r="G12" i="14696"/>
  <c r="C12" i="14696"/>
  <c r="B40" i="14710" s="1"/>
  <c r="D12" i="14696"/>
  <c r="E12" i="14696"/>
  <c r="F12" i="14696"/>
  <c r="K22" i="14625"/>
  <c r="C22" i="14625"/>
  <c r="N22" i="14625"/>
  <c r="E22" i="14625"/>
  <c r="H22" i="14625"/>
  <c r="M22" i="14625"/>
  <c r="A109" i="14707" a="1"/>
  <c r="G24" i="14634" l="1"/>
  <c r="H22" i="14634"/>
  <c r="H24" i="14634" s="1"/>
  <c r="C40" i="14710" a="1"/>
  <c r="C9" i="14633" a="1"/>
  <c r="A110" i="14707"/>
  <c r="A116" i="14707"/>
  <c r="A125" i="14707"/>
  <c r="A115" i="14707"/>
  <c r="A118" i="14707"/>
  <c r="A109" i="14707"/>
  <c r="A112" i="14707"/>
  <c r="A124" i="14707"/>
  <c r="A126" i="14707"/>
  <c r="A113" i="14707"/>
  <c r="F119" i="14707"/>
  <c r="A120" i="14707"/>
  <c r="A121" i="14707"/>
  <c r="A117" i="14707"/>
  <c r="A114" i="14707"/>
  <c r="A122" i="14707"/>
  <c r="A119" i="14707"/>
  <c r="A111" i="14707"/>
  <c r="A127" i="14707"/>
  <c r="A123" i="14707"/>
  <c r="J24" i="14634" l="1"/>
  <c r="K22" i="14634"/>
  <c r="K24" i="14634" s="1"/>
  <c r="E40" i="14710"/>
  <c r="F40" i="14710"/>
  <c r="C40" i="14710"/>
  <c r="D40" i="14710"/>
  <c r="K9" i="14633"/>
  <c r="F9" i="14633"/>
  <c r="C9" i="14633"/>
  <c r="N9" i="14633"/>
  <c r="I9" i="14633"/>
  <c r="L9" i="14633"/>
  <c r="G9" i="14633"/>
  <c r="M9" i="14633"/>
  <c r="D9" i="14633"/>
  <c r="E9" i="14633"/>
  <c r="J9" i="14633"/>
  <c r="M22" i="14634" l="1"/>
  <c r="M24" i="14634" s="1"/>
  <c r="N22" i="14634"/>
  <c r="N24" i="14634" s="1"/>
  <c r="C22" i="14633" l="1" a="1"/>
  <c r="J22" i="14633" s="1"/>
  <c r="M22" i="14633" l="1"/>
  <c r="N22" i="14633"/>
  <c r="E22" i="14633"/>
  <c r="H22" i="14633"/>
  <c r="G22" i="14633"/>
  <c r="K22" i="14633"/>
  <c r="D22" i="14633"/>
  <c r="D24" i="14639"/>
  <c r="E22" i="14639"/>
  <c r="E24" i="14639" s="1"/>
  <c r="G24" i="14639" l="1"/>
  <c r="H22" i="14639"/>
  <c r="H24" i="14639" s="1"/>
  <c r="C9" i="14641" a="1"/>
  <c r="J24" i="14639" l="1"/>
  <c r="K22" i="14639"/>
  <c r="K24" i="14639" s="1"/>
  <c r="N9" i="14641"/>
  <c r="J9" i="14641"/>
  <c r="M9" i="14641"/>
  <c r="F9" i="14641"/>
  <c r="D9" i="14641"/>
  <c r="C9" i="14641"/>
  <c r="K9" i="14641"/>
  <c r="I9" i="14641"/>
  <c r="G9" i="14641"/>
  <c r="E9" i="14641"/>
  <c r="L9" i="14641"/>
  <c r="M22" i="14639" l="1"/>
  <c r="M24" i="14639" s="1"/>
  <c r="N22" i="14639"/>
  <c r="N24" i="14639" s="1"/>
  <c r="C22" i="14641" l="1" a="1"/>
  <c r="D24" i="14674" l="1"/>
  <c r="E22" i="14674"/>
  <c r="E24" i="14674" s="1"/>
  <c r="N22" i="14641"/>
  <c r="M22" i="14641"/>
  <c r="H22" i="14641"/>
  <c r="G22" i="14641"/>
  <c r="K22" i="14641"/>
  <c r="E22" i="14641"/>
  <c r="J22" i="14641"/>
  <c r="D22" i="14641"/>
  <c r="G24" i="14674" l="1"/>
  <c r="H22" i="14674"/>
  <c r="H24" i="14674" s="1"/>
  <c r="C9" i="14676" a="1"/>
  <c r="K22" i="14674" l="1"/>
  <c r="K24" i="14674" s="1"/>
  <c r="J9" i="14676"/>
  <c r="G9" i="14676"/>
  <c r="D9" i="14676"/>
  <c r="K9" i="14676"/>
  <c r="M9" i="14676"/>
  <c r="F9" i="14676"/>
  <c r="C9" i="14676"/>
  <c r="L9" i="14676"/>
  <c r="E9" i="14676"/>
  <c r="N9" i="14676"/>
  <c r="I9" i="14676"/>
  <c r="N22" i="14674" l="1"/>
  <c r="N24" i="14674" s="1"/>
  <c r="M22" i="14674" l="1"/>
  <c r="M24" i="14674" s="1"/>
  <c r="E22" i="14675" l="1"/>
  <c r="E24" i="14675" s="1"/>
  <c r="J22" i="14676"/>
  <c r="G22" i="14676"/>
  <c r="N22" i="14676"/>
  <c r="D22" i="14676"/>
  <c r="M22" i="14676"/>
  <c r="H22" i="14676"/>
  <c r="E22" i="14676"/>
  <c r="K22" i="14676"/>
  <c r="H22" i="14675" l="1"/>
  <c r="H24" i="14675" s="1"/>
  <c r="K22" i="14675" l="1"/>
  <c r="K24" i="14675" s="1"/>
  <c r="G9" i="14677"/>
  <c r="N9" i="14677"/>
  <c r="K9" i="14677"/>
  <c r="D9" i="14677"/>
  <c r="M9" i="14677"/>
  <c r="J9" i="14677"/>
  <c r="E9" i="14677"/>
  <c r="C9" i="14677"/>
  <c r="I9" i="14677"/>
  <c r="F9" i="14677"/>
  <c r="L9" i="14677"/>
  <c r="N22" i="14675" l="1"/>
  <c r="N24" i="14675" s="1"/>
  <c r="M22" i="14675" l="1"/>
  <c r="M24" i="14675" s="1"/>
  <c r="D22" i="14677" l="1"/>
  <c r="H22" i="14677"/>
  <c r="N22" i="14677"/>
  <c r="J22" i="14677"/>
  <c r="G22" i="14677"/>
  <c r="K22" i="14677"/>
  <c r="M22" i="14677"/>
  <c r="E22" i="14677"/>
  <c r="B38" i="14686" l="1"/>
  <c r="E18" i="14624" s="1" a="1"/>
  <c r="E18" i="14624" s="1"/>
  <c r="E20" i="14624" s="1"/>
  <c r="B18" i="14624" l="1" a="1"/>
  <c r="B18" i="14624" s="1"/>
  <c r="B20" i="14624" s="1"/>
  <c r="C18" i="14624" a="1"/>
  <c r="C18" i="14624" s="1"/>
  <c r="C20" i="14624" s="1"/>
  <c r="C27" i="14624" s="1"/>
  <c r="I18" i="14624" a="1"/>
  <c r="I18" i="14624" s="1"/>
  <c r="I20" i="14624" s="1"/>
  <c r="I27" i="14624" s="1"/>
  <c r="J18" i="14624" a="1"/>
  <c r="J18" i="14624" s="1"/>
  <c r="J20" i="14624" s="1"/>
  <c r="J27" i="14624" s="1"/>
  <c r="M18" i="14624" a="1"/>
  <c r="M18" i="14624" s="1"/>
  <c r="M20" i="14624" s="1"/>
  <c r="M27" i="14624" s="1"/>
  <c r="K18" i="14624" a="1"/>
  <c r="K18" i="14624" s="1"/>
  <c r="K20" i="14624" s="1"/>
  <c r="K27" i="14624" s="1"/>
  <c r="G18" i="14624" a="1"/>
  <c r="G18" i="14624" s="1"/>
  <c r="G20" i="14624" s="1"/>
  <c r="G27" i="14624" s="1"/>
  <c r="B47" i="14686" a="1"/>
  <c r="B47" i="14686" s="1"/>
  <c r="B49" i="14686" s="1"/>
  <c r="E27" i="14624"/>
  <c r="D18" i="14624" a="1"/>
  <c r="D18" i="14624" s="1"/>
  <c r="D20" i="14624" s="1"/>
  <c r="B27" i="14624"/>
  <c r="F18" i="14624" a="1"/>
  <c r="F18" i="14624" s="1"/>
  <c r="F20" i="14624" s="1"/>
  <c r="L18" i="14624" a="1"/>
  <c r="L18" i="14624" s="1"/>
  <c r="L20" i="14624" s="1"/>
  <c r="H18" i="14624" a="1"/>
  <c r="H18" i="14624" s="1"/>
  <c r="H20" i="14624" s="1"/>
  <c r="B16" i="8" l="1" a="1"/>
  <c r="E16" i="8" s="1"/>
  <c r="I16" i="8"/>
  <c r="B16" i="8"/>
  <c r="C16" i="8"/>
  <c r="M16" i="8"/>
  <c r="G16" i="8"/>
  <c r="F27" i="14624"/>
  <c r="F16" i="8"/>
  <c r="D27" i="14624"/>
  <c r="D16" i="8"/>
  <c r="H27" i="14624"/>
  <c r="L27" i="14624"/>
  <c r="N20" i="14624"/>
  <c r="N18" i="14624"/>
  <c r="B16" i="14682" s="1" a="1"/>
  <c r="B17" i="14682" s="1"/>
  <c r="B15" i="8" l="1" a="1"/>
  <c r="E15" i="8" s="1"/>
  <c r="K16" i="8"/>
  <c r="L16" i="8"/>
  <c r="J16" i="8"/>
  <c r="H16" i="8"/>
  <c r="B15" i="8"/>
  <c r="G15" i="8"/>
  <c r="K15" i="8"/>
  <c r="J15" i="8"/>
  <c r="I15" i="8"/>
  <c r="M15" i="8"/>
  <c r="C15" i="8"/>
  <c r="B58" i="14624" a="1"/>
  <c r="H15" i="8"/>
  <c r="B16" i="14682"/>
  <c r="B16" i="14617"/>
  <c r="N27" i="14624"/>
  <c r="D15" i="8"/>
  <c r="F15" i="8"/>
  <c r="N16" i="8" l="1"/>
  <c r="L15" i="8"/>
  <c r="O18" i="14624" a="1"/>
  <c r="O7" i="14624" a="1"/>
  <c r="O10" i="14624" s="1"/>
  <c r="O23" i="14624" a="1"/>
  <c r="O25" i="14624" s="1"/>
  <c r="N15" i="8"/>
  <c r="O19" i="14624"/>
  <c r="O14" i="14624"/>
  <c r="C14" i="14657"/>
  <c r="D7" i="14643"/>
  <c r="O7" i="14624"/>
  <c r="O23" i="14624"/>
  <c r="O11" i="14624"/>
  <c r="O9" i="14624"/>
  <c r="O20" i="14624"/>
  <c r="B18" i="14682"/>
  <c r="O18" i="14624"/>
  <c r="O24" i="14624" l="1"/>
  <c r="O13" i="14624"/>
  <c r="O15" i="14624"/>
  <c r="O12" i="14624"/>
  <c r="O8" i="14624"/>
  <c r="C17" i="14684" l="1" a="1"/>
  <c r="C18" i="14684" l="1"/>
  <c r="C17" i="14684"/>
  <c r="C21" i="14684"/>
  <c r="C37" i="14686" l="1"/>
  <c r="M18" i="14629" l="1" a="1"/>
  <c r="G18" i="14629" a="1"/>
  <c r="D18" i="14629" a="1"/>
  <c r="C38" i="14686"/>
  <c r="I18" i="14629" s="1" a="1"/>
  <c r="E18" i="14629" l="1" a="1"/>
  <c r="L18" i="14629" a="1"/>
  <c r="F18" i="14629" a="1"/>
  <c r="J18" i="14629" a="1"/>
  <c r="J18" i="14629" s="1"/>
  <c r="J20" i="14629" s="1"/>
  <c r="J27" i="14629" s="1"/>
  <c r="K18" i="14629" a="1"/>
  <c r="H18" i="14629" a="1"/>
  <c r="H18" i="14629" s="1"/>
  <c r="H20" i="14629" s="1"/>
  <c r="H27" i="14629" s="1"/>
  <c r="C18" i="14629" a="1"/>
  <c r="C18" i="14629" s="1"/>
  <c r="C20" i="14629" s="1"/>
  <c r="I18" i="14629"/>
  <c r="I20" i="14629" s="1"/>
  <c r="I27" i="14629" s="1"/>
  <c r="B18" i="14629" a="1"/>
  <c r="B18" i="14629" s="1"/>
  <c r="B20" i="14629" s="1"/>
  <c r="C47" i="14686" a="1"/>
  <c r="C47" i="14686" s="1"/>
  <c r="C49" i="14686" s="1"/>
  <c r="G18" i="14629"/>
  <c r="G20" i="14629" s="1"/>
  <c r="L18" i="14629"/>
  <c r="L20" i="14629" s="1"/>
  <c r="M18" i="14629"/>
  <c r="M20" i="14629" s="1"/>
  <c r="F18" i="14629"/>
  <c r="F20" i="14629" s="1"/>
  <c r="E18" i="14629"/>
  <c r="E20" i="14629" s="1"/>
  <c r="K18" i="14629"/>
  <c r="K20" i="14629" s="1"/>
  <c r="D18" i="14629"/>
  <c r="D20" i="14629" s="1"/>
  <c r="B16" i="14631" l="1" a="1"/>
  <c r="K16" i="14631" s="1"/>
  <c r="K27" i="14629"/>
  <c r="F27" i="14629"/>
  <c r="L27" i="14629"/>
  <c r="N18" i="14629"/>
  <c r="C16" i="14682" s="1" a="1"/>
  <c r="C17" i="14682" s="1"/>
  <c r="D16" i="14631"/>
  <c r="D27" i="14629"/>
  <c r="E16" i="14631"/>
  <c r="E27" i="14629"/>
  <c r="M16" i="14631"/>
  <c r="M27" i="14629"/>
  <c r="N20" i="14629"/>
  <c r="B27" i="14629"/>
  <c r="B16" i="14631"/>
  <c r="G27" i="14629"/>
  <c r="C16" i="14631"/>
  <c r="C27" i="14629"/>
  <c r="G16" i="14631" l="1"/>
  <c r="L16" i="14631"/>
  <c r="B15" i="14631" a="1"/>
  <c r="J15" i="14631" s="1"/>
  <c r="F16" i="14631"/>
  <c r="L15" i="14631"/>
  <c r="J16" i="14631"/>
  <c r="I16" i="14631"/>
  <c r="H16" i="14631"/>
  <c r="N27" i="14629"/>
  <c r="D14" i="14657" s="1"/>
  <c r="D16" i="14617"/>
  <c r="C16" i="14682"/>
  <c r="N16" i="14631" l="1"/>
  <c r="I15" i="14631"/>
  <c r="B15" i="14631"/>
  <c r="D15" i="14631"/>
  <c r="O18" i="14629" a="1"/>
  <c r="O23" i="14629" a="1"/>
  <c r="O7" i="14629" a="1"/>
  <c r="H15" i="14631"/>
  <c r="E15" i="14631"/>
  <c r="M15" i="14631"/>
  <c r="G15" i="14631"/>
  <c r="C15" i="14631"/>
  <c r="K15" i="14631"/>
  <c r="F15" i="14631"/>
  <c r="C18" i="14682"/>
  <c r="O7" i="14629"/>
  <c r="O8" i="14629"/>
  <c r="O10" i="14629"/>
  <c r="O15" i="14629"/>
  <c r="O23" i="14629"/>
  <c r="O25" i="14629"/>
  <c r="O12" i="14629"/>
  <c r="O24" i="14629"/>
  <c r="O9" i="14629"/>
  <c r="O14" i="14629"/>
  <c r="O19" i="14629"/>
  <c r="E7" i="14643"/>
  <c r="O11" i="14629"/>
  <c r="O13" i="14629"/>
  <c r="O18" i="14629" l="1"/>
  <c r="O20" i="14629"/>
  <c r="N15" i="14631"/>
  <c r="D23" i="14643" l="1" a="1"/>
  <c r="F16" i="14682" a="1"/>
  <c r="F17" i="14682"/>
  <c r="G5" i="14684" a="1"/>
  <c r="G5" i="14684"/>
  <c r="G6" i="14684"/>
  <c r="E16" i="14682" a="1"/>
  <c r="E17" i="14682"/>
  <c r="E100" i="14707" s="1"/>
  <c r="F5" i="14684" a="1"/>
  <c r="F5" i="14684"/>
  <c r="F6" i="14684"/>
  <c r="E13" i="14684" a="1"/>
  <c r="E5" i="14684" a="1"/>
  <c r="E5" i="14684"/>
  <c r="E6" i="14684"/>
  <c r="D5" i="14684" a="1"/>
  <c r="D5" i="14684"/>
  <c r="D6" i="14684"/>
  <c r="B7" i="14648" a="1"/>
  <c r="C10" i="14625" a="1"/>
  <c r="C10" i="14625"/>
  <c r="C11" i="14625" s="1"/>
  <c r="C29" i="14625" s="1"/>
  <c r="D16" i="14682" a="1"/>
  <c r="B99" i="14707" a="1"/>
  <c r="D17" i="14682"/>
  <c r="D100" i="14707" s="1"/>
  <c r="C99" i="14707"/>
  <c r="C100" i="14707"/>
  <c r="B99" i="14707"/>
  <c r="B100" i="14707"/>
  <c r="F100" i="14707"/>
  <c r="B38" i="14707" a="1"/>
  <c r="B25" i="14710" a="1"/>
  <c r="D13" i="14684" a="1"/>
  <c r="B70" i="14707" a="1"/>
  <c r="B25" i="14682" a="1"/>
  <c r="N15" i="14617" a="1"/>
  <c r="H22" i="14617" a="1"/>
  <c r="H22" i="14617"/>
  <c r="B51" i="14649" a="1"/>
  <c r="H15" i="14617" a="1"/>
  <c r="B26" i="14710" a="1"/>
  <c r="N22" i="14617" a="1"/>
  <c r="N22" i="14617"/>
  <c r="K15" i="14617" a="1"/>
  <c r="K15" i="14617"/>
  <c r="D17" i="14643" a="1"/>
  <c r="B44" i="14707" a="1"/>
  <c r="E24" i="14643" a="1"/>
  <c r="E74" i="14649" a="1"/>
  <c r="K22" i="14617" a="1"/>
  <c r="K22" i="14617"/>
  <c r="H15" i="14617"/>
  <c r="N15" i="14617"/>
  <c r="B78" i="14707" a="1"/>
  <c r="C29" i="14625" a="1"/>
  <c r="E17" i="14684" a="1"/>
  <c r="G17" i="14684" a="1"/>
  <c r="G13" i="14684" a="1"/>
  <c r="G16" i="14684"/>
  <c r="F13" i="14684" a="1"/>
  <c r="F17" i="14684" a="1"/>
  <c r="E16" i="14684"/>
  <c r="F16" i="14684"/>
  <c r="C5" i="14684" a="1"/>
  <c r="C5" i="14684"/>
  <c r="C8" i="14684"/>
  <c r="C6" i="14684"/>
  <c r="C7" i="14684"/>
  <c r="C13" i="14684" a="1"/>
  <c r="C16" i="14684"/>
  <c r="B48" i="14622" a="1"/>
  <c r="D53" i="14690" a="1"/>
  <c r="B25" i="8" a="1"/>
  <c r="B25" i="8"/>
  <c r="B7" i="14648"/>
  <c r="B48" i="14622"/>
  <c r="C84" i="14689" a="1"/>
  <c r="F21" i="14684"/>
  <c r="F18" i="14684"/>
  <c r="F17" i="14684"/>
  <c r="E21" i="14684"/>
  <c r="E17" i="14684"/>
  <c r="E18" i="14684"/>
  <c r="D53" i="14690"/>
  <c r="D16" i="14684"/>
  <c r="E78" i="14707"/>
  <c r="C79" i="14707"/>
  <c r="F78" i="14707"/>
  <c r="E79" i="14707"/>
  <c r="B79" i="14707"/>
  <c r="C78" i="14707"/>
  <c r="D79" i="14707"/>
  <c r="F79" i="14707"/>
  <c r="B78" i="14707"/>
  <c r="D78" i="14707"/>
  <c r="G18" i="14684"/>
  <c r="G21" i="14684"/>
  <c r="G17" i="14684"/>
  <c r="E76" i="14707"/>
  <c r="D70" i="14707"/>
  <c r="F76" i="14707"/>
  <c r="E70" i="14707"/>
  <c r="B76" i="14707"/>
  <c r="C70" i="14707"/>
  <c r="D76" i="14707"/>
  <c r="B70" i="14707"/>
  <c r="F70" i="14707"/>
  <c r="C76" i="14707"/>
  <c r="D17" i="14684" a="1"/>
  <c r="D17" i="14684"/>
  <c r="D21" i="14684"/>
  <c r="D18" i="14684"/>
  <c r="C25" i="14682"/>
  <c r="B25" i="14682"/>
  <c r="B105" i="14707" s="1"/>
  <c r="C86" i="14689" a="1"/>
  <c r="B8" i="14648" a="1"/>
  <c r="B8" i="14648"/>
  <c r="B53" i="14682" a="1"/>
  <c r="B105" i="14707" a="1"/>
  <c r="B28" i="14710" a="1"/>
  <c r="B26" i="8" a="1"/>
  <c r="B27" i="8" a="1"/>
  <c r="C16" i="14625" a="1"/>
  <c r="B130" i="14707" a="1"/>
  <c r="B29" i="8" a="1"/>
  <c r="C30" i="14625" a="1"/>
  <c r="C31" i="14625" a="1"/>
  <c r="C90" i="14648" a="1"/>
  <c r="B39" i="14707" a="1"/>
  <c r="B30" i="14710" a="1"/>
  <c r="B25" i="14631" a="1"/>
  <c r="C25" i="14617" a="1"/>
  <c r="E83" i="14649" a="1"/>
  <c r="D18" i="14643" a="1"/>
  <c r="B50" i="14649" a="1"/>
  <c r="B49" i="14649" a="1"/>
  <c r="D27" i="14643" a="1"/>
  <c r="C25" i="14684" a="1"/>
  <c r="C10" i="14633" a="1"/>
  <c r="B37" i="14710" a="1"/>
  <c r="C28" i="14648" a="1"/>
  <c r="B22" i="14648" a="1"/>
  <c r="D35" i="14643" a="1"/>
  <c r="C27" i="14648" a="1"/>
  <c r="B23" i="14648" a="1"/>
  <c r="B29" i="14710" a="1"/>
  <c r="B47" i="14707" a="1"/>
  <c r="C29" i="14633" a="1"/>
  <c r="C16" i="14633" a="1"/>
  <c r="B26" i="14631" a="1"/>
  <c r="C30" i="14633" a="1"/>
  <c r="C31" i="14633" a="1"/>
  <c r="B27" i="14631" a="1"/>
  <c r="B29" i="14631" a="1"/>
  <c r="C35" i="14633" a="1"/>
  <c r="B15" i="14640" a="1"/>
  <c r="C95" i="14648" a="1"/>
  <c r="C43" i="14648" a="1"/>
  <c r="B16" i="14640" a="1"/>
  <c r="B37" i="14648" a="1"/>
  <c r="C42" i="14648" a="1"/>
  <c r="B58" i="14636" a="1"/>
  <c r="B38" i="14648" a="1"/>
  <c r="C10" i="14641" a="1"/>
  <c r="C42" i="14710" a="1"/>
  <c r="B25" i="14640" a="1"/>
  <c r="E28" i="14643" a="1"/>
  <c r="C41" i="14710" a="1"/>
  <c r="C29" i="14641" a="1"/>
  <c r="C16" i="14641" a="1"/>
  <c r="B26" i="14640" a="1"/>
  <c r="B27" i="14640" a="1"/>
  <c r="B29" i="14640" a="1"/>
  <c r="C30" i="14641" a="1"/>
  <c r="C31" i="14641" a="1"/>
  <c r="C35" i="14641" a="1"/>
  <c r="C100" i="14648" a="1"/>
  <c r="B25" i="14670" a="1"/>
  <c r="C10" i="14676" a="1"/>
  <c r="B58" i="14672" a="1"/>
  <c r="C29" i="14676" a="1"/>
  <c r="C58" i="14648" a="1"/>
  <c r="B52" i="14648" a="1"/>
  <c r="C57" i="14648" a="1"/>
  <c r="B53" i="14648" a="1"/>
  <c r="C16" i="14676" a="1"/>
  <c r="B26" i="14670" a="1"/>
  <c r="C30" i="14676" a="1"/>
  <c r="B27" i="14670" a="1"/>
  <c r="B29" i="14670" a="1"/>
  <c r="C31" i="14676" a="1"/>
  <c r="C35" i="14676" a="1"/>
  <c r="O18" i="14673" a="1"/>
  <c r="B58" i="14673" a="1"/>
  <c r="C105" i="14648" a="1"/>
  <c r="C73" i="14648" a="1"/>
  <c r="B67" i="14648" a="1"/>
  <c r="C72" i="14648" a="1"/>
  <c r="B68" i="14648" a="1"/>
  <c r="C10" i="14677" a="1"/>
  <c r="B25" i="14671" a="1"/>
  <c r="C29" i="14677" a="1"/>
  <c r="C16" i="14677" a="1"/>
  <c r="B26" i="14671" a="1"/>
  <c r="C30" i="14677" a="1"/>
  <c r="B27" i="14671" a="1"/>
  <c r="B29" i="14671" a="1"/>
  <c r="C31" i="14677" a="1"/>
  <c r="C35" i="14677" a="1"/>
  <c r="C105" i="14707" l="1"/>
  <c r="B101" i="14707"/>
  <c r="C101" i="14707"/>
  <c r="O18" i="14672" l="1" a="1"/>
  <c r="B20" i="14671" a="1"/>
  <c r="B63" i="14684" l="1" a="1"/>
  <c r="C25" i="14657" l="1" a="1"/>
  <c r="B64" i="14684" a="1"/>
  <c r="K23" i="14657" a="1"/>
  <c r="K25" i="14657" a="1"/>
  <c r="O18" i="14636" l="1" a="1"/>
  <c r="C61" i="4128" l="1"/>
  <c r="C62" i="4128"/>
  <c r="C63" i="4128"/>
  <c r="B15" i="14670" a="1"/>
  <c r="B16" i="14670" a="1"/>
  <c r="B20" i="14670" a="1"/>
  <c r="B23" i="14670" a="1"/>
  <c r="K25" i="14617" a="1"/>
  <c r="B15" i="14671" a="1"/>
  <c r="B16" i="14671" a="1"/>
  <c r="B23" i="14671" a="1"/>
  <c r="N25" i="14617" a="1"/>
  <c r="B11" i="14659" l="1"/>
  <c r="B12" i="14659" l="1"/>
  <c r="B13" i="14659" s="1"/>
  <c r="C11" i="14659"/>
  <c r="C12" i="14659"/>
  <c r="F13" i="14659" l="1"/>
  <c r="C13" i="14659"/>
  <c r="B25" i="14659"/>
  <c r="B15" i="14659"/>
  <c r="D19" i="14659" l="1"/>
  <c r="B23" i="14659"/>
  <c r="C15" i="14659"/>
  <c r="B31" i="14659"/>
  <c r="B32" i="14659"/>
  <c r="C25" i="14659"/>
  <c r="D20" i="14659" l="1"/>
  <c r="G18" i="14659"/>
  <c r="H8" i="14706"/>
  <c r="M20" i="14645"/>
  <c r="N8" i="14633"/>
  <c r="C23" i="14659"/>
  <c r="M73" i="14645"/>
  <c r="M76" i="14645" s="1"/>
  <c r="F32" i="14659"/>
  <c r="C32" i="14659"/>
  <c r="H73" i="14645"/>
  <c r="C31" i="14659"/>
  <c r="N20" i="14645" l="1"/>
  <c r="M22" i="14645"/>
  <c r="N22" i="14645" s="1"/>
  <c r="N73" i="14645"/>
  <c r="H76" i="14645"/>
  <c r="N76" i="14645" s="1"/>
  <c r="N23" i="14633"/>
  <c r="H20" i="14667"/>
  <c r="D11" i="14659" l="1"/>
  <c r="E19" i="14659"/>
  <c r="E20" i="14659"/>
  <c r="D12" i="14659" l="1"/>
  <c r="E12" i="14659"/>
  <c r="E11" i="14659"/>
  <c r="F11" i="14659"/>
  <c r="D15" i="14659" l="1"/>
  <c r="F12" i="14659"/>
  <c r="D13" i="14659"/>
  <c r="D25" i="14659" s="1"/>
  <c r="D31" i="14659" l="1"/>
  <c r="D32" i="14659"/>
  <c r="E25" i="14659"/>
  <c r="F25" i="14659"/>
  <c r="G19" i="14659"/>
  <c r="E15" i="14659"/>
  <c r="D23" i="14659"/>
  <c r="F15" i="14659"/>
  <c r="I13" i="14659"/>
  <c r="E13" i="14659"/>
  <c r="M30" i="14645" l="1"/>
  <c r="N8" i="14641"/>
  <c r="E23" i="14659"/>
  <c r="F23" i="14659"/>
  <c r="G20" i="14659"/>
  <c r="J18" i="14659"/>
  <c r="I19" i="14659"/>
  <c r="J8" i="14706"/>
  <c r="H83" i="14645"/>
  <c r="M83" i="14645"/>
  <c r="M86" i="14645" s="1"/>
  <c r="I32" i="14659"/>
  <c r="E32" i="14659"/>
  <c r="E31" i="14659"/>
  <c r="F31" i="14659"/>
  <c r="L18" i="14659" l="1"/>
  <c r="N23" i="14641"/>
  <c r="I20" i="14659"/>
  <c r="N30" i="14645"/>
  <c r="M32" i="14645"/>
  <c r="N32" i="14645" s="1"/>
  <c r="J20" i="14667"/>
  <c r="H86" i="14645"/>
  <c r="N86" i="14645" s="1"/>
  <c r="N83" i="14645"/>
  <c r="G11" i="14659" l="1"/>
  <c r="L11" i="14659" l="1"/>
  <c r="H12" i="14659"/>
  <c r="G12" i="14659"/>
  <c r="G13" i="14659" s="1"/>
  <c r="L13" i="14659" s="1"/>
  <c r="H13" i="14659"/>
  <c r="H11" i="14659"/>
  <c r="I11" i="14659"/>
  <c r="G25" i="14659" l="1"/>
  <c r="G15" i="14659"/>
  <c r="L12" i="14659"/>
  <c r="I12" i="14659"/>
  <c r="H15" i="14659" l="1"/>
  <c r="J19" i="14659"/>
  <c r="G23" i="14659"/>
  <c r="L15" i="14659"/>
  <c r="I15" i="14659"/>
  <c r="G31" i="14659"/>
  <c r="G32" i="14659"/>
  <c r="L25" i="14659"/>
  <c r="H25" i="14659"/>
  <c r="I25" i="14659"/>
  <c r="L31" i="14659" l="1"/>
  <c r="H31" i="14659"/>
  <c r="I31" i="14659"/>
  <c r="N8" i="14676"/>
  <c r="L23" i="14659"/>
  <c r="H23" i="14659"/>
  <c r="M41" i="14645"/>
  <c r="I23" i="14659"/>
  <c r="M18" i="14659"/>
  <c r="O19" i="14659"/>
  <c r="J20" i="14659"/>
  <c r="L19" i="14659"/>
  <c r="L20" i="14667"/>
  <c r="L8" i="14706"/>
  <c r="M93" i="14645"/>
  <c r="M96" i="14645" s="1"/>
  <c r="L32" i="14659"/>
  <c r="H32" i="14659"/>
  <c r="H93" i="14645"/>
  <c r="O18" i="14659" l="1"/>
  <c r="M43" i="14645"/>
  <c r="N43" i="14645" s="1"/>
  <c r="N41" i="14645"/>
  <c r="N93" i="14645"/>
  <c r="H96" i="14645"/>
  <c r="N96" i="14645" s="1"/>
  <c r="N23" i="14676"/>
  <c r="O20" i="14659"/>
  <c r="L20" i="14659"/>
  <c r="J11" i="14659" l="1"/>
  <c r="K11" i="14659" l="1"/>
  <c r="J12" i="14659"/>
  <c r="J13" i="14659"/>
  <c r="O13" i="14659" s="1"/>
  <c r="K13" i="14659"/>
  <c r="O11" i="14659"/>
  <c r="K12" i="14659"/>
  <c r="J25" i="14659" l="1"/>
  <c r="J15" i="14659"/>
  <c r="O12" i="14659"/>
  <c r="K15" i="14659" l="1"/>
  <c r="O15" i="14659"/>
  <c r="M19" i="14659"/>
  <c r="J23" i="14659"/>
  <c r="K25" i="14659"/>
  <c r="O25" i="14659"/>
  <c r="J31" i="14659"/>
  <c r="J32" i="14659"/>
  <c r="K32" i="14659" l="1"/>
  <c r="M103" i="14645"/>
  <c r="M106" i="14645" s="1"/>
  <c r="O32" i="14659"/>
  <c r="H103" i="14645"/>
  <c r="K31" i="14659"/>
  <c r="O31" i="14659"/>
  <c r="K23" i="14659"/>
  <c r="O23" i="14659"/>
  <c r="M52" i="14645"/>
  <c r="N8" i="14677"/>
  <c r="M20" i="14659"/>
  <c r="N23" i="14677" s="1"/>
  <c r="N20" i="14667" l="1"/>
  <c r="N8" i="14706"/>
  <c r="H106" i="14645"/>
  <c r="N106" i="14645" s="1"/>
  <c r="N103" i="14645"/>
  <c r="N52" i="14645"/>
  <c r="M54" i="14645"/>
  <c r="N54" i="14645" s="1"/>
  <c r="M11" i="14659" l="1"/>
  <c r="M12" i="14659" l="1"/>
  <c r="M13" i="14659" s="1"/>
  <c r="N13" i="14659"/>
  <c r="N12" i="14659"/>
  <c r="N11" i="14659"/>
  <c r="M25" i="14659" l="1"/>
  <c r="M15" i="14659"/>
  <c r="N15" i="14659" l="1"/>
  <c r="M23" i="14659"/>
  <c r="N23" i="14659" s="1"/>
  <c r="N25" i="14659"/>
  <c r="M32" i="14659"/>
  <c r="M31" i="14659"/>
  <c r="N32" i="14659" l="1"/>
  <c r="N31" i="14659"/>
  <c r="C20" i="14657" a="1"/>
  <c r="K20" i="14657" a="1"/>
  <c r="K27" i="14657" a="1"/>
  <c r="B20" i="14640" a="1"/>
  <c r="B23" i="14640" a="1"/>
  <c r="M9" i="14617" l="1" a="1"/>
  <c r="M9" i="14617"/>
  <c r="J9" i="14617" a="1"/>
  <c r="J9" i="14617"/>
  <c r="O9" i="14617" s="1"/>
  <c r="G9" i="14617" a="1"/>
  <c r="G9" i="14617"/>
  <c r="D9" i="14617" a="1"/>
  <c r="D9" i="14617"/>
  <c r="D24" i="4128" s="1"/>
  <c r="B9" i="14617" a="1"/>
  <c r="B9" i="14617"/>
  <c r="E22" i="14617" a="1"/>
  <c r="E22" i="14617"/>
  <c r="E15" i="14617" a="1"/>
  <c r="E15" i="14617"/>
  <c r="E16" i="14617"/>
  <c r="C22" i="14617" a="1"/>
  <c r="C22" i="14617"/>
  <c r="C15" i="14617" a="1"/>
  <c r="C15" i="14617"/>
  <c r="C16" i="14617"/>
  <c r="C22" i="14677" a="1"/>
  <c r="J24" i="14675"/>
  <c r="J22" i="14675"/>
  <c r="C9" i="14677" a="1"/>
  <c r="G24" i="14675"/>
  <c r="G22" i="14675"/>
  <c r="D24" i="14675"/>
  <c r="D22" i="14675"/>
  <c r="C22" i="14676" a="1"/>
  <c r="J24" i="14674"/>
  <c r="J22" i="14674"/>
  <c r="G22" i="14674"/>
  <c r="D22" i="14674"/>
  <c r="J22" i="14639"/>
  <c r="G22" i="14639"/>
  <c r="D22" i="14639"/>
  <c r="N9" i="14617" a="1"/>
  <c r="B11" i="14671" a="1"/>
  <c r="B11" i="14671"/>
  <c r="B13" i="14671" s="1"/>
  <c r="C11" i="14671"/>
  <c r="C13" i="14671" s="1"/>
  <c r="D11" i="14671"/>
  <c r="D13" i="14671" s="1"/>
  <c r="E11" i="14671"/>
  <c r="E13" i="14671" s="1"/>
  <c r="F11" i="14671"/>
  <c r="F13" i="14671" s="1"/>
  <c r="G11" i="14671"/>
  <c r="G13" i="14671" s="1"/>
  <c r="H11" i="14671"/>
  <c r="H13" i="14671" s="1"/>
  <c r="I11" i="14671"/>
  <c r="J11" i="14671"/>
  <c r="J13" i="14671" s="1"/>
  <c r="K11" i="14671"/>
  <c r="L11" i="14671"/>
  <c r="L13" i="14671" s="1"/>
  <c r="J22" i="14634"/>
  <c r="K9" i="14617" a="1"/>
  <c r="G22" i="14634"/>
  <c r="B11" i="14670" a="1"/>
  <c r="B11" i="14670"/>
  <c r="B13" i="14670" s="1"/>
  <c r="C11" i="14670"/>
  <c r="C13" i="14670" s="1"/>
  <c r="D11" i="14670"/>
  <c r="D13" i="14670" s="1"/>
  <c r="E11" i="14670"/>
  <c r="E13" i="14670" s="1"/>
  <c r="F11" i="14670"/>
  <c r="F13" i="14670" s="1"/>
  <c r="G11" i="14670"/>
  <c r="H11" i="14670"/>
  <c r="H13" i="14670" s="1"/>
  <c r="I11" i="14670"/>
  <c r="I13" i="14670" s="1"/>
  <c r="J11" i="14670"/>
  <c r="J13" i="14670" s="1"/>
  <c r="K11" i="14670"/>
  <c r="K13" i="14670" s="1"/>
  <c r="L11" i="14670"/>
  <c r="L13" i="14670" s="1"/>
  <c r="D22" i="14634"/>
  <c r="H9" i="14617" a="1"/>
  <c r="B11" i="14640" a="1"/>
  <c r="B11" i="14640"/>
  <c r="B13" i="14640" s="1"/>
  <c r="C11" i="14640"/>
  <c r="C13" i="14640" s="1"/>
  <c r="D11" i="14640"/>
  <c r="D13" i="14640" s="1"/>
  <c r="E11" i="14640"/>
  <c r="E13" i="14640" s="1"/>
  <c r="F11" i="14640"/>
  <c r="F13" i="14640" s="1"/>
  <c r="G11" i="14640"/>
  <c r="G13" i="14640" s="1"/>
  <c r="H11" i="14640"/>
  <c r="H13" i="14640" s="1"/>
  <c r="I11" i="14640"/>
  <c r="I13" i="14640" s="1"/>
  <c r="J11" i="14640"/>
  <c r="J13" i="14640" s="1"/>
  <c r="K11" i="14640"/>
  <c r="K13" i="14640" s="1"/>
  <c r="L11" i="14640"/>
  <c r="L13" i="14640" s="1"/>
  <c r="J22" i="14628"/>
  <c r="J24" i="14628" s="1"/>
  <c r="J22" i="14625" s="1"/>
  <c r="G22" i="14628"/>
  <c r="G24" i="14628" s="1"/>
  <c r="G22" i="14625" s="1"/>
  <c r="E9" i="14617" a="1"/>
  <c r="B11" i="14631" a="1"/>
  <c r="B11" i="14631"/>
  <c r="B13" i="14631" s="1"/>
  <c r="C11" i="14631"/>
  <c r="C13" i="14631" s="1"/>
  <c r="D11" i="14631"/>
  <c r="D13" i="14631" s="1"/>
  <c r="E11" i="14631"/>
  <c r="E13" i="14631" s="1"/>
  <c r="F11" i="14631"/>
  <c r="F13" i="14631" s="1"/>
  <c r="G11" i="14631"/>
  <c r="G13" i="14631" s="1"/>
  <c r="H11" i="14631"/>
  <c r="H13" i="14631" s="1"/>
  <c r="I11" i="14631"/>
  <c r="I13" i="14631" s="1"/>
  <c r="J11" i="14631"/>
  <c r="J13" i="14631" s="1"/>
  <c r="K11" i="14631"/>
  <c r="K13" i="14631" s="1"/>
  <c r="L11" i="14631"/>
  <c r="L13" i="14631" s="1"/>
  <c r="D22" i="14628"/>
  <c r="D24" i="14628" s="1"/>
  <c r="D22" i="14625" s="1"/>
  <c r="C9" i="14617" a="1"/>
  <c r="B11" i="8" a="1"/>
  <c r="B11" i="8"/>
  <c r="B13" i="8" s="1"/>
  <c r="C11" i="8"/>
  <c r="C13" i="8" s="1"/>
  <c r="D11" i="8"/>
  <c r="D13" i="8" s="1"/>
  <c r="E11" i="8"/>
  <c r="E13" i="8" s="1"/>
  <c r="F11" i="8"/>
  <c r="F13" i="8" s="1"/>
  <c r="G11" i="8"/>
  <c r="G13" i="8" s="1"/>
  <c r="H11" i="8"/>
  <c r="H13" i="8" s="1"/>
  <c r="I11" i="8"/>
  <c r="I13" i="8" s="1"/>
  <c r="J11" i="8"/>
  <c r="J13" i="8" s="1"/>
  <c r="K11" i="8"/>
  <c r="K13" i="8" s="1"/>
  <c r="L11" i="8"/>
  <c r="L13" i="8" s="1"/>
  <c r="C12" i="14628" a="1"/>
  <c r="C20" i="14628" a="1"/>
  <c r="C13" i="14628" a="1"/>
  <c r="C21" i="14628" a="1"/>
  <c r="B17" i="8" a="1"/>
  <c r="B13" i="8" a="1"/>
  <c r="B13" i="14631" a="1"/>
  <c r="B13" i="14640" a="1"/>
  <c r="B13" i="14670" a="1"/>
  <c r="B13" i="14671" a="1"/>
  <c r="B20" i="8" a="1"/>
  <c r="B23" i="8" a="1"/>
  <c r="G24" i="4128" l="1"/>
  <c r="N9" i="14617"/>
  <c r="G13" i="14670"/>
  <c r="I13" i="14671"/>
  <c r="K13" i="14671"/>
  <c r="F24" i="4128"/>
  <c r="K9" i="14617"/>
  <c r="L9" i="14617"/>
  <c r="I9" i="14617"/>
  <c r="E24" i="4128"/>
  <c r="H9" i="14617"/>
  <c r="E9" i="14617"/>
  <c r="F9" i="14617"/>
  <c r="C24" i="4128"/>
  <c r="C9" i="14617"/>
  <c r="B33" i="14624" a="1"/>
  <c r="D33" i="14624" s="1"/>
  <c r="B34" i="14624" a="1"/>
  <c r="K34" i="14624" s="1"/>
  <c r="C34" i="14624"/>
  <c r="E34" i="14624"/>
  <c r="G33" i="14624"/>
  <c r="L33" i="14624"/>
  <c r="H34" i="14624"/>
  <c r="J34" i="14624"/>
  <c r="F22" i="14655"/>
  <c r="Q22" i="14655" s="1"/>
  <c r="F24" i="14655"/>
  <c r="Q24" i="14655" s="1"/>
  <c r="F3" i="14655"/>
  <c r="F25" i="14655" s="1"/>
  <c r="Q25" i="14655" s="1"/>
  <c r="F26" i="14655"/>
  <c r="Q26" i="14655" s="1"/>
  <c r="V20" i="14655"/>
  <c r="W20" i="14655" s="1"/>
  <c r="F6" i="14655"/>
  <c r="F11" i="14655"/>
  <c r="Q11" i="14655" s="1"/>
  <c r="F14" i="14655"/>
  <c r="Q14" i="14655"/>
  <c r="T14" i="14655" s="1"/>
  <c r="U14" i="14655"/>
  <c r="F16" i="14655"/>
  <c r="Q16" i="14655" s="1"/>
  <c r="F7" i="14655"/>
  <c r="Q7" i="14655" s="1"/>
  <c r="F13" i="14655"/>
  <c r="Q13" i="14655" s="1"/>
  <c r="F19" i="14655"/>
  <c r="Q19" i="14655"/>
  <c r="T19" i="14655" s="1"/>
  <c r="F21" i="14655"/>
  <c r="Q21" i="14655"/>
  <c r="T21" i="14655" s="1"/>
  <c r="U21" i="14655"/>
  <c r="F8" i="14655"/>
  <c r="Q8" i="14655"/>
  <c r="T8" i="14655" s="1"/>
  <c r="U8" i="14655"/>
  <c r="F9" i="14655"/>
  <c r="Q9" i="14655" s="1"/>
  <c r="F12" i="14655"/>
  <c r="Q12" i="14655"/>
  <c r="T12" i="14655" s="1"/>
  <c r="U12" i="14655"/>
  <c r="F20" i="14655"/>
  <c r="Q20" i="14655"/>
  <c r="T20" i="14655" s="1"/>
  <c r="U20" i="14655"/>
  <c r="F17" i="14655"/>
  <c r="Q17" i="14655"/>
  <c r="U17" i="14655" s="1"/>
  <c r="F15" i="14655"/>
  <c r="Q15" i="14655" s="1"/>
  <c r="F10" i="14655"/>
  <c r="Q10" i="14655" s="1"/>
  <c r="F18" i="14655"/>
  <c r="Q18" i="14655"/>
  <c r="T18" i="14655" s="1"/>
  <c r="U18" i="14655"/>
  <c r="I34" i="14624" l="1"/>
  <c r="F33" i="14624"/>
  <c r="E33" i="14624"/>
  <c r="C33" i="14624"/>
  <c r="B34" i="14624"/>
  <c r="N34" i="14624" s="1"/>
  <c r="B30" i="14682" s="1"/>
  <c r="B110" i="14707" s="1"/>
  <c r="G34" i="14624"/>
  <c r="B33" i="14624"/>
  <c r="F34" i="14624"/>
  <c r="M33" i="14624"/>
  <c r="K33" i="14624"/>
  <c r="M34" i="14624"/>
  <c r="J33" i="14624"/>
  <c r="L34" i="14624"/>
  <c r="I33" i="14624"/>
  <c r="D34" i="14624"/>
  <c r="H33" i="14624"/>
  <c r="T22" i="14655"/>
  <c r="X20" i="14655"/>
  <c r="T26" i="14655"/>
  <c r="U26" i="14655"/>
  <c r="T9" i="14655"/>
  <c r="U9" i="14655"/>
  <c r="U10" i="14655"/>
  <c r="T10" i="14655"/>
  <c r="T7" i="14655"/>
  <c r="U7" i="14655"/>
  <c r="T13" i="14655"/>
  <c r="U13" i="14655"/>
  <c r="U15" i="14655"/>
  <c r="T15" i="14655"/>
  <c r="T11" i="14655"/>
  <c r="U11" i="14655"/>
  <c r="V17" i="14655"/>
  <c r="U16" i="14655"/>
  <c r="T16" i="14655"/>
  <c r="F23" i="14655"/>
  <c r="Q23" i="14655" s="1"/>
  <c r="U19" i="14655"/>
  <c r="Q6" i="14655"/>
  <c r="V14" i="14655"/>
  <c r="V12" i="14655"/>
  <c r="V21" i="14655"/>
  <c r="V8" i="14655"/>
  <c r="T17" i="14655"/>
  <c r="V18" i="14655"/>
  <c r="N33" i="14624" l="1"/>
  <c r="B29" i="14682" s="1"/>
  <c r="B109" i="14707" s="1"/>
  <c r="W8" i="14655"/>
  <c r="V19" i="14655"/>
  <c r="V15" i="14655"/>
  <c r="W21" i="14655"/>
  <c r="V13" i="14655"/>
  <c r="W12" i="14655"/>
  <c r="W14" i="14655"/>
  <c r="V7" i="14655"/>
  <c r="W18" i="14655"/>
  <c r="V16" i="14655"/>
  <c r="V10" i="14655"/>
  <c r="V9" i="14655"/>
  <c r="V11" i="14655"/>
  <c r="U6" i="14655"/>
  <c r="T6" i="14655"/>
  <c r="B27" i="14655"/>
  <c r="W17" i="14655"/>
  <c r="W13" i="14655" l="1"/>
  <c r="W7" i="14655"/>
  <c r="W15" i="14655"/>
  <c r="X14" i="14655"/>
  <c r="X21" i="14655"/>
  <c r="W19" i="14655"/>
  <c r="W11" i="14655"/>
  <c r="X8" i="14655"/>
  <c r="W10" i="14655"/>
  <c r="E27" i="14655"/>
  <c r="B35" i="14624" s="1" a="1"/>
  <c r="I27" i="14655"/>
  <c r="N27" i="14655"/>
  <c r="G27" i="14655"/>
  <c r="G28" i="14655" s="1"/>
  <c r="F27" i="14655"/>
  <c r="F28" i="14655" s="1"/>
  <c r="J27" i="14655"/>
  <c r="M27" i="14655"/>
  <c r="P27" i="14655"/>
  <c r="K27" i="14655"/>
  <c r="H27" i="14655"/>
  <c r="O27" i="14655"/>
  <c r="L27" i="14655"/>
  <c r="V6" i="14655"/>
  <c r="W16" i="14655"/>
  <c r="X18" i="14655"/>
  <c r="X12" i="14655"/>
  <c r="X17" i="14655"/>
  <c r="W9" i="14655"/>
  <c r="J46" i="14624" l="1"/>
  <c r="B35" i="14624"/>
  <c r="B47" i="14624"/>
  <c r="C35" i="14624"/>
  <c r="C47" i="14624"/>
  <c r="D45" i="14624"/>
  <c r="E35" i="14624"/>
  <c r="E47" i="14624"/>
  <c r="H37" i="14624"/>
  <c r="K38" i="14624"/>
  <c r="H41" i="14624"/>
  <c r="K42" i="14624"/>
  <c r="H45" i="14624"/>
  <c r="K46" i="14624"/>
  <c r="H49" i="14624"/>
  <c r="L50" i="14624"/>
  <c r="G52" i="14624"/>
  <c r="J53" i="14624"/>
  <c r="I36" i="14624"/>
  <c r="B36" i="14624"/>
  <c r="B48" i="14624"/>
  <c r="C36" i="14624"/>
  <c r="C48" i="14624"/>
  <c r="D46" i="14624"/>
  <c r="E36" i="14624"/>
  <c r="E48" i="14624"/>
  <c r="F36" i="14624"/>
  <c r="I37" i="14624"/>
  <c r="L38" i="14624"/>
  <c r="F40" i="14624"/>
  <c r="I41" i="14624"/>
  <c r="L42" i="14624"/>
  <c r="F44" i="14624"/>
  <c r="I45" i="14624"/>
  <c r="L46" i="14624"/>
  <c r="F48" i="14624"/>
  <c r="I49" i="14624"/>
  <c r="M50" i="14624"/>
  <c r="H52" i="14624"/>
  <c r="K53" i="14624"/>
  <c r="F35" i="14624"/>
  <c r="J42" i="14624"/>
  <c r="G49" i="14624"/>
  <c r="I53" i="14624"/>
  <c r="B37" i="14624"/>
  <c r="B49" i="14624"/>
  <c r="C37" i="14624"/>
  <c r="C49" i="14624"/>
  <c r="D35" i="14624"/>
  <c r="D47" i="14624"/>
  <c r="E37" i="14624"/>
  <c r="E49" i="14624"/>
  <c r="G36" i="14624"/>
  <c r="J37" i="14624"/>
  <c r="M38" i="14624"/>
  <c r="G40" i="14624"/>
  <c r="J41" i="14624"/>
  <c r="M42" i="14624"/>
  <c r="G44" i="14624"/>
  <c r="J45" i="14624"/>
  <c r="M46" i="14624"/>
  <c r="G48" i="14624"/>
  <c r="J49" i="14624"/>
  <c r="I52" i="14624"/>
  <c r="L53" i="14624"/>
  <c r="H38" i="14624"/>
  <c r="E46" i="14624"/>
  <c r="M35" i="14624"/>
  <c r="G37" i="14624"/>
  <c r="M39" i="14624"/>
  <c r="M43" i="14624"/>
  <c r="G45" i="14624"/>
  <c r="M47" i="14624"/>
  <c r="F52" i="14624"/>
  <c r="B38" i="14624"/>
  <c r="B50" i="14624"/>
  <c r="C38" i="14624"/>
  <c r="C50" i="14624"/>
  <c r="D36" i="14624"/>
  <c r="D48" i="14624"/>
  <c r="E38" i="14624"/>
  <c r="E50" i="14624"/>
  <c r="H36" i="14624"/>
  <c r="K37" i="14624"/>
  <c r="H40" i="14624"/>
  <c r="K41" i="14624"/>
  <c r="H44" i="14624"/>
  <c r="K45" i="14624"/>
  <c r="H48" i="14624"/>
  <c r="K49" i="14624"/>
  <c r="F51" i="14624"/>
  <c r="J52" i="14624"/>
  <c r="M53" i="14624"/>
  <c r="L45" i="14624"/>
  <c r="K35" i="14624"/>
  <c r="K39" i="14624"/>
  <c r="H42" i="14624"/>
  <c r="K43" i="14624"/>
  <c r="K47" i="14624"/>
  <c r="L51" i="14624"/>
  <c r="B39" i="14624"/>
  <c r="B51" i="14624"/>
  <c r="C39" i="14624"/>
  <c r="C51" i="14624"/>
  <c r="D37" i="14624"/>
  <c r="D49" i="14624"/>
  <c r="E39" i="14624"/>
  <c r="E51" i="14624"/>
  <c r="L37" i="14624"/>
  <c r="F39" i="14624"/>
  <c r="I40" i="14624"/>
  <c r="L41" i="14624"/>
  <c r="F43" i="14624"/>
  <c r="I44" i="14624"/>
  <c r="F47" i="14624"/>
  <c r="I48" i="14624"/>
  <c r="L49" i="14624"/>
  <c r="G51" i="14624"/>
  <c r="K52" i="14624"/>
  <c r="G41" i="14624"/>
  <c r="B40" i="14624"/>
  <c r="B52" i="14624"/>
  <c r="C40" i="14624"/>
  <c r="C52" i="14624"/>
  <c r="D38" i="14624"/>
  <c r="D50" i="14624"/>
  <c r="E40" i="14624"/>
  <c r="E52" i="14624"/>
  <c r="G35" i="14624"/>
  <c r="J36" i="14624"/>
  <c r="M37" i="14624"/>
  <c r="G39" i="14624"/>
  <c r="J40" i="14624"/>
  <c r="M41" i="14624"/>
  <c r="G43" i="14624"/>
  <c r="J44" i="14624"/>
  <c r="M45" i="14624"/>
  <c r="G47" i="14624"/>
  <c r="J48" i="14624"/>
  <c r="M49" i="14624"/>
  <c r="H51" i="14624"/>
  <c r="L52" i="14624"/>
  <c r="B41" i="14624"/>
  <c r="N41" i="14624" s="1"/>
  <c r="B37" i="14682" s="1"/>
  <c r="B117" i="14707" s="1"/>
  <c r="B53" i="14624"/>
  <c r="C41" i="14624"/>
  <c r="C53" i="14624"/>
  <c r="D39" i="14624"/>
  <c r="D51" i="14624"/>
  <c r="E41" i="14624"/>
  <c r="E53" i="14624"/>
  <c r="H35" i="14624"/>
  <c r="K36" i="14624"/>
  <c r="H39" i="14624"/>
  <c r="K40" i="14624"/>
  <c r="H43" i="14624"/>
  <c r="K44" i="14624"/>
  <c r="H47" i="14624"/>
  <c r="K48" i="14624"/>
  <c r="F50" i="14624"/>
  <c r="I51" i="14624"/>
  <c r="M52" i="14624"/>
  <c r="H46" i="14624"/>
  <c r="I50" i="14624"/>
  <c r="G53" i="14624"/>
  <c r="B42" i="14624"/>
  <c r="B54" i="14624"/>
  <c r="C42" i="14624"/>
  <c r="C54" i="14624"/>
  <c r="D40" i="14624"/>
  <c r="D52" i="14624"/>
  <c r="E42" i="14624"/>
  <c r="I35" i="14624"/>
  <c r="L36" i="14624"/>
  <c r="F38" i="14624"/>
  <c r="I39" i="14624"/>
  <c r="L40" i="14624"/>
  <c r="F42" i="14624"/>
  <c r="I43" i="14624"/>
  <c r="L44" i="14624"/>
  <c r="F46" i="14624"/>
  <c r="I47" i="14624"/>
  <c r="L48" i="14624"/>
  <c r="G50" i="14624"/>
  <c r="J51" i="14624"/>
  <c r="E44" i="14624"/>
  <c r="B43" i="14624"/>
  <c r="C43" i="14624"/>
  <c r="D41" i="14624"/>
  <c r="D53" i="14624"/>
  <c r="E43" i="14624"/>
  <c r="J35" i="14624"/>
  <c r="M36" i="14624"/>
  <c r="G38" i="14624"/>
  <c r="J39" i="14624"/>
  <c r="M40" i="14624"/>
  <c r="G42" i="14624"/>
  <c r="J43" i="14624"/>
  <c r="M44" i="14624"/>
  <c r="G46" i="14624"/>
  <c r="J47" i="14624"/>
  <c r="M48" i="14624"/>
  <c r="H50" i="14624"/>
  <c r="K51" i="14624"/>
  <c r="F53" i="14624"/>
  <c r="B44" i="14624"/>
  <c r="C44" i="14624"/>
  <c r="D42" i="14624"/>
  <c r="D54" i="14624"/>
  <c r="B45" i="14624"/>
  <c r="C45" i="14624"/>
  <c r="D43" i="14624"/>
  <c r="E45" i="14624"/>
  <c r="L35" i="14624"/>
  <c r="F37" i="14624"/>
  <c r="I38" i="14624"/>
  <c r="L39" i="14624"/>
  <c r="F41" i="14624"/>
  <c r="I42" i="14624"/>
  <c r="L43" i="14624"/>
  <c r="F45" i="14624"/>
  <c r="I46" i="14624"/>
  <c r="L47" i="14624"/>
  <c r="F49" i="14624"/>
  <c r="J50" i="14624"/>
  <c r="M51" i="14624"/>
  <c r="H53" i="14624"/>
  <c r="B46" i="14624"/>
  <c r="N46" i="14624" s="1"/>
  <c r="B42" i="14682" s="1"/>
  <c r="B122" i="14707" s="1"/>
  <c r="C46" i="14624"/>
  <c r="D44" i="14624"/>
  <c r="J38" i="14624"/>
  <c r="K50" i="14624"/>
  <c r="K54" i="14624"/>
  <c r="N28" i="14655"/>
  <c r="F54" i="14624"/>
  <c r="I28" i="14655"/>
  <c r="X11" i="14655"/>
  <c r="Q27" i="14655"/>
  <c r="E28" i="14655"/>
  <c r="I54" i="14624"/>
  <c r="L28" i="14655"/>
  <c r="X19" i="14655"/>
  <c r="W6" i="14655"/>
  <c r="O28" i="14655"/>
  <c r="L54" i="14624"/>
  <c r="H28" i="14655"/>
  <c r="E54" i="14624"/>
  <c r="H54" i="14624"/>
  <c r="K28" i="14655"/>
  <c r="X15" i="14655"/>
  <c r="M54" i="14624"/>
  <c r="P28" i="14655"/>
  <c r="X10" i="14655"/>
  <c r="X9" i="14655"/>
  <c r="J54" i="14624"/>
  <c r="M28" i="14655"/>
  <c r="X13" i="14655"/>
  <c r="X16" i="14655"/>
  <c r="G54" i="14624"/>
  <c r="J28" i="14655"/>
  <c r="X7" i="14655"/>
  <c r="C60" i="14624" l="1"/>
  <c r="D6" i="14628" s="1"/>
  <c r="D9" i="14628" s="1"/>
  <c r="N53" i="14624"/>
  <c r="B49" i="14682" s="1"/>
  <c r="N49" i="14624"/>
  <c r="B45" i="14682" s="1"/>
  <c r="B125" i="14707" s="1"/>
  <c r="N42" i="14624"/>
  <c r="B38" i="14682" s="1"/>
  <c r="B118" i="14707" s="1"/>
  <c r="D60" i="14624"/>
  <c r="N37" i="14624"/>
  <c r="B33" i="14682" s="1"/>
  <c r="B113" i="14707" s="1"/>
  <c r="B60" i="14624"/>
  <c r="C6" i="14628" s="1"/>
  <c r="C9" i="14628" s="1"/>
  <c r="C12" i="14628" s="1"/>
  <c r="N48" i="14624"/>
  <c r="B44" i="14682" s="1"/>
  <c r="B124" i="14707" s="1"/>
  <c r="N36" i="14624"/>
  <c r="B32" i="14682" s="1"/>
  <c r="B112" i="14707" s="1"/>
  <c r="N43" i="14624"/>
  <c r="B39" i="14682" s="1"/>
  <c r="B119" i="14707" s="1"/>
  <c r="N51" i="14624"/>
  <c r="B47" i="14682" s="1"/>
  <c r="B127" i="14707" s="1"/>
  <c r="N45" i="14624"/>
  <c r="B41" i="14682" s="1"/>
  <c r="B121" i="14707" s="1"/>
  <c r="N39" i="14624"/>
  <c r="B35" i="14682" s="1"/>
  <c r="B115" i="14707" s="1"/>
  <c r="N50" i="14624"/>
  <c r="B46" i="14682" s="1"/>
  <c r="B126" i="14707" s="1"/>
  <c r="C55" i="14624"/>
  <c r="C58" i="14624" s="1"/>
  <c r="N38" i="14624"/>
  <c r="B34" i="14682" s="1"/>
  <c r="B114" i="14707" s="1"/>
  <c r="N47" i="14624"/>
  <c r="B43" i="14682" s="1"/>
  <c r="B123" i="14707" s="1"/>
  <c r="N52" i="14624"/>
  <c r="B48" i="14682" s="1"/>
  <c r="N35" i="14624"/>
  <c r="B31" i="14682" s="1"/>
  <c r="B111" i="14707" s="1"/>
  <c r="B55" i="14624"/>
  <c r="N44" i="14624"/>
  <c r="B40" i="14682" s="1"/>
  <c r="B120" i="14707" s="1"/>
  <c r="N40" i="14624"/>
  <c r="B36" i="14682" s="1"/>
  <c r="B116" i="14707" s="1"/>
  <c r="D55" i="14624"/>
  <c r="D58" i="14624" s="1"/>
  <c r="J55" i="14624"/>
  <c r="J60" i="14624"/>
  <c r="T27" i="14655"/>
  <c r="T28" i="14655" s="1"/>
  <c r="U27" i="14655"/>
  <c r="B33" i="14629" s="1" a="1"/>
  <c r="Q28" i="14655"/>
  <c r="R6" i="14655" s="1" a="1"/>
  <c r="E60" i="14624"/>
  <c r="E55" i="14624"/>
  <c r="N54" i="14624"/>
  <c r="M55" i="14624"/>
  <c r="M60" i="14624"/>
  <c r="N6" i="14628" s="1"/>
  <c r="N9" i="14628" s="1"/>
  <c r="K55" i="14624"/>
  <c r="K60" i="14624"/>
  <c r="H55" i="14624"/>
  <c r="H60" i="14624"/>
  <c r="L60" i="14624"/>
  <c r="L55" i="14624"/>
  <c r="I60" i="14624"/>
  <c r="J6" i="14628" s="1"/>
  <c r="J9" i="14628" s="1"/>
  <c r="I55" i="14624"/>
  <c r="G60" i="14624"/>
  <c r="G55" i="14624"/>
  <c r="X6" i="14655"/>
  <c r="F55" i="14624"/>
  <c r="F60" i="14624"/>
  <c r="G6" i="14628" s="1"/>
  <c r="G9" i="14628" s="1"/>
  <c r="M6" i="14628" l="1"/>
  <c r="M9" i="14628" s="1"/>
  <c r="M12" i="14628" s="1"/>
  <c r="M20" i="14628" s="1"/>
  <c r="M21" i="14628" s="1"/>
  <c r="K6" i="14628"/>
  <c r="K9" i="14628" s="1"/>
  <c r="K12" i="14628" s="1"/>
  <c r="K20" i="14628" s="1"/>
  <c r="K21" i="14628" s="1"/>
  <c r="I6" i="14628"/>
  <c r="I9" i="14628" s="1"/>
  <c r="I12" i="14628" s="1"/>
  <c r="I20" i="14628" s="1"/>
  <c r="I21" i="14628" s="1"/>
  <c r="L6" i="14628"/>
  <c r="L9" i="14628" s="1"/>
  <c r="L12" i="14628" s="1"/>
  <c r="L20" i="14628" s="1"/>
  <c r="L21" i="14628" s="1"/>
  <c r="H6" i="14628"/>
  <c r="H9" i="14628" s="1"/>
  <c r="H12" i="14628" s="1"/>
  <c r="H20" i="14628" s="1"/>
  <c r="H21" i="14628" s="1"/>
  <c r="E6" i="14628"/>
  <c r="E9" i="14628" s="1"/>
  <c r="E12" i="14628" s="1"/>
  <c r="D12" i="14628"/>
  <c r="E14" i="14625"/>
  <c r="B58" i="14624"/>
  <c r="C13" i="14628"/>
  <c r="B17" i="8" s="1"/>
  <c r="B18" i="8" s="1"/>
  <c r="B20" i="8" s="1"/>
  <c r="B23" i="8" s="1"/>
  <c r="C20" i="14628"/>
  <c r="C21" i="14628" s="1"/>
  <c r="D14" i="14625"/>
  <c r="B128" i="14707"/>
  <c r="B130" i="14707" s="1"/>
  <c r="B33" i="14629"/>
  <c r="B34" i="14629"/>
  <c r="B35" i="14629"/>
  <c r="B36" i="14629"/>
  <c r="B37" i="14629"/>
  <c r="B38" i="14629"/>
  <c r="B39" i="14629"/>
  <c r="B40" i="14629"/>
  <c r="B41" i="14629"/>
  <c r="B42" i="14629"/>
  <c r="B43" i="14629"/>
  <c r="B44" i="14629"/>
  <c r="N44" i="14629" s="1"/>
  <c r="C40" i="14682" s="1"/>
  <c r="C120" i="14707" s="1"/>
  <c r="B45" i="14629"/>
  <c r="B46" i="14629"/>
  <c r="B47" i="14629"/>
  <c r="B48" i="14629"/>
  <c r="B49" i="14629"/>
  <c r="B50" i="14629"/>
  <c r="B51" i="14629"/>
  <c r="B52" i="14629"/>
  <c r="B53" i="14629"/>
  <c r="B54" i="14629"/>
  <c r="C54" i="14629"/>
  <c r="H38" i="14629"/>
  <c r="H46" i="14629"/>
  <c r="H53" i="14629"/>
  <c r="I45" i="14629"/>
  <c r="I50" i="14629"/>
  <c r="J51" i="14629"/>
  <c r="K45" i="14629"/>
  <c r="K54" i="14629"/>
  <c r="L40" i="14629"/>
  <c r="L48" i="14629"/>
  <c r="M38" i="14629"/>
  <c r="M51" i="14629"/>
  <c r="C33" i="14629"/>
  <c r="C34" i="14629"/>
  <c r="C35" i="14629"/>
  <c r="C36" i="14629"/>
  <c r="C37" i="14629"/>
  <c r="C38" i="14629"/>
  <c r="C39" i="14629"/>
  <c r="C40" i="14629"/>
  <c r="C41" i="14629"/>
  <c r="C42" i="14629"/>
  <c r="C43" i="14629"/>
  <c r="C44" i="14629"/>
  <c r="C45" i="14629"/>
  <c r="C46" i="14629"/>
  <c r="C47" i="14629"/>
  <c r="C48" i="14629"/>
  <c r="C49" i="14629"/>
  <c r="C50" i="14629"/>
  <c r="C51" i="14629"/>
  <c r="C52" i="14629"/>
  <c r="C53" i="14629"/>
  <c r="H44" i="14629"/>
  <c r="H51" i="14629"/>
  <c r="I43" i="14629"/>
  <c r="I51" i="14629"/>
  <c r="J50" i="14629"/>
  <c r="K44" i="14629"/>
  <c r="K52" i="14629"/>
  <c r="L38" i="14629"/>
  <c r="L47" i="14629"/>
  <c r="M36" i="14629"/>
  <c r="M46" i="14629"/>
  <c r="D33" i="14629"/>
  <c r="D34" i="14629"/>
  <c r="D35" i="14629"/>
  <c r="D36" i="14629"/>
  <c r="D37" i="14629"/>
  <c r="D38" i="14629"/>
  <c r="D39" i="14629"/>
  <c r="D40" i="14629"/>
  <c r="D41" i="14629"/>
  <c r="D42" i="14629"/>
  <c r="D43" i="14629"/>
  <c r="D44" i="14629"/>
  <c r="D45" i="14629"/>
  <c r="D46" i="14629"/>
  <c r="D47" i="14629"/>
  <c r="D48" i="14629"/>
  <c r="D49" i="14629"/>
  <c r="D50" i="14629"/>
  <c r="D51" i="14629"/>
  <c r="D52" i="14629"/>
  <c r="D53" i="14629"/>
  <c r="D54" i="14629"/>
  <c r="H37" i="14629"/>
  <c r="H42" i="14629"/>
  <c r="H47" i="14629"/>
  <c r="H52" i="14629"/>
  <c r="I40" i="14629"/>
  <c r="I47" i="14629"/>
  <c r="I54" i="14629"/>
  <c r="J52" i="14629"/>
  <c r="K50" i="14629"/>
  <c r="L34" i="14629"/>
  <c r="L44" i="14629"/>
  <c r="L53" i="14629"/>
  <c r="M40" i="14629"/>
  <c r="M49" i="14629"/>
  <c r="E33" i="14629"/>
  <c r="E34" i="14629"/>
  <c r="E35" i="14629"/>
  <c r="E36" i="14629"/>
  <c r="E37" i="14629"/>
  <c r="E38" i="14629"/>
  <c r="E39" i="14629"/>
  <c r="E40" i="14629"/>
  <c r="E41" i="14629"/>
  <c r="E42" i="14629"/>
  <c r="E43" i="14629"/>
  <c r="E44" i="14629"/>
  <c r="E45" i="14629"/>
  <c r="E46" i="14629"/>
  <c r="E47" i="14629"/>
  <c r="E48" i="14629"/>
  <c r="E49" i="14629"/>
  <c r="E50" i="14629"/>
  <c r="E51" i="14629"/>
  <c r="E52" i="14629"/>
  <c r="E53" i="14629"/>
  <c r="E54" i="14629"/>
  <c r="H36" i="14629"/>
  <c r="H43" i="14629"/>
  <c r="H49" i="14629"/>
  <c r="I44" i="14629"/>
  <c r="I52" i="14629"/>
  <c r="J53" i="14629"/>
  <c r="K47" i="14629"/>
  <c r="L37" i="14629"/>
  <c r="L46" i="14629"/>
  <c r="M34" i="14629"/>
  <c r="M43" i="14629"/>
  <c r="M54" i="14629"/>
  <c r="F33" i="14629"/>
  <c r="F34" i="14629"/>
  <c r="F35" i="14629"/>
  <c r="F36" i="14629"/>
  <c r="F37" i="14629"/>
  <c r="F38" i="14629"/>
  <c r="F39" i="14629"/>
  <c r="F40" i="14629"/>
  <c r="F41" i="14629"/>
  <c r="F42" i="14629"/>
  <c r="F43" i="14629"/>
  <c r="F44" i="14629"/>
  <c r="F45" i="14629"/>
  <c r="F46" i="14629"/>
  <c r="F47" i="14629"/>
  <c r="F48" i="14629"/>
  <c r="F49" i="14629"/>
  <c r="F50" i="14629"/>
  <c r="F51" i="14629"/>
  <c r="F52" i="14629"/>
  <c r="F53" i="14629"/>
  <c r="F54" i="14629"/>
  <c r="H34" i="14629"/>
  <c r="H39" i="14629"/>
  <c r="H45" i="14629"/>
  <c r="H50" i="14629"/>
  <c r="I41" i="14629"/>
  <c r="I48" i="14629"/>
  <c r="K42" i="14629"/>
  <c r="K51" i="14629"/>
  <c r="L41" i="14629"/>
  <c r="L49" i="14629"/>
  <c r="M33" i="14629"/>
  <c r="M45" i="14629"/>
  <c r="G33" i="14629"/>
  <c r="G34" i="14629"/>
  <c r="G35" i="14629"/>
  <c r="G36" i="14629"/>
  <c r="G37" i="14629"/>
  <c r="G38" i="14629"/>
  <c r="G39" i="14629"/>
  <c r="G40" i="14629"/>
  <c r="G41" i="14629"/>
  <c r="G42" i="14629"/>
  <c r="G43" i="14629"/>
  <c r="G44" i="14629"/>
  <c r="G45" i="14629"/>
  <c r="G46" i="14629"/>
  <c r="G47" i="14629"/>
  <c r="G48" i="14629"/>
  <c r="G49" i="14629"/>
  <c r="G50" i="14629"/>
  <c r="G51" i="14629"/>
  <c r="G52" i="14629"/>
  <c r="G53" i="14629"/>
  <c r="G54" i="14629"/>
  <c r="H35" i="14629"/>
  <c r="H41" i="14629"/>
  <c r="H48" i="14629"/>
  <c r="H54" i="14629"/>
  <c r="I42" i="14629"/>
  <c r="I49" i="14629"/>
  <c r="J48" i="14629"/>
  <c r="J54" i="14629"/>
  <c r="K48" i="14629"/>
  <c r="K53" i="14629"/>
  <c r="L39" i="14629"/>
  <c r="L51" i="14629"/>
  <c r="M37" i="14629"/>
  <c r="M48" i="14629"/>
  <c r="H33" i="14629"/>
  <c r="H40" i="14629"/>
  <c r="J49" i="14629"/>
  <c r="K49" i="14629"/>
  <c r="L35" i="14629"/>
  <c r="L50" i="14629"/>
  <c r="M42" i="14629"/>
  <c r="M50" i="14629"/>
  <c r="I33" i="14629"/>
  <c r="I34" i="14629"/>
  <c r="I35" i="14629"/>
  <c r="I36" i="14629"/>
  <c r="I37" i="14629"/>
  <c r="I38" i="14629"/>
  <c r="I39" i="14629"/>
  <c r="I46" i="14629"/>
  <c r="I53" i="14629"/>
  <c r="K43" i="14629"/>
  <c r="L36" i="14629"/>
  <c r="L45" i="14629"/>
  <c r="M41" i="14629"/>
  <c r="M52" i="14629"/>
  <c r="J33" i="14629"/>
  <c r="J34" i="14629"/>
  <c r="J35" i="14629"/>
  <c r="J36" i="14629"/>
  <c r="J37" i="14629"/>
  <c r="J38" i="14629"/>
  <c r="J39" i="14629"/>
  <c r="J40" i="14629"/>
  <c r="J41" i="14629"/>
  <c r="J42" i="14629"/>
  <c r="J43" i="14629"/>
  <c r="J44" i="14629"/>
  <c r="J45" i="14629"/>
  <c r="J46" i="14629"/>
  <c r="J47" i="14629"/>
  <c r="L33" i="14629"/>
  <c r="L43" i="14629"/>
  <c r="L54" i="14629"/>
  <c r="M39" i="14629"/>
  <c r="M47" i="14629"/>
  <c r="K33" i="14629"/>
  <c r="K34" i="14629"/>
  <c r="K35" i="14629"/>
  <c r="K36" i="14629"/>
  <c r="K37" i="14629"/>
  <c r="K38" i="14629"/>
  <c r="K39" i="14629"/>
  <c r="K40" i="14629"/>
  <c r="K41" i="14629"/>
  <c r="K46" i="14629"/>
  <c r="L42" i="14629"/>
  <c r="L52" i="14629"/>
  <c r="M35" i="14629"/>
  <c r="M44" i="14629"/>
  <c r="M53" i="14629"/>
  <c r="G12" i="14628"/>
  <c r="G20" i="14628" s="1"/>
  <c r="G21" i="14628" s="1"/>
  <c r="I58" i="14624"/>
  <c r="J58" i="14624"/>
  <c r="J12" i="14628"/>
  <c r="J20" i="14628" s="1"/>
  <c r="J21" i="14628" s="1"/>
  <c r="N12" i="14628"/>
  <c r="N20" i="14628" s="1"/>
  <c r="N21" i="14628" s="1"/>
  <c r="R9" i="14655"/>
  <c r="R27" i="14655"/>
  <c r="R21" i="14655"/>
  <c r="R25" i="14655"/>
  <c r="R24" i="14655"/>
  <c r="R26" i="14655"/>
  <c r="R6" i="14655"/>
  <c r="R23" i="14655"/>
  <c r="R10" i="14655"/>
  <c r="R12" i="14655"/>
  <c r="R18" i="14655"/>
  <c r="R16" i="14655"/>
  <c r="R22" i="14655"/>
  <c r="R17" i="14655"/>
  <c r="R15" i="14655"/>
  <c r="R14" i="14655"/>
  <c r="R20" i="14655"/>
  <c r="R8" i="14655"/>
  <c r="R13" i="14655"/>
  <c r="R7" i="14655"/>
  <c r="R19" i="14655"/>
  <c r="R11" i="14655"/>
  <c r="K58" i="14624"/>
  <c r="M58" i="14624"/>
  <c r="B50" i="14682"/>
  <c r="B51" i="14682" s="1"/>
  <c r="B53" i="14682" s="1"/>
  <c r="N55" i="14624"/>
  <c r="V27" i="14655"/>
  <c r="U28" i="14655"/>
  <c r="E58" i="14624"/>
  <c r="F6" i="14628"/>
  <c r="N60" i="14624"/>
  <c r="G58" i="14624"/>
  <c r="L58" i="14624"/>
  <c r="F58" i="14624"/>
  <c r="H58" i="14624"/>
  <c r="E13" i="14628" l="1"/>
  <c r="E20" i="14628"/>
  <c r="E21" i="14628" s="1"/>
  <c r="D20" i="14628"/>
  <c r="D21" i="14628" s="1"/>
  <c r="D13" i="14628"/>
  <c r="D17" i="8"/>
  <c r="D18" i="8" s="1"/>
  <c r="C17" i="8"/>
  <c r="C18" i="8" s="1"/>
  <c r="C20" i="8" s="1"/>
  <c r="C23" i="8" s="1"/>
  <c r="B55" i="14629"/>
  <c r="K13" i="14628"/>
  <c r="J17" i="8" s="1"/>
  <c r="J18" i="8" s="1"/>
  <c r="J20" i="8" s="1"/>
  <c r="J23" i="8" s="1"/>
  <c r="C14" i="14625"/>
  <c r="N43" i="14629"/>
  <c r="C39" i="14682" s="1"/>
  <c r="C119" i="14707" s="1"/>
  <c r="N42" i="14629"/>
  <c r="C38" i="14682" s="1"/>
  <c r="C118" i="14707" s="1"/>
  <c r="N53" i="14629"/>
  <c r="C49" i="14682" s="1"/>
  <c r="N41" i="14629"/>
  <c r="C37" i="14682" s="1"/>
  <c r="C117" i="14707" s="1"/>
  <c r="N52" i="14629"/>
  <c r="C48" i="14682" s="1"/>
  <c r="N40" i="14629"/>
  <c r="C36" i="14682" s="1"/>
  <c r="C116" i="14707" s="1"/>
  <c r="N51" i="14629"/>
  <c r="C47" i="14682" s="1"/>
  <c r="C127" i="14707" s="1"/>
  <c r="N39" i="14629"/>
  <c r="C35" i="14682" s="1"/>
  <c r="C115" i="14707" s="1"/>
  <c r="N50" i="14629"/>
  <c r="C46" i="14682" s="1"/>
  <c r="C126" i="14707" s="1"/>
  <c r="N38" i="14629"/>
  <c r="C34" i="14682" s="1"/>
  <c r="C114" i="14707" s="1"/>
  <c r="N49" i="14629"/>
  <c r="N37" i="14629"/>
  <c r="C33" i="14682" s="1"/>
  <c r="C113" i="14707" s="1"/>
  <c r="N48" i="14629"/>
  <c r="C44" i="14682" s="1"/>
  <c r="C124" i="14707" s="1"/>
  <c r="N36" i="14629"/>
  <c r="C32" i="14682" s="1"/>
  <c r="C112" i="14707" s="1"/>
  <c r="N47" i="14629"/>
  <c r="C43" i="14682" s="1"/>
  <c r="C123" i="14707" s="1"/>
  <c r="N35" i="14629"/>
  <c r="C31" i="14682" s="1"/>
  <c r="C111" i="14707" s="1"/>
  <c r="N46" i="14629"/>
  <c r="C42" i="14682" s="1"/>
  <c r="C122" i="14707" s="1"/>
  <c r="N34" i="14629"/>
  <c r="C30" i="14682" s="1"/>
  <c r="C110" i="14707" s="1"/>
  <c r="N45" i="14629"/>
  <c r="C41" i="14682" s="1"/>
  <c r="C121" i="14707" s="1"/>
  <c r="N33" i="14629"/>
  <c r="C29" i="14682" s="1"/>
  <c r="C109" i="14707" s="1"/>
  <c r="G13" i="14628"/>
  <c r="M13" i="14628"/>
  <c r="J13" i="14628"/>
  <c r="L60" i="14629"/>
  <c r="L55" i="14629"/>
  <c r="L14" i="14625"/>
  <c r="N13" i="14628"/>
  <c r="M60" i="14629"/>
  <c r="M55" i="14629"/>
  <c r="L13" i="14628"/>
  <c r="J60" i="14629"/>
  <c r="J55" i="14629"/>
  <c r="R28" i="14655"/>
  <c r="E60" i="14629"/>
  <c r="E55" i="14629"/>
  <c r="J14" i="14625"/>
  <c r="D60" i="14629"/>
  <c r="D55" i="14629"/>
  <c r="G14" i="14625"/>
  <c r="W27" i="14655"/>
  <c r="V28" i="14655"/>
  <c r="F9" i="14628"/>
  <c r="O6" i="14628"/>
  <c r="O9" i="14628" s="1"/>
  <c r="O15" i="14628" s="1"/>
  <c r="M10" i="8" s="1"/>
  <c r="I60" i="14629"/>
  <c r="I55" i="14629"/>
  <c r="N54" i="14629"/>
  <c r="B60" i="14629"/>
  <c r="H13" i="14628"/>
  <c r="G17" i="8" s="1"/>
  <c r="G18" i="8" s="1"/>
  <c r="G20" i="8" s="1"/>
  <c r="G23" i="8" s="1"/>
  <c r="I13" i="14628"/>
  <c r="H17" i="8" s="1"/>
  <c r="H18" i="8" s="1"/>
  <c r="H20" i="8" s="1"/>
  <c r="H23" i="8" s="1"/>
  <c r="G60" i="14629"/>
  <c r="G55" i="14629"/>
  <c r="C15" i="14657"/>
  <c r="D8" i="14643"/>
  <c r="D10" i="14643" s="1"/>
  <c r="N58" i="14624"/>
  <c r="M14" i="14625"/>
  <c r="H60" i="14629"/>
  <c r="H55" i="14629"/>
  <c r="K14" i="14625"/>
  <c r="H14" i="14625"/>
  <c r="I14" i="14625"/>
  <c r="F14" i="14625"/>
  <c r="C60" i="14629"/>
  <c r="C55" i="14629"/>
  <c r="K60" i="14629"/>
  <c r="K55" i="14629"/>
  <c r="F60" i="14629"/>
  <c r="F55" i="14629"/>
  <c r="N14" i="14625"/>
  <c r="F22" i="14628"/>
  <c r="D20" i="8" l="1"/>
  <c r="D23" i="8" s="1"/>
  <c r="I17" i="8"/>
  <c r="I18" i="8" s="1"/>
  <c r="I20" i="8" s="1"/>
  <c r="I23" i="8" s="1"/>
  <c r="K17" i="8"/>
  <c r="K18" i="8" s="1"/>
  <c r="K20" i="8" s="1"/>
  <c r="K23" i="8" s="1"/>
  <c r="L17" i="8"/>
  <c r="L18" i="8" s="1"/>
  <c r="L20" i="8" s="1"/>
  <c r="L23" i="8" s="1"/>
  <c r="M17" i="8"/>
  <c r="M18" i="8" s="1"/>
  <c r="C45" i="14682"/>
  <c r="C125" i="14707" s="1"/>
  <c r="C128" i="14707" s="1"/>
  <c r="C130" i="14707" s="1"/>
  <c r="B33" i="14636" a="1"/>
  <c r="F54" i="14636" s="1"/>
  <c r="C6" i="14634" a="1"/>
  <c r="N60" i="14629"/>
  <c r="C50" i="14682"/>
  <c r="N55" i="14629"/>
  <c r="B58" i="14629" a="1"/>
  <c r="X27" i="14655"/>
  <c r="W28" i="14655"/>
  <c r="O27" i="14624"/>
  <c r="O33" i="14624" a="1"/>
  <c r="D23" i="14643"/>
  <c r="F12" i="14628"/>
  <c r="F24" i="14628"/>
  <c r="F22" i="14625" s="1"/>
  <c r="N10" i="8"/>
  <c r="B10" i="14617" s="1"/>
  <c r="M11" i="8"/>
  <c r="O14" i="14625"/>
  <c r="C14" i="14684" s="1"/>
  <c r="O55" i="14624"/>
  <c r="C51" i="14682" l="1"/>
  <c r="C53" i="14682" s="1"/>
  <c r="H54" i="14636"/>
  <c r="E54" i="14636"/>
  <c r="C54" i="14636"/>
  <c r="I54" i="14636"/>
  <c r="M54" i="14636"/>
  <c r="M50" i="14636"/>
  <c r="F52" i="14636"/>
  <c r="J50" i="14636"/>
  <c r="L52" i="14636"/>
  <c r="H52" i="14636"/>
  <c r="G52" i="14636"/>
  <c r="M52" i="14636"/>
  <c r="E50" i="14636"/>
  <c r="K50" i="14636"/>
  <c r="B50" i="14636"/>
  <c r="J52" i="14636"/>
  <c r="D50" i="14636"/>
  <c r="I52" i="14636"/>
  <c r="C52" i="14636"/>
  <c r="I50" i="14636"/>
  <c r="B52" i="14636"/>
  <c r="G50" i="14636"/>
  <c r="F50" i="14636"/>
  <c r="D52" i="14636"/>
  <c r="C50" i="14636"/>
  <c r="H50" i="14636"/>
  <c r="K52" i="14636"/>
  <c r="L50" i="14636"/>
  <c r="E52" i="14636"/>
  <c r="I47" i="14636"/>
  <c r="C35" i="14636"/>
  <c r="H48" i="14636"/>
  <c r="G41" i="14636"/>
  <c r="D45" i="14636"/>
  <c r="K49" i="14636"/>
  <c r="E44" i="14636"/>
  <c r="F41" i="14636"/>
  <c r="L45" i="14636"/>
  <c r="M47" i="14636"/>
  <c r="L48" i="14636"/>
  <c r="J35" i="14636"/>
  <c r="B35" i="14636"/>
  <c r="K48" i="14636"/>
  <c r="K47" i="14636"/>
  <c r="I45" i="14636"/>
  <c r="L47" i="14636"/>
  <c r="G44" i="14636"/>
  <c r="K45" i="14636"/>
  <c r="C44" i="14636"/>
  <c r="I35" i="14636"/>
  <c r="E48" i="14636"/>
  <c r="E41" i="14636"/>
  <c r="B41" i="14636"/>
  <c r="L35" i="14636"/>
  <c r="G48" i="14636"/>
  <c r="H41" i="14636"/>
  <c r="M45" i="14636"/>
  <c r="I44" i="14636"/>
  <c r="F45" i="14636"/>
  <c r="B49" i="14636"/>
  <c r="L51" i="14636"/>
  <c r="D44" i="14636"/>
  <c r="D41" i="14636"/>
  <c r="C47" i="14636"/>
  <c r="J47" i="14636"/>
  <c r="L44" i="14636"/>
  <c r="M48" i="14636"/>
  <c r="B48" i="14636"/>
  <c r="K41" i="14636"/>
  <c r="M35" i="14636"/>
  <c r="F48" i="14636"/>
  <c r="L41" i="14636"/>
  <c r="E45" i="14636"/>
  <c r="J44" i="14636"/>
  <c r="J41" i="14636"/>
  <c r="H45" i="14636"/>
  <c r="B45" i="14636"/>
  <c r="B47" i="14636"/>
  <c r="B44" i="14636"/>
  <c r="I41" i="14636"/>
  <c r="G45" i="14636"/>
  <c r="H47" i="14636"/>
  <c r="L49" i="14636"/>
  <c r="F44" i="14636"/>
  <c r="M44" i="14636"/>
  <c r="H35" i="14636"/>
  <c r="D47" i="14636"/>
  <c r="J45" i="14636"/>
  <c r="K51" i="14636"/>
  <c r="H44" i="14636"/>
  <c r="F47" i="14636"/>
  <c r="K44" i="14636"/>
  <c r="K35" i="14636"/>
  <c r="G51" i="14636"/>
  <c r="G47" i="14636"/>
  <c r="G35" i="14636"/>
  <c r="D35" i="14636"/>
  <c r="C48" i="14636"/>
  <c r="E35" i="14636"/>
  <c r="J48" i="14636"/>
  <c r="F35" i="14636"/>
  <c r="D48" i="14636"/>
  <c r="C41" i="14636"/>
  <c r="C45" i="14636"/>
  <c r="E47" i="14636"/>
  <c r="I48" i="14636"/>
  <c r="M41" i="14636"/>
  <c r="I40" i="14636"/>
  <c r="J34" i="14636"/>
  <c r="E39" i="14636"/>
  <c r="C39" i="14636"/>
  <c r="I37" i="14636"/>
  <c r="E43" i="14636"/>
  <c r="G36" i="14636"/>
  <c r="C43" i="14636"/>
  <c r="H36" i="14636"/>
  <c r="C51" i="14636"/>
  <c r="L37" i="14636"/>
  <c r="H43" i="14636"/>
  <c r="J36" i="14636"/>
  <c r="H39" i="14636"/>
  <c r="H40" i="14636"/>
  <c r="I34" i="14636"/>
  <c r="H46" i="14636"/>
  <c r="F53" i="14636"/>
  <c r="F37" i="14636"/>
  <c r="E51" i="14636"/>
  <c r="L43" i="14636"/>
  <c r="K36" i="14636"/>
  <c r="F39" i="14636"/>
  <c r="K43" i="14636"/>
  <c r="G53" i="14636"/>
  <c r="B36" i="14636"/>
  <c r="I39" i="14636"/>
  <c r="J51" i="14636"/>
  <c r="I36" i="14636"/>
  <c r="H34" i="14636"/>
  <c r="M49" i="14636"/>
  <c r="M39" i="14636"/>
  <c r="I49" i="14636"/>
  <c r="F51" i="14636"/>
  <c r="G40" i="14636"/>
  <c r="E34" i="14636"/>
  <c r="D37" i="14636"/>
  <c r="L40" i="14636"/>
  <c r="G34" i="14636"/>
  <c r="K53" i="14636"/>
  <c r="H53" i="14636"/>
  <c r="K37" i="14636"/>
  <c r="C40" i="14636"/>
  <c r="K34" i="14636"/>
  <c r="I51" i="14636"/>
  <c r="D43" i="14636"/>
  <c r="F49" i="14636"/>
  <c r="J40" i="14636"/>
  <c r="M34" i="14636"/>
  <c r="G39" i="14636"/>
  <c r="B37" i="14636"/>
  <c r="L53" i="14636"/>
  <c r="G43" i="14636"/>
  <c r="L36" i="14636"/>
  <c r="B39" i="14636"/>
  <c r="D39" i="14636"/>
  <c r="M43" i="14636"/>
  <c r="F36" i="14636"/>
  <c r="J39" i="14636"/>
  <c r="B40" i="14636"/>
  <c r="L34" i="14636"/>
  <c r="M37" i="14636"/>
  <c r="C53" i="14636"/>
  <c r="M51" i="14636"/>
  <c r="C36" i="14636"/>
  <c r="H51" i="14636"/>
  <c r="J37" i="14636"/>
  <c r="B43" i="14636"/>
  <c r="D40" i="14636"/>
  <c r="D34" i="14636"/>
  <c r="M40" i="14636"/>
  <c r="C49" i="14636"/>
  <c r="C34" i="14636"/>
  <c r="B53" i="14636"/>
  <c r="G37" i="14636"/>
  <c r="G49" i="14636"/>
  <c r="J43" i="14636"/>
  <c r="D36" i="14636"/>
  <c r="I53" i="14636"/>
  <c r="K40" i="14636"/>
  <c r="L39" i="14636"/>
  <c r="F34" i="14636"/>
  <c r="C37" i="14636"/>
  <c r="J49" i="14636"/>
  <c r="I43" i="14636"/>
  <c r="D49" i="14636"/>
  <c r="E36" i="14636"/>
  <c r="K39" i="14636"/>
  <c r="E40" i="14636"/>
  <c r="B51" i="14636"/>
  <c r="F40" i="14636"/>
  <c r="D51" i="14636"/>
  <c r="B34" i="14636"/>
  <c r="E37" i="14636"/>
  <c r="E49" i="14636"/>
  <c r="F43" i="14636"/>
  <c r="M36" i="14636"/>
  <c r="F42" i="14636"/>
  <c r="F33" i="14636"/>
  <c r="B33" i="14636"/>
  <c r="C42" i="14636"/>
  <c r="H42" i="14636"/>
  <c r="K42" i="14636"/>
  <c r="B42" i="14636"/>
  <c r="E53" i="14636"/>
  <c r="C38" i="14636"/>
  <c r="H33" i="14636"/>
  <c r="M42" i="14636"/>
  <c r="E33" i="14636"/>
  <c r="L33" i="14636"/>
  <c r="D53" i="14636"/>
  <c r="D33" i="14636"/>
  <c r="I38" i="14636"/>
  <c r="J46" i="14636"/>
  <c r="B38" i="14636"/>
  <c r="J42" i="14636"/>
  <c r="G38" i="14636"/>
  <c r="J53" i="14636"/>
  <c r="D46" i="14636"/>
  <c r="C33" i="14636"/>
  <c r="H37" i="14636"/>
  <c r="G33" i="14636"/>
  <c r="E42" i="14636"/>
  <c r="J33" i="14636"/>
  <c r="F38" i="14636"/>
  <c r="J38" i="14636"/>
  <c r="F46" i="14636"/>
  <c r="M53" i="14636"/>
  <c r="K38" i="14636"/>
  <c r="K33" i="14636"/>
  <c r="M46" i="14636"/>
  <c r="L42" i="14636"/>
  <c r="B46" i="14636"/>
  <c r="N46" i="14636" s="1"/>
  <c r="I33" i="14636"/>
  <c r="M38" i="14636"/>
  <c r="E38" i="14636"/>
  <c r="H38" i="14636"/>
  <c r="D38" i="14636"/>
  <c r="C46" i="14636"/>
  <c r="G42" i="14636"/>
  <c r="I46" i="14636"/>
  <c r="D42" i="14636"/>
  <c r="M33" i="14636"/>
  <c r="L46" i="14636"/>
  <c r="L38" i="14636"/>
  <c r="K46" i="14636"/>
  <c r="I42" i="14636"/>
  <c r="E46" i="14636"/>
  <c r="G46" i="14636"/>
  <c r="D54" i="14636"/>
  <c r="K54" i="14636"/>
  <c r="J54" i="14636"/>
  <c r="B54" i="14636"/>
  <c r="G54" i="14636"/>
  <c r="L54" i="14636"/>
  <c r="H49" i="14636"/>
  <c r="D15" i="14657"/>
  <c r="E8" i="14643"/>
  <c r="E10" i="14643" s="1"/>
  <c r="E23" i="14643" s="1"/>
  <c r="N58" i="14629"/>
  <c r="O55" i="14629" s="1"/>
  <c r="D17" i="14643"/>
  <c r="B44" i="14707"/>
  <c r="D31" i="14643"/>
  <c r="D24" i="14643" a="1"/>
  <c r="D24" i="14643" s="1"/>
  <c r="B45" i="14707" s="1"/>
  <c r="F20" i="14628"/>
  <c r="O12" i="14628"/>
  <c r="X28" i="14655"/>
  <c r="C10" i="14617"/>
  <c r="B11" i="14617"/>
  <c r="D58" i="14629"/>
  <c r="H58" i="14629"/>
  <c r="M58" i="14629"/>
  <c r="K58" i="14629"/>
  <c r="C58" i="14629"/>
  <c r="E58" i="14629"/>
  <c r="G58" i="14629"/>
  <c r="J58" i="14629"/>
  <c r="B58" i="14629"/>
  <c r="L58" i="14629"/>
  <c r="I58" i="14629"/>
  <c r="F58" i="14629"/>
  <c r="O43" i="14624"/>
  <c r="O46" i="14624"/>
  <c r="O49" i="14624"/>
  <c r="O52" i="14624"/>
  <c r="O51" i="14624"/>
  <c r="O42" i="14624"/>
  <c r="O47" i="14624"/>
  <c r="O33" i="14624"/>
  <c r="O44" i="14624"/>
  <c r="O38" i="14624"/>
  <c r="O37" i="14624"/>
  <c r="O35" i="14624"/>
  <c r="O40" i="14624"/>
  <c r="O36" i="14624"/>
  <c r="O50" i="14624"/>
  <c r="O45" i="14624"/>
  <c r="O34" i="14624"/>
  <c r="O41" i="14624"/>
  <c r="O48" i="14624"/>
  <c r="O39" i="14624"/>
  <c r="O54" i="14624"/>
  <c r="O53" i="14624"/>
  <c r="C13" i="14684"/>
  <c r="M13" i="8"/>
  <c r="N11" i="8"/>
  <c r="F13" i="14628"/>
  <c r="F17" i="8" s="1"/>
  <c r="F18" i="8" s="1"/>
  <c r="F20" i="8" s="1"/>
  <c r="F23" i="8" s="1"/>
  <c r="N6" i="14634"/>
  <c r="N9" i="14634" s="1"/>
  <c r="K6" i="14634"/>
  <c r="K9" i="14634" s="1"/>
  <c r="C6" i="14634"/>
  <c r="E6" i="14634"/>
  <c r="E9" i="14634" s="1"/>
  <c r="G6" i="14634"/>
  <c r="G9" i="14634" s="1"/>
  <c r="F6" i="14634"/>
  <c r="F9" i="14634" s="1"/>
  <c r="I6" i="14634"/>
  <c r="I9" i="14634" s="1"/>
  <c r="J6" i="14634"/>
  <c r="J9" i="14634" s="1"/>
  <c r="M6" i="14634"/>
  <c r="M9" i="14634" s="1"/>
  <c r="L6" i="14634"/>
  <c r="L9" i="14634" s="1"/>
  <c r="H6" i="14634"/>
  <c r="H9" i="14634" s="1"/>
  <c r="D6" i="14634"/>
  <c r="D9" i="14634" s="1"/>
  <c r="C60" i="14636" l="1"/>
  <c r="M60" i="14636"/>
  <c r="J60" i="14636"/>
  <c r="N54" i="14636"/>
  <c r="H55" i="14636"/>
  <c r="E55" i="14636"/>
  <c r="C55" i="14636"/>
  <c r="L55" i="14636"/>
  <c r="D60" i="14636"/>
  <c r="G55" i="14636"/>
  <c r="N49" i="14636"/>
  <c r="D45" i="14682" s="1"/>
  <c r="D125" i="14707" s="1"/>
  <c r="K60" i="14636"/>
  <c r="L60" i="14636"/>
  <c r="D55" i="14636"/>
  <c r="G60" i="14636"/>
  <c r="J55" i="14636"/>
  <c r="I60" i="14636"/>
  <c r="B60" i="14636"/>
  <c r="N40" i="14636"/>
  <c r="D36" i="14682" s="1"/>
  <c r="D116" i="14707" s="1"/>
  <c r="H60" i="14636"/>
  <c r="B55" i="14636"/>
  <c r="N52" i="14636"/>
  <c r="D48" i="14682" s="1"/>
  <c r="K55" i="14636"/>
  <c r="N34" i="14636"/>
  <c r="D30" i="14682" s="1"/>
  <c r="D110" i="14707" s="1"/>
  <c r="N48" i="14636"/>
  <c r="D44" i="14682" s="1"/>
  <c r="D124" i="14707" s="1"/>
  <c r="N42" i="14636"/>
  <c r="N43" i="14636"/>
  <c r="D39" i="14682" s="1"/>
  <c r="D119" i="14707" s="1"/>
  <c r="N44" i="14636"/>
  <c r="D40" i="14682" s="1"/>
  <c r="D120" i="14707" s="1"/>
  <c r="N38" i="14636"/>
  <c r="N39" i="14636"/>
  <c r="D35" i="14682" s="1"/>
  <c r="D115" i="14707" s="1"/>
  <c r="F60" i="14636"/>
  <c r="N47" i="14636"/>
  <c r="N35" i="14636"/>
  <c r="D31" i="14682" s="1"/>
  <c r="D111" i="14707" s="1"/>
  <c r="D42" i="14682"/>
  <c r="D122" i="14707" s="1"/>
  <c r="N51" i="14636"/>
  <c r="N45" i="14636"/>
  <c r="D41" i="14682" s="1"/>
  <c r="D121" i="14707" s="1"/>
  <c r="N41" i="14636"/>
  <c r="D37" i="14682" s="1"/>
  <c r="D117" i="14707" s="1"/>
  <c r="M55" i="14636"/>
  <c r="I55" i="14636"/>
  <c r="N33" i="14636"/>
  <c r="N50" i="14636"/>
  <c r="D46" i="14682" s="1"/>
  <c r="D126" i="14707" s="1"/>
  <c r="N53" i="14636"/>
  <c r="D49" i="14682" s="1"/>
  <c r="F55" i="14636"/>
  <c r="N37" i="14636"/>
  <c r="D33" i="14682" s="1"/>
  <c r="D113" i="14707" s="1"/>
  <c r="E60" i="14636"/>
  <c r="N36" i="14636"/>
  <c r="D32" i="14682" s="1"/>
  <c r="D112" i="14707" s="1"/>
  <c r="C44" i="14707"/>
  <c r="E31" i="14643"/>
  <c r="E24" i="14643"/>
  <c r="C45" i="14707" s="1"/>
  <c r="I14" i="14633"/>
  <c r="E14" i="14633"/>
  <c r="O27" i="14629"/>
  <c r="O33" i="14629" a="1"/>
  <c r="J14" i="14633"/>
  <c r="M14" i="14633"/>
  <c r="C11" i="14617"/>
  <c r="B23" i="14710"/>
  <c r="D74" i="14649"/>
  <c r="C34" i="4128"/>
  <c r="B51" i="14649" s="1"/>
  <c r="B82" i="14707" s="1"/>
  <c r="C9" i="14634"/>
  <c r="O6" i="14634"/>
  <c r="O9" i="14634" s="1"/>
  <c r="O15" i="14634" s="1"/>
  <c r="M10" i="14631" s="1"/>
  <c r="C14" i="14633"/>
  <c r="O13" i="14628"/>
  <c r="B17" i="14617" s="1"/>
  <c r="E17" i="8"/>
  <c r="H14" i="14633"/>
  <c r="M20" i="8"/>
  <c r="M23" i="8" s="1"/>
  <c r="N13" i="8"/>
  <c r="B13" i="14617" s="1"/>
  <c r="F14" i="14633"/>
  <c r="G14" i="14633"/>
  <c r="K14" i="14633"/>
  <c r="D14" i="14633"/>
  <c r="L14" i="14633"/>
  <c r="F21" i="14628"/>
  <c r="O20" i="14628"/>
  <c r="N14" i="14633"/>
  <c r="E17" i="14643"/>
  <c r="D50" i="14682" l="1"/>
  <c r="C6" i="14639" a="1"/>
  <c r="N60" i="14636"/>
  <c r="N55" i="14636"/>
  <c r="D38" i="14682"/>
  <c r="D118" i="14707" s="1"/>
  <c r="D47" i="14682"/>
  <c r="D127" i="14707" s="1"/>
  <c r="D43" i="14682"/>
  <c r="D123" i="14707" s="1"/>
  <c r="D29" i="14682"/>
  <c r="D109" i="14707" s="1"/>
  <c r="B33" i="14672" a="1"/>
  <c r="D34" i="14682"/>
  <c r="D114" i="14707" s="1"/>
  <c r="C13" i="14617"/>
  <c r="D44" i="14712"/>
  <c r="J44" i="14712" s="1"/>
  <c r="F15" i="14708"/>
  <c r="O21" i="14628"/>
  <c r="I22" i="14628"/>
  <c r="D75" i="14649"/>
  <c r="D34" i="4128"/>
  <c r="C51" i="14649" s="1"/>
  <c r="C82" i="14707" s="1"/>
  <c r="M11" i="14631"/>
  <c r="N10" i="14631"/>
  <c r="D10" i="14617" s="1"/>
  <c r="O14" i="14633"/>
  <c r="D14" i="14684" s="1"/>
  <c r="E18" i="8"/>
  <c r="N17" i="8"/>
  <c r="C12" i="14634" a="1"/>
  <c r="B18" i="14617"/>
  <c r="C17" i="14617"/>
  <c r="O46" i="14629"/>
  <c r="O52" i="14629"/>
  <c r="O45" i="14629"/>
  <c r="O34" i="14629"/>
  <c r="O53" i="14629"/>
  <c r="O35" i="14629"/>
  <c r="O39" i="14629"/>
  <c r="O43" i="14629"/>
  <c r="O37" i="14629"/>
  <c r="O47" i="14629"/>
  <c r="O51" i="14629"/>
  <c r="O50" i="14629"/>
  <c r="O42" i="14629"/>
  <c r="O38" i="14629"/>
  <c r="O33" i="14629"/>
  <c r="O48" i="14629"/>
  <c r="O40" i="14629"/>
  <c r="O44" i="14629"/>
  <c r="O54" i="14629"/>
  <c r="O41" i="14629"/>
  <c r="O49" i="14629"/>
  <c r="O36" i="14629"/>
  <c r="E74" i="14649"/>
  <c r="F8" i="14643" l="1"/>
  <c r="E15" i="14657"/>
  <c r="D6" i="14639"/>
  <c r="D9" i="14639" s="1"/>
  <c r="M6" i="14639"/>
  <c r="M9" i="14639" s="1"/>
  <c r="J6" i="14639"/>
  <c r="J9" i="14639" s="1"/>
  <c r="I6" i="14639"/>
  <c r="I9" i="14639" s="1"/>
  <c r="G6" i="14639"/>
  <c r="G9" i="14639" s="1"/>
  <c r="F6" i="14639"/>
  <c r="F9" i="14639" s="1"/>
  <c r="K6" i="14639"/>
  <c r="K9" i="14639" s="1"/>
  <c r="H6" i="14639"/>
  <c r="H9" i="14639" s="1"/>
  <c r="L6" i="14639"/>
  <c r="L9" i="14639" s="1"/>
  <c r="C6" i="14639"/>
  <c r="E6" i="14639"/>
  <c r="E9" i="14639" s="1"/>
  <c r="N6" i="14639"/>
  <c r="N9" i="14639" s="1"/>
  <c r="E75" i="14649"/>
  <c r="G52" i="14672"/>
  <c r="B50" i="14672"/>
  <c r="H52" i="14672"/>
  <c r="C50" i="14672"/>
  <c r="E50" i="14672"/>
  <c r="I52" i="14672"/>
  <c r="D50" i="14672"/>
  <c r="J52" i="14672"/>
  <c r="K52" i="14672"/>
  <c r="F50" i="14672"/>
  <c r="L52" i="14672"/>
  <c r="G50" i="14672"/>
  <c r="M52" i="14672"/>
  <c r="I50" i="14672"/>
  <c r="B52" i="14672"/>
  <c r="J50" i="14672"/>
  <c r="K50" i="14672"/>
  <c r="C52" i="14672"/>
  <c r="H50" i="14672"/>
  <c r="D52" i="14672"/>
  <c r="L50" i="14672"/>
  <c r="E52" i="14672"/>
  <c r="M50" i="14672"/>
  <c r="F52" i="14672"/>
  <c r="B41" i="14672"/>
  <c r="D48" i="14672"/>
  <c r="K35" i="14672"/>
  <c r="J45" i="14672"/>
  <c r="B44" i="14672"/>
  <c r="L44" i="14672"/>
  <c r="C44" i="14672"/>
  <c r="F47" i="14672"/>
  <c r="M48" i="14672"/>
  <c r="G35" i="14672"/>
  <c r="M47" i="14672"/>
  <c r="C45" i="14672"/>
  <c r="E41" i="14672"/>
  <c r="F48" i="14672"/>
  <c r="E35" i="14672"/>
  <c r="K45" i="14672"/>
  <c r="J44" i="14672"/>
  <c r="D45" i="14672"/>
  <c r="K44" i="14672"/>
  <c r="E45" i="14672"/>
  <c r="G44" i="14672"/>
  <c r="D41" i="14672"/>
  <c r="E48" i="14672"/>
  <c r="C35" i="14672"/>
  <c r="G41" i="14672"/>
  <c r="I48" i="14672"/>
  <c r="L35" i="14672"/>
  <c r="L45" i="14672"/>
  <c r="K41" i="14672"/>
  <c r="H48" i="14672"/>
  <c r="D35" i="14672"/>
  <c r="L47" i="14672"/>
  <c r="F41" i="14672"/>
  <c r="H35" i="14672"/>
  <c r="M45" i="14672"/>
  <c r="M44" i="14672"/>
  <c r="L48" i="14672"/>
  <c r="I35" i="14672"/>
  <c r="B45" i="14672"/>
  <c r="E44" i="14672"/>
  <c r="H41" i="14672"/>
  <c r="B48" i="14672"/>
  <c r="C48" i="14672"/>
  <c r="M35" i="14672"/>
  <c r="G45" i="14672"/>
  <c r="F44" i="14672"/>
  <c r="D47" i="14672"/>
  <c r="J41" i="14672"/>
  <c r="C41" i="14672"/>
  <c r="J48" i="14672"/>
  <c r="J35" i="14672"/>
  <c r="H45" i="14672"/>
  <c r="D44" i="14672"/>
  <c r="I41" i="14672"/>
  <c r="K48" i="14672"/>
  <c r="B35" i="14672"/>
  <c r="F45" i="14672"/>
  <c r="H44" i="14672"/>
  <c r="L41" i="14672"/>
  <c r="M41" i="14672"/>
  <c r="G48" i="14672"/>
  <c r="F35" i="14672"/>
  <c r="I45" i="14672"/>
  <c r="I44" i="14672"/>
  <c r="F51" i="14672"/>
  <c r="I37" i="14672"/>
  <c r="K36" i="14672"/>
  <c r="H40" i="14672"/>
  <c r="H43" i="14672"/>
  <c r="E47" i="14672"/>
  <c r="M36" i="14672"/>
  <c r="F36" i="14672"/>
  <c r="C51" i="14672"/>
  <c r="D34" i="14672"/>
  <c r="J51" i="14672"/>
  <c r="K37" i="14672"/>
  <c r="E40" i="14672"/>
  <c r="K43" i="14672"/>
  <c r="B34" i="14672"/>
  <c r="C47" i="14672"/>
  <c r="G37" i="14672"/>
  <c r="D36" i="14672"/>
  <c r="C43" i="14672"/>
  <c r="M34" i="14672"/>
  <c r="M51" i="14672"/>
  <c r="C37" i="14672"/>
  <c r="B36" i="14672"/>
  <c r="L40" i="14672"/>
  <c r="F43" i="14672"/>
  <c r="L34" i="14672"/>
  <c r="D37" i="14672"/>
  <c r="M43" i="14672"/>
  <c r="G34" i="14672"/>
  <c r="D40" i="14672"/>
  <c r="G36" i="14672"/>
  <c r="M37" i="14672"/>
  <c r="E34" i="14672"/>
  <c r="G47" i="14672"/>
  <c r="B39" i="14672"/>
  <c r="J37" i="14672"/>
  <c r="H36" i="14672"/>
  <c r="J43" i="14672"/>
  <c r="C34" i="14672"/>
  <c r="E43" i="14672"/>
  <c r="J34" i="14672"/>
  <c r="H47" i="14672"/>
  <c r="J47" i="14672"/>
  <c r="E37" i="14672"/>
  <c r="L43" i="14672"/>
  <c r="F34" i="14672"/>
  <c r="H51" i="14672"/>
  <c r="I47" i="14672"/>
  <c r="E51" i="14672"/>
  <c r="J36" i="14672"/>
  <c r="D43" i="14672"/>
  <c r="E36" i="14672"/>
  <c r="F37" i="14672"/>
  <c r="B37" i="14672"/>
  <c r="C36" i="14672"/>
  <c r="G43" i="14672"/>
  <c r="H34" i="14672"/>
  <c r="L36" i="14672"/>
  <c r="I43" i="14672"/>
  <c r="K47" i="14672"/>
  <c r="B51" i="14672"/>
  <c r="H37" i="14672"/>
  <c r="I36" i="14672"/>
  <c r="L37" i="14672"/>
  <c r="B43" i="14672"/>
  <c r="I49" i="14672"/>
  <c r="J53" i="14672"/>
  <c r="L39" i="14672"/>
  <c r="F33" i="14672"/>
  <c r="G53" i="14672"/>
  <c r="E39" i="14672"/>
  <c r="M53" i="14672"/>
  <c r="J33" i="14672"/>
  <c r="H49" i="14672"/>
  <c r="B42" i="14672"/>
  <c r="K53" i="14672"/>
  <c r="H53" i="14672"/>
  <c r="E53" i="14672"/>
  <c r="F49" i="14672"/>
  <c r="D49" i="14672"/>
  <c r="D33" i="14672"/>
  <c r="B49" i="14672"/>
  <c r="J40" i="14672"/>
  <c r="K40" i="14672"/>
  <c r="I53" i="14672"/>
  <c r="C40" i="14672"/>
  <c r="K34" i="14672"/>
  <c r="G49" i="14672"/>
  <c r="H33" i="14672"/>
  <c r="L49" i="14672"/>
  <c r="J49" i="14672"/>
  <c r="B40" i="14672"/>
  <c r="N40" i="14672" s="1"/>
  <c r="E36" i="14682" s="1"/>
  <c r="E116" i="14707" s="1"/>
  <c r="M40" i="14672"/>
  <c r="C49" i="14672"/>
  <c r="B53" i="14672"/>
  <c r="G51" i="14672"/>
  <c r="K49" i="14672"/>
  <c r="C53" i="14672"/>
  <c r="I34" i="14672"/>
  <c r="I40" i="14672"/>
  <c r="G39" i="14672"/>
  <c r="E33" i="14672"/>
  <c r="L53" i="14672"/>
  <c r="G40" i="14672"/>
  <c r="J39" i="14672"/>
  <c r="B33" i="14672"/>
  <c r="I39" i="14672"/>
  <c r="D53" i="14672"/>
  <c r="F53" i="14672"/>
  <c r="C39" i="14672"/>
  <c r="G33" i="14672"/>
  <c r="D39" i="14672"/>
  <c r="L33" i="14672"/>
  <c r="E49" i="14672"/>
  <c r="M39" i="14672"/>
  <c r="L51" i="14672"/>
  <c r="K39" i="14672"/>
  <c r="K51" i="14672"/>
  <c r="F40" i="14672"/>
  <c r="F39" i="14672"/>
  <c r="I51" i="14672"/>
  <c r="H39" i="14672"/>
  <c r="L42" i="14672"/>
  <c r="F46" i="14672"/>
  <c r="M46" i="14672"/>
  <c r="M38" i="14672"/>
  <c r="L46" i="14672"/>
  <c r="G46" i="14672"/>
  <c r="D38" i="14672"/>
  <c r="C33" i="14672"/>
  <c r="I38" i="14672"/>
  <c r="L38" i="14672"/>
  <c r="K38" i="14672"/>
  <c r="C42" i="14672"/>
  <c r="E38" i="14672"/>
  <c r="F38" i="14672"/>
  <c r="B38" i="14672"/>
  <c r="E46" i="14672"/>
  <c r="M42" i="14672"/>
  <c r="F42" i="14672"/>
  <c r="G38" i="14672"/>
  <c r="J38" i="14672"/>
  <c r="I42" i="14672"/>
  <c r="H46" i="14672"/>
  <c r="G42" i="14672"/>
  <c r="I33" i="14672"/>
  <c r="C46" i="14672"/>
  <c r="D42" i="14672"/>
  <c r="D46" i="14672"/>
  <c r="C38" i="14672"/>
  <c r="K33" i="14672"/>
  <c r="E42" i="14672"/>
  <c r="I46" i="14672"/>
  <c r="J42" i="14672"/>
  <c r="J46" i="14672"/>
  <c r="B46" i="14672"/>
  <c r="K42" i="14672"/>
  <c r="J54" i="14672"/>
  <c r="L54" i="14672"/>
  <c r="C54" i="14672"/>
  <c r="H54" i="14672"/>
  <c r="G54" i="14672"/>
  <c r="K54" i="14672"/>
  <c r="D54" i="14672"/>
  <c r="B54" i="14672"/>
  <c r="M54" i="14672"/>
  <c r="K46" i="14672"/>
  <c r="M49" i="14672"/>
  <c r="F54" i="14672"/>
  <c r="E54" i="14672"/>
  <c r="I54" i="14672"/>
  <c r="D128" i="14707"/>
  <c r="M33" i="14672"/>
  <c r="B47" i="14672"/>
  <c r="N47" i="14672" s="1"/>
  <c r="E43" i="14682" s="1"/>
  <c r="E123" i="14707" s="1"/>
  <c r="H38" i="14672"/>
  <c r="D51" i="14672"/>
  <c r="D51" i="14682"/>
  <c r="H42" i="14672"/>
  <c r="E10" i="14617"/>
  <c r="D11" i="14617"/>
  <c r="E20" i="8"/>
  <c r="N18" i="8"/>
  <c r="C33" i="4128"/>
  <c r="C18" i="14617"/>
  <c r="B40" i="14649"/>
  <c r="B71" i="14707" s="1"/>
  <c r="B24" i="14710"/>
  <c r="B25" i="14710" s="1"/>
  <c r="B26" i="14710" s="1"/>
  <c r="B28" i="14710" s="1"/>
  <c r="D13" i="14684"/>
  <c r="E12" i="14634"/>
  <c r="D12" i="14634"/>
  <c r="N12" i="14634"/>
  <c r="G12" i="14634"/>
  <c r="I12" i="14634"/>
  <c r="H12" i="14634"/>
  <c r="L12" i="14634"/>
  <c r="F12" i="14634"/>
  <c r="K12" i="14634"/>
  <c r="J12" i="14634"/>
  <c r="M12" i="14634"/>
  <c r="C12" i="14634"/>
  <c r="L22" i="14628"/>
  <c r="I24" i="14628"/>
  <c r="I22" i="14625" s="1"/>
  <c r="B20" i="14617"/>
  <c r="N11" i="14631"/>
  <c r="M13" i="14631"/>
  <c r="N13" i="14631" s="1"/>
  <c r="C9" i="14639" l="1"/>
  <c r="C12" i="14639" s="1" a="1"/>
  <c r="O6" i="14639"/>
  <c r="O9" i="14639" s="1"/>
  <c r="O15" i="14639" s="1"/>
  <c r="M10" i="14640" s="1"/>
  <c r="E60" i="14672"/>
  <c r="M60" i="14672"/>
  <c r="K55" i="14672"/>
  <c r="E55" i="14672"/>
  <c r="N37" i="14672"/>
  <c r="E33" i="14682" s="1"/>
  <c r="E113" i="14707" s="1"/>
  <c r="B60" i="14672"/>
  <c r="M55" i="14672"/>
  <c r="N38" i="14672"/>
  <c r="E34" i="14682" s="1"/>
  <c r="E114" i="14707" s="1"/>
  <c r="L55" i="14672"/>
  <c r="H55" i="14672"/>
  <c r="N43" i="14672"/>
  <c r="E39" i="14682" s="1"/>
  <c r="E119" i="14707" s="1"/>
  <c r="F60" i="14672"/>
  <c r="G60" i="14672"/>
  <c r="N42" i="14672"/>
  <c r="E38" i="14682" s="1"/>
  <c r="E118" i="14707" s="1"/>
  <c r="L60" i="14672"/>
  <c r="N35" i="14672"/>
  <c r="E31" i="14682" s="1"/>
  <c r="E111" i="14707" s="1"/>
  <c r="G55" i="14672"/>
  <c r="N34" i="14672"/>
  <c r="E30" i="14682" s="1"/>
  <c r="E110" i="14707" s="1"/>
  <c r="D60" i="14672"/>
  <c r="I55" i="14672"/>
  <c r="H60" i="14672"/>
  <c r="I60" i="14672"/>
  <c r="N48" i="14672"/>
  <c r="E44" i="14682" s="1"/>
  <c r="E124" i="14707" s="1"/>
  <c r="J55" i="14672"/>
  <c r="N51" i="14672"/>
  <c r="E47" i="14682" s="1"/>
  <c r="E127" i="14707" s="1"/>
  <c r="N44" i="14672"/>
  <c r="E40" i="14682" s="1"/>
  <c r="E120" i="14707" s="1"/>
  <c r="N46" i="14672"/>
  <c r="J60" i="14672"/>
  <c r="K60" i="14672"/>
  <c r="N53" i="14672"/>
  <c r="E49" i="14682" s="1"/>
  <c r="N39" i="14672"/>
  <c r="N36" i="14672"/>
  <c r="E32" i="14682" s="1"/>
  <c r="E112" i="14707" s="1"/>
  <c r="N45" i="14672"/>
  <c r="E41" i="14682" s="1"/>
  <c r="E121" i="14707" s="1"/>
  <c r="N52" i="14672"/>
  <c r="E48" i="14682" s="1"/>
  <c r="N33" i="14672"/>
  <c r="C55" i="14672"/>
  <c r="B55" i="14672"/>
  <c r="N49" i="14672"/>
  <c r="C60" i="14672"/>
  <c r="N50" i="14672"/>
  <c r="E46" i="14682" s="1"/>
  <c r="E126" i="14707" s="1"/>
  <c r="N54" i="14672"/>
  <c r="D55" i="14672"/>
  <c r="F55" i="14672"/>
  <c r="N41" i="14672"/>
  <c r="E37" i="14682" s="1"/>
  <c r="E117" i="14707" s="1"/>
  <c r="E23" i="8"/>
  <c r="N20" i="8"/>
  <c r="B42" i="14649"/>
  <c r="B23" i="14617"/>
  <c r="C20" i="14617"/>
  <c r="C23" i="14710"/>
  <c r="E11" i="14617"/>
  <c r="D13" i="14617"/>
  <c r="L24" i="14628"/>
  <c r="L22" i="14625" s="1"/>
  <c r="O22" i="14625" s="1"/>
  <c r="C19" i="14684" s="1"/>
  <c r="O22" i="14628"/>
  <c r="O12" i="14634"/>
  <c r="C20" i="14634" a="1"/>
  <c r="C13" i="14634" a="1"/>
  <c r="N10" i="14640" l="1"/>
  <c r="G10" i="14617" s="1"/>
  <c r="M11" i="14640"/>
  <c r="B33" i="14673" a="1"/>
  <c r="C39" i="14673" s="1"/>
  <c r="E29" i="14682"/>
  <c r="E109" i="14707" s="1"/>
  <c r="N55" i="14672"/>
  <c r="E35" i="14682"/>
  <c r="E115" i="14707" s="1"/>
  <c r="E50" i="14682"/>
  <c r="N60" i="14672"/>
  <c r="C6" i="14674" a="1"/>
  <c r="E45" i="14682"/>
  <c r="E125" i="14707" s="1"/>
  <c r="E42" i="14682"/>
  <c r="E122" i="14707" s="1"/>
  <c r="C20" i="14634"/>
  <c r="N20" i="14634"/>
  <c r="H20" i="14634"/>
  <c r="K20" i="14634"/>
  <c r="M20" i="14634"/>
  <c r="L20" i="14634"/>
  <c r="F20" i="14634"/>
  <c r="G20" i="14634"/>
  <c r="E20" i="14634"/>
  <c r="D20" i="14634"/>
  <c r="J20" i="14634"/>
  <c r="I20" i="14634"/>
  <c r="E13" i="14634"/>
  <c r="M13" i="14634"/>
  <c r="F13" i="14634"/>
  <c r="D13" i="14634"/>
  <c r="H13" i="14634"/>
  <c r="N13" i="14634"/>
  <c r="I13" i="14634"/>
  <c r="L13" i="14634"/>
  <c r="C13" i="14634"/>
  <c r="K13" i="14634"/>
  <c r="G13" i="14634"/>
  <c r="J13" i="14634"/>
  <c r="E13" i="14617"/>
  <c r="H15" i="14708"/>
  <c r="F13" i="14617"/>
  <c r="N23" i="8"/>
  <c r="C23" i="14617"/>
  <c r="C12" i="4128"/>
  <c r="O24" i="14628"/>
  <c r="F7" i="14706"/>
  <c r="F21" i="14667"/>
  <c r="C22" i="14634"/>
  <c r="B38" i="14707"/>
  <c r="C56" i="14649"/>
  <c r="B73" i="14707"/>
  <c r="H12" i="14639"/>
  <c r="C12" i="14639"/>
  <c r="K12" i="14639"/>
  <c r="D12" i="14639"/>
  <c r="G12" i="14639"/>
  <c r="F12" i="14639"/>
  <c r="N12" i="14639"/>
  <c r="I12" i="14639"/>
  <c r="J12" i="14639"/>
  <c r="E12" i="14639"/>
  <c r="M12" i="14639"/>
  <c r="L12" i="14639"/>
  <c r="H10" i="14617" l="1"/>
  <c r="G11" i="14617"/>
  <c r="M13" i="14640"/>
  <c r="N13" i="14640" s="1"/>
  <c r="N11" i="14640"/>
  <c r="E51" i="14682"/>
  <c r="G46" i="14673"/>
  <c r="C49" i="14673"/>
  <c r="N6" i="14674"/>
  <c r="N9" i="14674" s="1"/>
  <c r="L6" i="14674"/>
  <c r="L9" i="14674" s="1"/>
  <c r="G6" i="14674"/>
  <c r="G9" i="14674" s="1"/>
  <c r="D6" i="14674"/>
  <c r="D9" i="14674" s="1"/>
  <c r="C6" i="14674"/>
  <c r="F6" i="14674"/>
  <c r="F9" i="14674" s="1"/>
  <c r="H6" i="14674"/>
  <c r="H9" i="14674" s="1"/>
  <c r="K6" i="14674"/>
  <c r="K9" i="14674" s="1"/>
  <c r="I6" i="14674"/>
  <c r="I9" i="14674" s="1"/>
  <c r="M6" i="14674"/>
  <c r="M9" i="14674" s="1"/>
  <c r="J6" i="14674"/>
  <c r="J9" i="14674" s="1"/>
  <c r="E6" i="14674"/>
  <c r="E9" i="14674" s="1"/>
  <c r="M54" i="14673"/>
  <c r="G8" i="14643"/>
  <c r="F15" i="14657"/>
  <c r="E128" i="14707"/>
  <c r="H50" i="14673"/>
  <c r="C50" i="14673"/>
  <c r="J52" i="14673"/>
  <c r="G50" i="14673"/>
  <c r="F52" i="14673"/>
  <c r="K52" i="14673"/>
  <c r="M50" i="14673"/>
  <c r="I50" i="14673"/>
  <c r="K50" i="14673"/>
  <c r="H52" i="14673"/>
  <c r="L50" i="14673"/>
  <c r="B50" i="14673"/>
  <c r="L52" i="14673"/>
  <c r="F50" i="14673"/>
  <c r="B52" i="14673"/>
  <c r="I52" i="14673"/>
  <c r="C52" i="14673"/>
  <c r="D50" i="14673"/>
  <c r="E50" i="14673"/>
  <c r="D52" i="14673"/>
  <c r="G52" i="14673"/>
  <c r="E52" i="14673"/>
  <c r="J50" i="14673"/>
  <c r="M52" i="14673"/>
  <c r="F48" i="14673"/>
  <c r="L45" i="14673"/>
  <c r="C48" i="14673"/>
  <c r="I45" i="14673"/>
  <c r="K48" i="14673"/>
  <c r="G48" i="14673"/>
  <c r="B48" i="14673"/>
  <c r="I48" i="14673"/>
  <c r="L48" i="14673"/>
  <c r="M48" i="14673"/>
  <c r="I35" i="14673"/>
  <c r="J48" i="14673"/>
  <c r="F45" i="14673"/>
  <c r="E48" i="14673"/>
  <c r="D48" i="14673"/>
  <c r="H48" i="14673"/>
  <c r="G37" i="14673"/>
  <c r="D35" i="14673"/>
  <c r="B43" i="14673"/>
  <c r="C35" i="14673"/>
  <c r="F44" i="14673"/>
  <c r="M45" i="14673"/>
  <c r="E37" i="14673"/>
  <c r="J43" i="14673"/>
  <c r="K44" i="14673"/>
  <c r="M37" i="14673"/>
  <c r="B41" i="14673"/>
  <c r="N41" i="14673" s="1"/>
  <c r="F37" i="14682" s="1"/>
  <c r="F117" i="14707" s="1"/>
  <c r="L35" i="14673"/>
  <c r="D37" i="14673"/>
  <c r="M43" i="14673"/>
  <c r="J45" i="14673"/>
  <c r="K41" i="14673"/>
  <c r="M35" i="14673"/>
  <c r="F43" i="14673"/>
  <c r="B44" i="14673"/>
  <c r="C44" i="14673"/>
  <c r="F37" i="14673"/>
  <c r="L44" i="14673"/>
  <c r="H43" i="14673"/>
  <c r="G41" i="14673"/>
  <c r="J41" i="14673"/>
  <c r="G35" i="14673"/>
  <c r="B37" i="14673"/>
  <c r="I43" i="14673"/>
  <c r="B45" i="14673"/>
  <c r="J35" i="14673"/>
  <c r="E45" i="14673"/>
  <c r="D44" i="14673"/>
  <c r="B35" i="14673"/>
  <c r="E35" i="14673"/>
  <c r="H41" i="14673"/>
  <c r="H37" i="14673"/>
  <c r="D43" i="14673"/>
  <c r="J44" i="14673"/>
  <c r="H45" i="14673"/>
  <c r="C37" i="14673"/>
  <c r="E43" i="14673"/>
  <c r="K45" i="14673"/>
  <c r="G45" i="14673"/>
  <c r="E41" i="14673"/>
  <c r="C41" i="14673"/>
  <c r="I41" i="14673"/>
  <c r="C45" i="14673"/>
  <c r="M44" i="14673"/>
  <c r="L37" i="14673"/>
  <c r="L43" i="14673"/>
  <c r="F41" i="14673"/>
  <c r="E44" i="14673"/>
  <c r="K37" i="14673"/>
  <c r="H44" i="14673"/>
  <c r="H35" i="14673"/>
  <c r="D45" i="14673"/>
  <c r="G43" i="14673"/>
  <c r="F35" i="14673"/>
  <c r="K35" i="14673"/>
  <c r="I44" i="14673"/>
  <c r="D41" i="14673"/>
  <c r="C43" i="14673"/>
  <c r="M41" i="14673"/>
  <c r="G44" i="14673"/>
  <c r="I37" i="14673"/>
  <c r="K43" i="14673"/>
  <c r="L41" i="14673"/>
  <c r="J34" i="14673"/>
  <c r="M47" i="14673"/>
  <c r="J47" i="14673"/>
  <c r="H53" i="14673"/>
  <c r="I34" i="14673"/>
  <c r="B47" i="14673"/>
  <c r="E36" i="14673"/>
  <c r="K34" i="14673"/>
  <c r="I47" i="14673"/>
  <c r="J36" i="14673"/>
  <c r="E51" i="14673"/>
  <c r="F34" i="14673"/>
  <c r="L47" i="14673"/>
  <c r="E47" i="14673"/>
  <c r="F36" i="14673"/>
  <c r="L53" i="14673"/>
  <c r="D36" i="14673"/>
  <c r="C47" i="14673"/>
  <c r="F51" i="14673"/>
  <c r="D34" i="14673"/>
  <c r="F47" i="14673"/>
  <c r="F53" i="14673"/>
  <c r="M36" i="14673"/>
  <c r="J51" i="14673"/>
  <c r="C34" i="14673"/>
  <c r="D47" i="14673"/>
  <c r="I36" i="14673"/>
  <c r="K39" i="14673"/>
  <c r="G51" i="14673"/>
  <c r="L51" i="14673"/>
  <c r="D51" i="14673"/>
  <c r="G34" i="14673"/>
  <c r="J37" i="14673"/>
  <c r="K51" i="14673"/>
  <c r="C36" i="14673"/>
  <c r="C51" i="14673"/>
  <c r="M34" i="14673"/>
  <c r="G36" i="14673"/>
  <c r="I49" i="14673"/>
  <c r="G47" i="14673"/>
  <c r="H51" i="14673"/>
  <c r="E34" i="14673"/>
  <c r="M51" i="14673"/>
  <c r="B34" i="14673"/>
  <c r="H36" i="14673"/>
  <c r="E53" i="14673"/>
  <c r="L34" i="14673"/>
  <c r="B36" i="14673"/>
  <c r="B51" i="14673"/>
  <c r="H34" i="14673"/>
  <c r="H47" i="14673"/>
  <c r="I51" i="14673"/>
  <c r="L36" i="14673"/>
  <c r="K47" i="14673"/>
  <c r="K36" i="14673"/>
  <c r="G39" i="14673"/>
  <c r="K53" i="14673"/>
  <c r="B33" i="14673"/>
  <c r="C40" i="14673"/>
  <c r="E38" i="14673"/>
  <c r="G53" i="14673"/>
  <c r="G49" i="14673"/>
  <c r="G33" i="14673"/>
  <c r="J53" i="14673"/>
  <c r="K40" i="14673"/>
  <c r="H39" i="14673"/>
  <c r="C38" i="14673"/>
  <c r="F46" i="14673"/>
  <c r="J39" i="14673"/>
  <c r="I38" i="14673"/>
  <c r="B40" i="14673"/>
  <c r="H49" i="14673"/>
  <c r="K33" i="14673"/>
  <c r="H40" i="14673"/>
  <c r="F33" i="14673"/>
  <c r="B38" i="14673"/>
  <c r="B53" i="14673"/>
  <c r="L40" i="14673"/>
  <c r="J40" i="14673"/>
  <c r="C33" i="14673"/>
  <c r="J42" i="14673"/>
  <c r="J38" i="14673"/>
  <c r="D49" i="14673"/>
  <c r="M33" i="14673"/>
  <c r="I42" i="14673"/>
  <c r="G40" i="14673"/>
  <c r="E39" i="14673"/>
  <c r="I33" i="14673"/>
  <c r="C42" i="14673"/>
  <c r="B39" i="14673"/>
  <c r="E40" i="14673"/>
  <c r="K42" i="14673"/>
  <c r="D39" i="14673"/>
  <c r="H42" i="14673"/>
  <c r="D33" i="14673"/>
  <c r="D53" i="14673"/>
  <c r="B49" i="14673"/>
  <c r="J49" i="14673"/>
  <c r="C53" i="14673"/>
  <c r="L39" i="14673"/>
  <c r="L42" i="14673"/>
  <c r="M49" i="14673"/>
  <c r="D42" i="14673"/>
  <c r="K49" i="14673"/>
  <c r="I53" i="14673"/>
  <c r="D38" i="14673"/>
  <c r="I40" i="14673"/>
  <c r="M53" i="14673"/>
  <c r="F38" i="14673"/>
  <c r="F49" i="14673"/>
  <c r="H33" i="14673"/>
  <c r="B42" i="14673"/>
  <c r="J33" i="14673"/>
  <c r="M42" i="14673"/>
  <c r="F42" i="14673"/>
  <c r="K38" i="14673"/>
  <c r="E42" i="14673"/>
  <c r="L46" i="14673"/>
  <c r="D40" i="14673"/>
  <c r="M40" i="14673"/>
  <c r="L49" i="14673"/>
  <c r="L33" i="14673"/>
  <c r="G38" i="14673"/>
  <c r="M39" i="14673"/>
  <c r="M38" i="14673"/>
  <c r="F39" i="14673"/>
  <c r="L38" i="14673"/>
  <c r="G42" i="14673"/>
  <c r="E49" i="14673"/>
  <c r="E33" i="14673"/>
  <c r="I39" i="14673"/>
  <c r="F40" i="14673"/>
  <c r="B46" i="14673"/>
  <c r="H46" i="14673"/>
  <c r="I46" i="14673"/>
  <c r="J46" i="14673"/>
  <c r="D46" i="14673"/>
  <c r="H38" i="14673"/>
  <c r="K46" i="14673"/>
  <c r="M46" i="14673"/>
  <c r="C46" i="14673"/>
  <c r="E46" i="14673"/>
  <c r="L54" i="14673"/>
  <c r="D54" i="14673"/>
  <c r="G54" i="14673"/>
  <c r="I54" i="14673"/>
  <c r="H54" i="14673"/>
  <c r="E54" i="14673"/>
  <c r="J54" i="14673"/>
  <c r="B54" i="14673"/>
  <c r="K54" i="14673"/>
  <c r="F54" i="14673"/>
  <c r="C54" i="14673"/>
  <c r="O12" i="14639"/>
  <c r="C20" i="14639" a="1"/>
  <c r="C13" i="14639" a="1"/>
  <c r="F30" i="14706"/>
  <c r="F41" i="14667"/>
  <c r="C24" i="14634"/>
  <c r="C22" i="14633" s="1"/>
  <c r="H26" i="14634"/>
  <c r="H9" i="14633" s="1"/>
  <c r="O20" i="14634"/>
  <c r="C21" i="14634" a="1"/>
  <c r="O13" i="14634"/>
  <c r="D17" i="14617" s="1"/>
  <c r="B17" i="14631" a="1"/>
  <c r="D23" i="14710" l="1"/>
  <c r="H11" i="14617"/>
  <c r="G13" i="14617"/>
  <c r="N54" i="14673"/>
  <c r="F50" i="14682" s="1"/>
  <c r="N39" i="14673"/>
  <c r="F35" i="14682" s="1"/>
  <c r="F115" i="14707" s="1"/>
  <c r="N47" i="14673"/>
  <c r="F43" i="14682" s="1"/>
  <c r="F123" i="14707" s="1"/>
  <c r="L60" i="14673"/>
  <c r="D60" i="14673"/>
  <c r="G60" i="14673"/>
  <c r="J55" i="14673"/>
  <c r="N53" i="14673"/>
  <c r="F49" i="14682" s="1"/>
  <c r="H60" i="14673"/>
  <c r="N52" i="14673"/>
  <c r="F48" i="14682" s="1"/>
  <c r="H55" i="14673"/>
  <c r="F55" i="14673"/>
  <c r="G55" i="14673"/>
  <c r="M60" i="14673"/>
  <c r="I55" i="14673"/>
  <c r="L55" i="14673"/>
  <c r="N35" i="14673"/>
  <c r="F31" i="14682" s="1"/>
  <c r="F111" i="14707" s="1"/>
  <c r="F60" i="14673"/>
  <c r="C9" i="14674"/>
  <c r="C12" i="14674" s="1" a="1"/>
  <c r="N12" i="14674" s="1"/>
  <c r="O6" i="14674"/>
  <c r="O9" i="14674" s="1"/>
  <c r="O15" i="14674" s="1"/>
  <c r="M10" i="14670" s="1"/>
  <c r="N49" i="14673"/>
  <c r="F45" i="14682" s="1"/>
  <c r="F125" i="14707" s="1"/>
  <c r="K55" i="14673"/>
  <c r="N51" i="14673"/>
  <c r="F47" i="14682" s="1"/>
  <c r="F127" i="14707" s="1"/>
  <c r="N50" i="14673"/>
  <c r="F46" i="14682" s="1"/>
  <c r="F126" i="14707" s="1"/>
  <c r="M55" i="14673"/>
  <c r="N36" i="14673"/>
  <c r="F32" i="14682" s="1"/>
  <c r="F112" i="14707" s="1"/>
  <c r="N44" i="14673"/>
  <c r="F40" i="14682" s="1"/>
  <c r="F120" i="14707" s="1"/>
  <c r="E60" i="14673"/>
  <c r="N42" i="14673"/>
  <c r="F38" i="14682" s="1"/>
  <c r="F118" i="14707" s="1"/>
  <c r="N38" i="14673"/>
  <c r="F34" i="14682" s="1"/>
  <c r="F114" i="14707" s="1"/>
  <c r="D55" i="14673"/>
  <c r="N40" i="14673"/>
  <c r="F36" i="14682" s="1"/>
  <c r="F116" i="14707" s="1"/>
  <c r="E55" i="14673"/>
  <c r="N33" i="14673"/>
  <c r="B55" i="14673"/>
  <c r="I60" i="14673"/>
  <c r="K60" i="14673"/>
  <c r="N45" i="14673"/>
  <c r="F41" i="14682" s="1"/>
  <c r="F121" i="14707" s="1"/>
  <c r="J60" i="14673"/>
  <c r="C60" i="14673"/>
  <c r="N46" i="14673"/>
  <c r="F42" i="14682" s="1"/>
  <c r="F122" i="14707" s="1"/>
  <c r="C55" i="14673"/>
  <c r="N34" i="14673"/>
  <c r="F30" i="14682" s="1"/>
  <c r="F110" i="14707" s="1"/>
  <c r="N37" i="14673"/>
  <c r="F33" i="14682" s="1"/>
  <c r="F113" i="14707" s="1"/>
  <c r="B60" i="14673"/>
  <c r="N48" i="14673"/>
  <c r="F44" i="14682" s="1"/>
  <c r="F124" i="14707" s="1"/>
  <c r="H17" i="14631"/>
  <c r="H18" i="14631" s="1"/>
  <c r="C17" i="14631"/>
  <c r="C18" i="14631" s="1"/>
  <c r="L17" i="14631"/>
  <c r="L18" i="14631" s="1"/>
  <c r="K17" i="14631"/>
  <c r="K18" i="14631" s="1"/>
  <c r="F17" i="14631"/>
  <c r="F18" i="14631" s="1"/>
  <c r="M17" i="14631"/>
  <c r="M18" i="14631" s="1"/>
  <c r="B17" i="14631"/>
  <c r="E17" i="14631"/>
  <c r="E18" i="14631" s="1"/>
  <c r="J17" i="14631"/>
  <c r="J18" i="14631" s="1"/>
  <c r="D17" i="14631"/>
  <c r="D18" i="14631" s="1"/>
  <c r="G17" i="14631"/>
  <c r="G18" i="14631" s="1"/>
  <c r="I17" i="14631"/>
  <c r="I18" i="14631" s="1"/>
  <c r="E13" i="14639"/>
  <c r="D13" i="14639"/>
  <c r="G13" i="14639"/>
  <c r="I13" i="14639"/>
  <c r="J13" i="14639"/>
  <c r="H13" i="14639"/>
  <c r="L13" i="14639"/>
  <c r="N13" i="14639"/>
  <c r="M13" i="14639"/>
  <c r="F13" i="14639"/>
  <c r="C13" i="14639"/>
  <c r="K13" i="14639"/>
  <c r="I20" i="14639"/>
  <c r="G20" i="14639"/>
  <c r="N20" i="14639"/>
  <c r="H20" i="14639"/>
  <c r="J20" i="14639"/>
  <c r="K20" i="14639"/>
  <c r="L20" i="14639"/>
  <c r="D20" i="14639"/>
  <c r="E20" i="14639"/>
  <c r="C20" i="14639"/>
  <c r="F20" i="14639"/>
  <c r="M20" i="14639"/>
  <c r="M21" i="14634"/>
  <c r="N21" i="14634"/>
  <c r="I21" i="14634"/>
  <c r="F21" i="14634"/>
  <c r="K21" i="14634"/>
  <c r="J21" i="14634"/>
  <c r="E21" i="14634"/>
  <c r="C21" i="14634"/>
  <c r="G21" i="14634"/>
  <c r="H21" i="14634"/>
  <c r="L21" i="14634"/>
  <c r="D21" i="14634"/>
  <c r="O9" i="14633"/>
  <c r="D18" i="14617"/>
  <c r="E17" i="14617"/>
  <c r="F17" i="14617"/>
  <c r="E44" i="14712"/>
  <c r="I13" i="14617" l="1"/>
  <c r="J15" i="14708"/>
  <c r="H13" i="14617"/>
  <c r="C12" i="14674"/>
  <c r="G12" i="14674"/>
  <c r="L12" i="14674"/>
  <c r="F12" i="14674"/>
  <c r="D12" i="14674"/>
  <c r="I12" i="14674"/>
  <c r="H12" i="14674"/>
  <c r="M12" i="14674"/>
  <c r="E12" i="14674"/>
  <c r="K12" i="14674"/>
  <c r="F29" i="14682"/>
  <c r="F109" i="14707" s="1"/>
  <c r="F128" i="14707" s="1"/>
  <c r="N55" i="14673"/>
  <c r="C6" i="14675" a="1"/>
  <c r="N60" i="14673"/>
  <c r="N10" i="14670"/>
  <c r="J10" i="14617" s="1"/>
  <c r="M11" i="14670"/>
  <c r="J12" i="14674"/>
  <c r="F51" i="14682"/>
  <c r="B18" i="14631"/>
  <c r="N17" i="14631"/>
  <c r="O13" i="14639"/>
  <c r="G17" i="14617" s="1"/>
  <c r="B17" i="14640" a="1"/>
  <c r="O21" i="14634"/>
  <c r="F22" i="14634"/>
  <c r="D33" i="4128"/>
  <c r="C24" i="14710"/>
  <c r="C25" i="14710" s="1"/>
  <c r="C26" i="14710" s="1"/>
  <c r="C28" i="14710" s="1"/>
  <c r="C40" i="14649"/>
  <c r="C71" i="14707" s="1"/>
  <c r="E18" i="14617"/>
  <c r="F18" i="14617"/>
  <c r="D20" i="14617"/>
  <c r="C21" i="14639" a="1"/>
  <c r="O20" i="14639"/>
  <c r="O12" i="14674" l="1"/>
  <c r="C20" i="14674" a="1"/>
  <c r="C13" i="14674" a="1"/>
  <c r="N11" i="14670"/>
  <c r="M13" i="14670"/>
  <c r="N13" i="14670" s="1"/>
  <c r="K10" i="14617"/>
  <c r="J11" i="14617"/>
  <c r="K6" i="14675"/>
  <c r="K9" i="14675" s="1"/>
  <c r="J6" i="14675"/>
  <c r="J9" i="14675" s="1"/>
  <c r="D6" i="14675"/>
  <c r="D9" i="14675" s="1"/>
  <c r="F6" i="14675"/>
  <c r="F9" i="14675" s="1"/>
  <c r="H6" i="14675"/>
  <c r="H9" i="14675" s="1"/>
  <c r="N6" i="14675"/>
  <c r="N9" i="14675" s="1"/>
  <c r="C6" i="14675"/>
  <c r="L6" i="14675"/>
  <c r="L9" i="14675" s="1"/>
  <c r="I6" i="14675"/>
  <c r="I9" i="14675" s="1"/>
  <c r="G6" i="14675"/>
  <c r="G9" i="14675" s="1"/>
  <c r="M6" i="14675"/>
  <c r="M9" i="14675" s="1"/>
  <c r="E6" i="14675"/>
  <c r="E9" i="14675" s="1"/>
  <c r="H8" i="14643"/>
  <c r="G15" i="14657"/>
  <c r="C42" i="14649"/>
  <c r="D23" i="14617"/>
  <c r="E20" i="14617"/>
  <c r="H17" i="14617"/>
  <c r="I17" i="14617"/>
  <c r="L17" i="14640"/>
  <c r="H17" i="14640"/>
  <c r="C17" i="14640"/>
  <c r="G17" i="14640"/>
  <c r="K17" i="14640"/>
  <c r="M17" i="14640"/>
  <c r="F17" i="14640"/>
  <c r="E17" i="14640"/>
  <c r="B17" i="14640"/>
  <c r="D17" i="14640"/>
  <c r="I17" i="14640"/>
  <c r="J17" i="14640"/>
  <c r="N18" i="14631"/>
  <c r="B20" i="14631" a="1"/>
  <c r="J21" i="14639"/>
  <c r="L21" i="14639"/>
  <c r="I21" i="14639"/>
  <c r="G21" i="14639"/>
  <c r="D21" i="14639"/>
  <c r="M21" i="14639"/>
  <c r="K21" i="14639"/>
  <c r="E21" i="14639"/>
  <c r="H21" i="14639"/>
  <c r="N21" i="14639"/>
  <c r="C21" i="14639"/>
  <c r="F21" i="14639"/>
  <c r="F24" i="14634"/>
  <c r="F22" i="14633" s="1"/>
  <c r="I22" i="14634"/>
  <c r="F20" i="14674" l="1"/>
  <c r="N20" i="14674"/>
  <c r="L20" i="14674"/>
  <c r="J20" i="14674"/>
  <c r="K20" i="14674"/>
  <c r="C20" i="14674"/>
  <c r="I20" i="14674"/>
  <c r="M20" i="14674"/>
  <c r="G20" i="14674"/>
  <c r="E20" i="14674"/>
  <c r="D20" i="14674"/>
  <c r="H20" i="14674"/>
  <c r="N13" i="14674"/>
  <c r="I13" i="14674"/>
  <c r="M13" i="14674"/>
  <c r="J13" i="14674"/>
  <c r="F13" i="14674"/>
  <c r="D13" i="14674"/>
  <c r="H13" i="14674"/>
  <c r="L13" i="14674"/>
  <c r="K13" i="14674"/>
  <c r="C13" i="14674"/>
  <c r="E13" i="14674"/>
  <c r="G13" i="14674"/>
  <c r="K11" i="14617"/>
  <c r="E23" i="14710"/>
  <c r="J13" i="14617"/>
  <c r="C9" i="14675"/>
  <c r="C12" i="14675" s="1" a="1"/>
  <c r="O6" i="14675"/>
  <c r="O9" i="14675" s="1"/>
  <c r="O15" i="14675" s="1"/>
  <c r="M10" i="14671" s="1"/>
  <c r="O21" i="14639"/>
  <c r="K20" i="14631"/>
  <c r="M20" i="14631"/>
  <c r="H20" i="14631"/>
  <c r="I20" i="14631"/>
  <c r="J20" i="14631"/>
  <c r="G20" i="14631"/>
  <c r="D20" i="14631"/>
  <c r="E20" i="14631"/>
  <c r="L20" i="14631"/>
  <c r="C20" i="14631"/>
  <c r="F20" i="14631"/>
  <c r="B20" i="14631"/>
  <c r="N17" i="14640"/>
  <c r="E23" i="14617"/>
  <c r="D12" i="4128"/>
  <c r="F23" i="14617"/>
  <c r="L22" i="14634"/>
  <c r="I24" i="14634"/>
  <c r="I22" i="14633" s="1"/>
  <c r="C57" i="14649"/>
  <c r="C73" i="14707"/>
  <c r="C38" i="14707"/>
  <c r="B17" i="14670" l="1" a="1"/>
  <c r="C21" i="14674" a="1"/>
  <c r="O20" i="14674"/>
  <c r="O13" i="14674"/>
  <c r="J17" i="14617" s="1"/>
  <c r="M11" i="14671"/>
  <c r="N10" i="14671"/>
  <c r="M10" i="14617" s="1"/>
  <c r="M12" i="14675"/>
  <c r="C12" i="14675"/>
  <c r="F12" i="14675"/>
  <c r="K12" i="14675"/>
  <c r="E12" i="14675"/>
  <c r="D12" i="14675"/>
  <c r="N12" i="14675"/>
  <c r="H12" i="14675"/>
  <c r="G12" i="14675"/>
  <c r="J12" i="14675"/>
  <c r="I12" i="14675"/>
  <c r="L12" i="14675"/>
  <c r="L13" i="14617"/>
  <c r="K13" i="14617"/>
  <c r="L15" i="14708"/>
  <c r="B23" i="14631" a="1"/>
  <c r="N20" i="14631"/>
  <c r="L24" i="14634"/>
  <c r="L22" i="14633" s="1"/>
  <c r="O22" i="14633" s="1"/>
  <c r="D19" i="14684" s="1"/>
  <c r="O22" i="14634"/>
  <c r="K17" i="14670" l="1"/>
  <c r="J17" i="14670"/>
  <c r="E17" i="14670"/>
  <c r="F17" i="14670"/>
  <c r="C17" i="14670"/>
  <c r="H17" i="14670"/>
  <c r="D17" i="14670"/>
  <c r="I17" i="14670"/>
  <c r="G17" i="14670"/>
  <c r="L17" i="14670"/>
  <c r="M17" i="14670"/>
  <c r="B17" i="14670"/>
  <c r="D21" i="14674"/>
  <c r="J21" i="14674"/>
  <c r="G21" i="14674"/>
  <c r="C21" i="14674"/>
  <c r="N21" i="14674"/>
  <c r="E21" i="14674"/>
  <c r="K21" i="14674"/>
  <c r="L21" i="14674"/>
  <c r="M21" i="14674"/>
  <c r="I21" i="14674"/>
  <c r="F21" i="14674"/>
  <c r="H21" i="14674"/>
  <c r="K17" i="14617"/>
  <c r="L17" i="14617"/>
  <c r="O12" i="14675"/>
  <c r="C20" i="14675" a="1"/>
  <c r="C13" i="14675" a="1"/>
  <c r="N10" i="14617"/>
  <c r="M11" i="14617"/>
  <c r="N11" i="14671"/>
  <c r="M13" i="14671"/>
  <c r="N13" i="14671" s="1"/>
  <c r="O24" i="14634"/>
  <c r="H21" i="14667"/>
  <c r="H7" i="14706"/>
  <c r="C22" i="14639"/>
  <c r="E23" i="14631"/>
  <c r="M23" i="14631"/>
  <c r="K23" i="14631"/>
  <c r="L23" i="14631"/>
  <c r="I23" i="14631"/>
  <c r="B23" i="14631"/>
  <c r="F23" i="14631"/>
  <c r="G23" i="14631"/>
  <c r="J23" i="14631"/>
  <c r="D23" i="14631"/>
  <c r="H23" i="14631"/>
  <c r="C23" i="14631"/>
  <c r="N17" i="14670" l="1"/>
  <c r="O21" i="14674"/>
  <c r="F23" i="14710"/>
  <c r="N11" i="14617"/>
  <c r="M13" i="14617"/>
  <c r="E13" i="14675"/>
  <c r="H13" i="14675"/>
  <c r="F13" i="14675"/>
  <c r="C13" i="14675"/>
  <c r="L13" i="14675"/>
  <c r="M13" i="14675"/>
  <c r="G13" i="14675"/>
  <c r="I13" i="14675"/>
  <c r="J13" i="14675"/>
  <c r="K13" i="14675"/>
  <c r="D13" i="14675"/>
  <c r="N13" i="14675"/>
  <c r="G20" i="14675"/>
  <c r="F20" i="14675"/>
  <c r="I20" i="14675"/>
  <c r="N20" i="14675"/>
  <c r="C20" i="14675"/>
  <c r="D20" i="14675"/>
  <c r="K20" i="14675"/>
  <c r="H20" i="14675"/>
  <c r="L20" i="14675"/>
  <c r="J20" i="14675"/>
  <c r="M20" i="14675"/>
  <c r="E20" i="14675"/>
  <c r="N23" i="14631"/>
  <c r="H41" i="14667"/>
  <c r="H30" i="14706"/>
  <c r="H26" i="14639"/>
  <c r="H9" i="14641" s="1"/>
  <c r="C24" i="14639"/>
  <c r="C22" i="14641" s="1"/>
  <c r="F22" i="14639"/>
  <c r="O13" i="14675" l="1"/>
  <c r="M17" i="14617" s="1"/>
  <c r="B17" i="14671" a="1"/>
  <c r="C21" i="14675" a="1"/>
  <c r="O20" i="14675"/>
  <c r="N15" i="14708"/>
  <c r="N13" i="14617"/>
  <c r="O13" i="14617"/>
  <c r="O9" i="14641"/>
  <c r="I22" i="14639"/>
  <c r="F24" i="14639"/>
  <c r="F22" i="14641" s="1"/>
  <c r="L21" i="14675" l="1"/>
  <c r="M21" i="14675"/>
  <c r="E21" i="14675"/>
  <c r="N21" i="14675"/>
  <c r="H21" i="14675"/>
  <c r="G21" i="14675"/>
  <c r="F21" i="14675"/>
  <c r="D21" i="14675"/>
  <c r="I21" i="14675"/>
  <c r="K21" i="14675"/>
  <c r="J21" i="14675"/>
  <c r="C21" i="14675"/>
  <c r="L17" i="14671"/>
  <c r="M17" i="14671"/>
  <c r="E17" i="14671"/>
  <c r="J17" i="14671"/>
  <c r="B17" i="14671"/>
  <c r="H17" i="14671"/>
  <c r="K17" i="14671"/>
  <c r="C17" i="14671"/>
  <c r="F17" i="14671"/>
  <c r="I17" i="14671"/>
  <c r="G17" i="14671"/>
  <c r="D17" i="14671"/>
  <c r="O17" i="14617"/>
  <c r="N17" i="14617"/>
  <c r="L22" i="14639"/>
  <c r="I24" i="14639"/>
  <c r="I22" i="14641" s="1"/>
  <c r="N17" i="14671" l="1"/>
  <c r="O21" i="14675"/>
  <c r="L24" i="14639"/>
  <c r="L22" i="14641" s="1"/>
  <c r="O22" i="14641" s="1"/>
  <c r="E19" i="14684" s="1"/>
  <c r="O22" i="14639"/>
  <c r="O24" i="14639" l="1"/>
  <c r="J7" i="14706"/>
  <c r="J21" i="14667"/>
  <c r="C22" i="14674"/>
  <c r="J41" i="14667" l="1"/>
  <c r="J30" i="14706"/>
  <c r="C24" i="14674"/>
  <c r="C22" i="14676" s="1"/>
  <c r="H26" i="14674"/>
  <c r="H9" i="14676" s="1"/>
  <c r="F22" i="14674"/>
  <c r="O9" i="14676" l="1"/>
  <c r="I22" i="14674"/>
  <c r="F24" i="14674"/>
  <c r="F22" i="14676" s="1"/>
  <c r="I24" i="14674" l="1"/>
  <c r="I22" i="14676" s="1"/>
  <c r="L22" i="14674"/>
  <c r="O22" i="14674" l="1"/>
  <c r="L24" i="14674"/>
  <c r="L22" i="14676" s="1"/>
  <c r="O22" i="14676" s="1"/>
  <c r="F19" i="14684" s="1"/>
  <c r="L7" i="14706" l="1"/>
  <c r="O24" i="14674"/>
  <c r="L21" i="14667"/>
  <c r="C22" i="14675"/>
  <c r="F22" i="14675" l="1"/>
  <c r="C24" i="14675"/>
  <c r="C22" i="14677" s="1"/>
  <c r="H26" i="14675"/>
  <c r="H9" i="14677" s="1"/>
  <c r="L41" i="14667"/>
  <c r="L30" i="14706"/>
  <c r="O9" i="14677" l="1"/>
  <c r="F24" i="14675"/>
  <c r="F22" i="14677" s="1"/>
  <c r="I22" i="14675"/>
  <c r="L22" i="14675" l="1"/>
  <c r="I24" i="14675"/>
  <c r="I22" i="14677" s="1"/>
  <c r="O22" i="14675" l="1"/>
  <c r="L24" i="14675"/>
  <c r="L22" i="14677" s="1"/>
  <c r="O22" i="14677" s="1"/>
  <c r="G19" i="14684" s="1"/>
  <c r="O24" i="14675" l="1"/>
  <c r="N21" i="14667"/>
  <c r="N7" i="14706"/>
  <c r="N30" i="14706" l="1"/>
  <c r="N41" i="14667"/>
  <c r="C12" i="14648" l="1" a="1"/>
  <c r="C12" i="14648"/>
  <c r="C13" i="14648" a="1"/>
  <c r="C13" i="14648"/>
  <c r="C14" i="14648"/>
  <c r="C19" i="14648" s="1"/>
  <c r="E91" i="14649" a="1"/>
  <c r="E91" i="14649"/>
  <c r="B10" i="14681" l="1"/>
  <c r="B26" i="8"/>
  <c r="C16" i="14625"/>
  <c r="C25" i="14625" l="1"/>
  <c r="C30" i="14625" s="1"/>
  <c r="B27" i="8"/>
  <c r="B29" i="8" l="1"/>
  <c r="C31" i="14625"/>
  <c r="C33" i="14625" l="1"/>
  <c r="C35" i="14625" s="1"/>
  <c r="B31" i="8"/>
  <c r="C9" i="14648" l="1"/>
  <c r="B63" i="14684"/>
  <c r="B78" i="14684" s="1"/>
  <c r="D85" i="14648"/>
  <c r="C7" i="14648"/>
  <c r="D87" i="14648" l="1"/>
  <c r="D14" i="14648"/>
  <c r="D12" i="14648"/>
  <c r="C8" i="14648"/>
  <c r="D13" i="14648" l="1"/>
  <c r="D10" i="14625"/>
  <c r="C25" i="8"/>
  <c r="D11" i="14625" l="1"/>
  <c r="D19" i="14648"/>
  <c r="C26" i="8" l="1"/>
  <c r="C10" i="14681"/>
  <c r="D16" i="14625"/>
  <c r="D29" i="14625"/>
  <c r="D25" i="14625" l="1"/>
  <c r="D30" i="14625" s="1"/>
  <c r="C27" i="8"/>
  <c r="C29" i="8" l="1"/>
  <c r="D31" i="14625"/>
  <c r="D33" i="14625" l="1"/>
  <c r="D35" i="14625" s="1"/>
  <c r="C31" i="8"/>
  <c r="E85" i="14648" l="1"/>
  <c r="D9" i="14648"/>
  <c r="C63" i="14684"/>
  <c r="C78" i="14684" s="1"/>
  <c r="D7" i="14648"/>
  <c r="E12" i="14648" l="1"/>
  <c r="D8" i="14648"/>
  <c r="E14" i="14648"/>
  <c r="E87" i="14648"/>
  <c r="E10" i="14625" l="1"/>
  <c r="D25" i="8"/>
  <c r="E13" i="14648"/>
  <c r="E19" i="14648" s="1"/>
  <c r="D26" i="8" l="1"/>
  <c r="E16" i="14625"/>
  <c r="D10" i="14681"/>
  <c r="E11" i="14625"/>
  <c r="D27" i="8" l="1"/>
  <c r="E29" i="14625"/>
  <c r="E11" i="14681"/>
  <c r="E13" i="14681" s="1"/>
  <c r="E25" i="14625"/>
  <c r="E30" i="14625" s="1"/>
  <c r="D29" i="8" l="1"/>
  <c r="F23" i="14625"/>
  <c r="E31" i="14625"/>
  <c r="D31" i="8" l="1"/>
  <c r="E33" i="14625"/>
  <c r="E35" i="14625" s="1"/>
  <c r="F85" i="14648" l="1"/>
  <c r="D63" i="14684"/>
  <c r="D78" i="14684" s="1"/>
  <c r="E9" i="14648"/>
  <c r="E7" i="14648"/>
  <c r="F12" i="14648" l="1"/>
  <c r="E8" i="14648"/>
  <c r="F14" i="14648"/>
  <c r="F87" i="14648"/>
  <c r="F10" i="14625" l="1"/>
  <c r="E25" i="8"/>
  <c r="F13" i="14648"/>
  <c r="F19" i="14648" s="1"/>
  <c r="F16" i="14625" l="1"/>
  <c r="E10" i="14681"/>
  <c r="E26" i="8"/>
  <c r="F11" i="14625"/>
  <c r="E27" i="8" l="1"/>
  <c r="F29" i="14625"/>
  <c r="F25" i="14625"/>
  <c r="F30" i="14625" s="1"/>
  <c r="E29" i="8" l="1"/>
  <c r="F31" i="14625"/>
  <c r="E31" i="8" l="1"/>
  <c r="F33" i="14625"/>
  <c r="F35" i="14625" s="1"/>
  <c r="F7" i="14648" l="1"/>
  <c r="F9" i="14648"/>
  <c r="E63" i="14684"/>
  <c r="E78" i="14684" s="1"/>
  <c r="G85" i="14648"/>
  <c r="G87" i="14648" l="1"/>
  <c r="G14" i="14648"/>
  <c r="G12" i="14648"/>
  <c r="F8" i="14648"/>
  <c r="G13" i="14648" l="1"/>
  <c r="G19" i="14648" s="1"/>
  <c r="G10" i="14625"/>
  <c r="F25" i="8"/>
  <c r="F26" i="8" l="1"/>
  <c r="F10" i="14681"/>
  <c r="G16" i="14625"/>
  <c r="G11" i="14625"/>
  <c r="F27" i="8" l="1"/>
  <c r="G29" i="14625"/>
  <c r="G25" i="14625"/>
  <c r="G30" i="14625" s="1"/>
  <c r="F29" i="8" l="1"/>
  <c r="F31" i="8" s="1"/>
  <c r="G31" i="14625"/>
  <c r="G33" i="14625" l="1"/>
  <c r="G7" i="14648" l="1"/>
  <c r="G35" i="14625"/>
  <c r="H85" i="14648" l="1"/>
  <c r="G9" i="14648"/>
  <c r="F63" i="14684"/>
  <c r="F78" i="14684" s="1"/>
  <c r="H12" i="14648"/>
  <c r="G8" i="14648"/>
  <c r="H13" i="14648" l="1"/>
  <c r="H14" i="14648"/>
  <c r="H87" i="14648"/>
  <c r="H19" i="14648" l="1"/>
  <c r="H10" i="14625"/>
  <c r="G25" i="8"/>
  <c r="H16" i="14625" l="1"/>
  <c r="H25" i="14625" s="1"/>
  <c r="H30" i="14625" s="1"/>
  <c r="G26" i="8"/>
  <c r="G27" i="8" s="1"/>
  <c r="G29" i="8" s="1"/>
  <c r="G31" i="8" s="1"/>
  <c r="G10" i="14681"/>
  <c r="H11" i="14681" s="1"/>
  <c r="H13" i="14681" s="1"/>
  <c r="H11" i="14625"/>
  <c r="I23" i="14625" l="1"/>
  <c r="H29" i="14625"/>
  <c r="H31" i="14625" l="1"/>
  <c r="H33" i="14625" l="1"/>
  <c r="H7" i="14648" s="1"/>
  <c r="I12" i="14648" l="1"/>
  <c r="H8" i="14648"/>
  <c r="I13" i="14648" s="1"/>
  <c r="H35" i="14625"/>
  <c r="I85" i="14648" l="1"/>
  <c r="I87" i="14648" s="1"/>
  <c r="H9" i="14648"/>
  <c r="I14" i="14648" s="1"/>
  <c r="I19" i="14648" s="1"/>
  <c r="G63" i="14684"/>
  <c r="G78" i="14684" s="1"/>
  <c r="I16" i="14625" l="1"/>
  <c r="I25" i="14625" s="1"/>
  <c r="I30" i="14625" s="1"/>
  <c r="H10" i="14681"/>
  <c r="H26" i="8"/>
  <c r="I10" i="14625"/>
  <c r="I11" i="14625" s="1"/>
  <c r="I29" i="14625" s="1"/>
  <c r="H25" i="8"/>
  <c r="I31" i="14625" l="1"/>
  <c r="I33" i="14625" s="1"/>
  <c r="I7" i="14648" s="1"/>
  <c r="H27" i="8"/>
  <c r="H29" i="8" s="1"/>
  <c r="H31" i="8" s="1"/>
  <c r="I35" i="14625" l="1"/>
  <c r="I9" i="14648" s="1"/>
  <c r="J14" i="14648" s="1"/>
  <c r="J12" i="14648"/>
  <c r="I8" i="14648"/>
  <c r="J13" i="14648" s="1"/>
  <c r="J85" i="14648" l="1"/>
  <c r="J87" i="14648" s="1"/>
  <c r="H63" i="14684"/>
  <c r="H78" i="14684" s="1"/>
  <c r="J19" i="14648"/>
  <c r="J10" i="14625" l="1"/>
  <c r="J11" i="14625" s="1"/>
  <c r="J29" i="14625" s="1"/>
  <c r="I25" i="8"/>
  <c r="I26" i="8"/>
  <c r="I10" i="14681"/>
  <c r="J16" i="14625"/>
  <c r="J25" i="14625" s="1"/>
  <c r="J30" i="14625" s="1"/>
  <c r="I27" i="8" l="1"/>
  <c r="I29" i="8" s="1"/>
  <c r="I31" i="8" s="1"/>
  <c r="J31" i="14625"/>
  <c r="J33" i="14625"/>
  <c r="J7" i="14648" s="1"/>
  <c r="J35" i="14625" l="1"/>
  <c r="K12" i="14648"/>
  <c r="J8" i="14648"/>
  <c r="K13" i="14648" s="1"/>
  <c r="K85" i="14648" l="1"/>
  <c r="K87" i="14648" s="1"/>
  <c r="I63" i="14684"/>
  <c r="I78" i="14684" s="1"/>
  <c r="J9" i="14648"/>
  <c r="K14" i="14648" s="1"/>
  <c r="K19" i="14648" s="1"/>
  <c r="J26" i="8" l="1"/>
  <c r="K16" i="14625"/>
  <c r="K25" i="14625" s="1"/>
  <c r="K30" i="14625" s="1"/>
  <c r="J10" i="14681"/>
  <c r="K11" i="14681" s="1"/>
  <c r="K13" i="14681" s="1"/>
  <c r="K10" i="14625"/>
  <c r="K11" i="14625" s="1"/>
  <c r="K29" i="14625" s="1"/>
  <c r="J25" i="8"/>
  <c r="J27" i="8" l="1"/>
  <c r="J29" i="8" s="1"/>
  <c r="J31" i="8" s="1"/>
  <c r="K31" i="14625"/>
  <c r="K33" i="14625"/>
  <c r="K7" i="14648" s="1"/>
  <c r="L23" i="14625"/>
  <c r="O23" i="14625" s="1"/>
  <c r="C20" i="14684" s="1"/>
  <c r="L12" i="14648" l="1"/>
  <c r="K8" i="14648"/>
  <c r="L13" i="14648" s="1"/>
  <c r="K35" i="14625"/>
  <c r="L85" i="14648" l="1"/>
  <c r="L87" i="14648" s="1"/>
  <c r="J63" i="14684"/>
  <c r="J78" i="14684" s="1"/>
  <c r="K9" i="14648"/>
  <c r="L14" i="14648" s="1"/>
  <c r="L19" i="14648" s="1"/>
  <c r="K10" i="14681" l="1"/>
  <c r="L16" i="14625"/>
  <c r="L25" i="14625" s="1"/>
  <c r="L30" i="14625" s="1"/>
  <c r="K26" i="8"/>
  <c r="L10" i="14625"/>
  <c r="L11" i="14625" s="1"/>
  <c r="L29" i="14625" s="1"/>
  <c r="K25" i="8"/>
  <c r="L31" i="14625" l="1"/>
  <c r="K27" i="8"/>
  <c r="K29" i="8" s="1"/>
  <c r="K31" i="8" s="1"/>
  <c r="L33" i="14625" l="1"/>
  <c r="L7" i="14648" s="1"/>
  <c r="M12" i="14648" l="1"/>
  <c r="L8" i="14648"/>
  <c r="M13" i="14648" s="1"/>
  <c r="L35" i="14625"/>
  <c r="K63" i="14684" l="1"/>
  <c r="K78" i="14684" s="1"/>
  <c r="L9" i="14648"/>
  <c r="M14" i="14648" s="1"/>
  <c r="M19" i="14648" s="1"/>
  <c r="M85" i="14648"/>
  <c r="M87" i="14648" s="1"/>
  <c r="L26" i="8" l="1"/>
  <c r="L10" i="14681"/>
  <c r="M16" i="14625"/>
  <c r="M25" i="14625" s="1"/>
  <c r="M30" i="14625" s="1"/>
  <c r="M10" i="14625"/>
  <c r="M11" i="14625" s="1"/>
  <c r="M29" i="14625" s="1"/>
  <c r="L25" i="8"/>
  <c r="L27" i="8" l="1"/>
  <c r="L29" i="8" s="1"/>
  <c r="L31" i="8" s="1"/>
  <c r="M31" i="14625"/>
  <c r="M33" i="14625" s="1"/>
  <c r="M7" i="14648" s="1"/>
  <c r="M35" i="14625" l="1"/>
  <c r="N12" i="14648"/>
  <c r="M8" i="14648"/>
  <c r="N13" i="14648" s="1"/>
  <c r="O13" i="14648" s="1"/>
  <c r="O12" i="14648" l="1"/>
  <c r="N85" i="14648"/>
  <c r="M9" i="14648"/>
  <c r="N14" i="14648" s="1"/>
  <c r="O14" i="14648" s="1"/>
  <c r="L63" i="14684"/>
  <c r="L78" i="14684" s="1"/>
  <c r="O19" i="14648" l="1"/>
  <c r="N87" i="14648"/>
  <c r="O85" i="14648"/>
  <c r="O87" i="14648" s="1"/>
  <c r="N19" i="14648"/>
  <c r="M26" i="8" l="1"/>
  <c r="N26" i="8" s="1"/>
  <c r="M10" i="14681"/>
  <c r="N16" i="14625"/>
  <c r="M25" i="8"/>
  <c r="N10" i="14625"/>
  <c r="N11" i="14625" l="1"/>
  <c r="O10" i="14625"/>
  <c r="C9" i="14684" s="1"/>
  <c r="C10" i="14684" s="1"/>
  <c r="N25" i="14625"/>
  <c r="N30" i="14625" s="1"/>
  <c r="O30" i="14625" s="1"/>
  <c r="O16" i="14625"/>
  <c r="N10" i="14681"/>
  <c r="N11" i="14681"/>
  <c r="N13" i="14681" s="1"/>
  <c r="M27" i="8"/>
  <c r="N25" i="8"/>
  <c r="B25" i="14617" s="1" a="1"/>
  <c r="B26" i="14617" l="1"/>
  <c r="B25" i="14617"/>
  <c r="B22" i="14681"/>
  <c r="C23" i="14633" s="1"/>
  <c r="C24" i="14657"/>
  <c r="C25" i="14657" s="1"/>
  <c r="M29" i="8"/>
  <c r="N27" i="8"/>
  <c r="B27" i="14617" s="1"/>
  <c r="O25" i="14625"/>
  <c r="C15" i="14684"/>
  <c r="C22" i="14684" s="1"/>
  <c r="C25" i="14684" s="1"/>
  <c r="N29" i="14625"/>
  <c r="O11" i="14625"/>
  <c r="N31" i="14625" l="1"/>
  <c r="O29" i="14625"/>
  <c r="O31" i="14625" s="1"/>
  <c r="C36" i="4128"/>
  <c r="C17" i="14657"/>
  <c r="C18" i="14657" s="1"/>
  <c r="D12" i="14643"/>
  <c r="B41" i="14649"/>
  <c r="B72" i="14707" s="1"/>
  <c r="C8" i="14696"/>
  <c r="K23" i="14657"/>
  <c r="C26" i="14617"/>
  <c r="F25" i="14617"/>
  <c r="C27" i="14617"/>
  <c r="C25" i="14617"/>
  <c r="N29" i="8"/>
  <c r="B29" i="14617" s="1"/>
  <c r="M31" i="8"/>
  <c r="D43" i="14712"/>
  <c r="J43" i="14712" s="1"/>
  <c r="B24" i="14659" l="1"/>
  <c r="C29" i="14617"/>
  <c r="C74" i="14649"/>
  <c r="B7" i="14659"/>
  <c r="B9" i="14659"/>
  <c r="D18" i="14643"/>
  <c r="D27" i="14643"/>
  <c r="C20" i="14657"/>
  <c r="N33" i="14625"/>
  <c r="D28" i="14643" l="1"/>
  <c r="B48" i="14707" s="1"/>
  <c r="B29" i="14710"/>
  <c r="B47" i="14707"/>
  <c r="D32" i="14643"/>
  <c r="C9" i="14659"/>
  <c r="F9" i="14659"/>
  <c r="F39" i="14667"/>
  <c r="N7" i="14648"/>
  <c r="B33" i="14633"/>
  <c r="B22" i="14648" s="1"/>
  <c r="F28" i="14706"/>
  <c r="C33" i="14684"/>
  <c r="D32" i="14657"/>
  <c r="D33" i="14657" s="1"/>
  <c r="K20" i="14657"/>
  <c r="N35" i="14625"/>
  <c r="C39" i="14625" s="1"/>
  <c r="C24" i="14659"/>
  <c r="C8" i="4128"/>
  <c r="D39" i="14625" l="1"/>
  <c r="C35" i="14684" s="1"/>
  <c r="D28" i="14690"/>
  <c r="C34" i="14684"/>
  <c r="I20" i="14686" s="1"/>
  <c r="D83" i="14649"/>
  <c r="C83" i="14649"/>
  <c r="B23" i="14648"/>
  <c r="C28" i="14648" s="1"/>
  <c r="N8" i="14648"/>
  <c r="O8" i="14648" s="1"/>
  <c r="O7" i="14648"/>
  <c r="D35" i="14643"/>
  <c r="R12" i="14657"/>
  <c r="R13" i="14657"/>
  <c r="R14" i="14657"/>
  <c r="R15" i="14657"/>
  <c r="K29" i="14657"/>
  <c r="R8" i="14657"/>
  <c r="R11" i="14657"/>
  <c r="R9" i="14657"/>
  <c r="R10" i="14657"/>
  <c r="F6" i="14706"/>
  <c r="F22" i="14667"/>
  <c r="C27" i="14684"/>
  <c r="M63" i="14684"/>
  <c r="M78" i="14684" s="1"/>
  <c r="C40" i="14625"/>
  <c r="N9" i="14648"/>
  <c r="O9" i="14648" s="1"/>
  <c r="B35" i="14633"/>
  <c r="C41" i="14625"/>
  <c r="D36" i="14657"/>
  <c r="D37" i="14657"/>
  <c r="D39" i="14657" s="1"/>
  <c r="D40" i="14657" s="1"/>
  <c r="G17" i="14636" s="1"/>
  <c r="C27" i="4128" l="1"/>
  <c r="C37" i="4128"/>
  <c r="R62" i="4128" s="1"/>
  <c r="B44" i="14649"/>
  <c r="R16" i="14657"/>
  <c r="K22" i="14657" s="1"/>
  <c r="C29" i="14684"/>
  <c r="D41" i="14625"/>
  <c r="C30" i="14684" s="1"/>
  <c r="E83" i="14649"/>
  <c r="B24" i="14648"/>
  <c r="C29" i="14648" s="1"/>
  <c r="B31" i="14617" l="1"/>
  <c r="K25" i="14657"/>
  <c r="F30" i="14667"/>
  <c r="F43" i="14706"/>
  <c r="K27" i="14657"/>
  <c r="B39" i="14710" s="1"/>
  <c r="E56" i="14649"/>
  <c r="B75" i="14707"/>
  <c r="B30" i="14710"/>
  <c r="H41" i="14706" l="1"/>
  <c r="F39" i="14706"/>
  <c r="F26" i="14667"/>
  <c r="H28" i="14667"/>
  <c r="C7" i="14696"/>
  <c r="C41" i="4128"/>
  <c r="J8" i="14633"/>
  <c r="K26" i="14657"/>
  <c r="H23" i="14633"/>
  <c r="F42" i="14667"/>
  <c r="F31" i="14706"/>
  <c r="F9" i="14706"/>
  <c r="F19" i="14667"/>
  <c r="C31" i="14617"/>
  <c r="B33" i="14617"/>
  <c r="O8" i="14633" l="1"/>
  <c r="B41" i="14710"/>
  <c r="C14" i="14696"/>
  <c r="D10" i="14712"/>
  <c r="C33" i="14617"/>
  <c r="B43" i="14649"/>
  <c r="D9" i="14712"/>
  <c r="I18" i="14686"/>
  <c r="C26" i="4128"/>
  <c r="F56" i="14649"/>
  <c r="C4" i="4128"/>
  <c r="B49" i="14649" s="1"/>
  <c r="F44" i="14667"/>
  <c r="G50" i="14667"/>
  <c r="F5" i="14706"/>
  <c r="F45" i="14706"/>
  <c r="G51" i="14706"/>
  <c r="F26" i="14706"/>
  <c r="F13" i="14667"/>
  <c r="F37" i="14667"/>
  <c r="D7" i="14684" l="1"/>
  <c r="D8" i="14684"/>
  <c r="L11" i="14696"/>
  <c r="C16" i="14696"/>
  <c r="B42" i="14710"/>
  <c r="B43" i="14710" s="1"/>
  <c r="D45" i="14712"/>
  <c r="J45" i="14712" s="1"/>
  <c r="F45" i="14667"/>
  <c r="C18" i="4128"/>
  <c r="C19" i="4128"/>
  <c r="F49" i="14706"/>
  <c r="F46" i="14706"/>
  <c r="F46" i="14667"/>
  <c r="G44" i="14667" s="1"/>
  <c r="D56" i="14649"/>
  <c r="B74" i="14707"/>
  <c r="B39" i="14707"/>
  <c r="F47" i="14706"/>
  <c r="G45" i="14706" s="1"/>
  <c r="C31" i="4128"/>
  <c r="D6" i="14712"/>
  <c r="F24" i="14667"/>
  <c r="D21" i="14712" s="1"/>
  <c r="C15" i="4128"/>
  <c r="D7" i="14712"/>
  <c r="F24" i="14706"/>
  <c r="G5" i="14706" s="1"/>
  <c r="F48" i="14667"/>
  <c r="C10" i="4128"/>
  <c r="C22" i="4128"/>
  <c r="B37" i="14710"/>
  <c r="B80" i="14707"/>
  <c r="G37" i="14667" l="1"/>
  <c r="G49" i="14706"/>
  <c r="G40" i="14706"/>
  <c r="G34" i="14706"/>
  <c r="G29" i="14706"/>
  <c r="F54" i="14706"/>
  <c r="G27" i="14706"/>
  <c r="G36" i="14706"/>
  <c r="G41" i="14706"/>
  <c r="G42" i="14706"/>
  <c r="G35" i="14706"/>
  <c r="G30" i="14706"/>
  <c r="G37" i="14706"/>
  <c r="G32" i="14706"/>
  <c r="G28" i="14706"/>
  <c r="G43" i="14706"/>
  <c r="G31" i="14706"/>
  <c r="G39" i="14706"/>
  <c r="G45" i="14667"/>
  <c r="C42" i="4128"/>
  <c r="C20" i="4128"/>
  <c r="C43" i="4128"/>
  <c r="G40" i="14667"/>
  <c r="G43" i="14667"/>
  <c r="F53" i="14667"/>
  <c r="G35" i="14667"/>
  <c r="G29" i="14667"/>
  <c r="G32" i="14667"/>
  <c r="G33" i="14667"/>
  <c r="G27" i="14667"/>
  <c r="G41" i="14667"/>
  <c r="G38" i="14667"/>
  <c r="G28" i="14667"/>
  <c r="G34" i="14667"/>
  <c r="G39" i="14667"/>
  <c r="G30" i="14667"/>
  <c r="G26" i="14667"/>
  <c r="D42" i="14712"/>
  <c r="J42" i="14712" s="1"/>
  <c r="G42" i="14667"/>
  <c r="G48" i="14667"/>
  <c r="D92" i="14649"/>
  <c r="E92" i="14649" s="1"/>
  <c r="G14" i="14706"/>
  <c r="G13" i="14706"/>
  <c r="G11" i="14706"/>
  <c r="G21" i="14706"/>
  <c r="G10" i="14706"/>
  <c r="G12" i="14706"/>
  <c r="G22" i="14706"/>
  <c r="G8" i="14706"/>
  <c r="G7" i="14706"/>
  <c r="G17" i="14706"/>
  <c r="G20" i="14706"/>
  <c r="G16" i="14706"/>
  <c r="G24" i="14706" s="1"/>
  <c r="G19" i="14706"/>
  <c r="G6" i="14706"/>
  <c r="G9" i="14706"/>
  <c r="G26" i="14706"/>
  <c r="G46" i="14706"/>
  <c r="G7" i="14667"/>
  <c r="G6" i="14667"/>
  <c r="C6" i="4128"/>
  <c r="B50" i="14649" s="1"/>
  <c r="G5" i="14667"/>
  <c r="G16" i="14667"/>
  <c r="D22" i="14712"/>
  <c r="G11" i="14667"/>
  <c r="G18" i="14667"/>
  <c r="D25" i="14712"/>
  <c r="G14" i="14667"/>
  <c r="G17" i="14667"/>
  <c r="G21" i="14667"/>
  <c r="C14" i="4128"/>
  <c r="G8" i="14667"/>
  <c r="G9" i="14667"/>
  <c r="G15" i="14667"/>
  <c r="D23" i="14712"/>
  <c r="G20" i="14667"/>
  <c r="C21" i="4128"/>
  <c r="C25" i="4128"/>
  <c r="G22" i="14667"/>
  <c r="G19" i="14667"/>
  <c r="D8" i="14712"/>
  <c r="D41" i="14712"/>
  <c r="G13" i="14667"/>
  <c r="M11" i="14696"/>
  <c r="D28" i="14712" l="1"/>
  <c r="D30" i="14712" s="1"/>
  <c r="G47" i="14706"/>
  <c r="G24" i="14667"/>
  <c r="B81" i="14707"/>
  <c r="B38" i="14710"/>
  <c r="G46" i="14667"/>
  <c r="C92" i="14649"/>
  <c r="D84" i="14690"/>
  <c r="J41" i="14712"/>
  <c r="D47" i="14712"/>
  <c r="D49" i="14712" s="1"/>
  <c r="D25" i="14617" l="1" a="1"/>
  <c r="C84" i="14689" l="1"/>
  <c r="C86" i="14689" s="1"/>
  <c r="C90" i="14648"/>
  <c r="C92" i="14648" s="1"/>
  <c r="C27" i="14648"/>
  <c r="C34" i="14648" s="1"/>
  <c r="E8" i="14684"/>
  <c r="E14" i="14684"/>
  <c r="F8" i="14684"/>
  <c r="F14" i="14684"/>
  <c r="G8" i="14684"/>
  <c r="G14" i="14684"/>
  <c r="C10" i="14633" l="1"/>
  <c r="C11" i="14633" s="1"/>
  <c r="C29" i="14633" s="1"/>
  <c r="B25" i="14631"/>
  <c r="C16" i="14633"/>
  <c r="C25" i="14633" s="1"/>
  <c r="C30" i="14633" s="1"/>
  <c r="B19" i="14681"/>
  <c r="B26" i="14631"/>
  <c r="C31" i="14633" l="1"/>
  <c r="C33" i="14633" s="1"/>
  <c r="B27" i="14631"/>
  <c r="B29" i="14631" s="1"/>
  <c r="B31" i="14631" s="1"/>
  <c r="C22" i="14648" l="1"/>
  <c r="C35" i="14633"/>
  <c r="C23" i="14648" l="1"/>
  <c r="D28" i="14648" s="1"/>
  <c r="D27" i="14648"/>
  <c r="D90" i="14648"/>
  <c r="D92" i="14648" s="1"/>
  <c r="B64" i="14684"/>
  <c r="N78" i="14684" s="1"/>
  <c r="C24" i="14648"/>
  <c r="D29" i="14648" s="1"/>
  <c r="C25" i="14631" l="1"/>
  <c r="D10" i="14633"/>
  <c r="D11" i="14633" s="1"/>
  <c r="D29" i="14633" s="1"/>
  <c r="D34" i="14648"/>
  <c r="C19" i="14681" l="1"/>
  <c r="C26" i="14631"/>
  <c r="C27" i="14631" s="1"/>
  <c r="C29" i="14631" s="1"/>
  <c r="C31" i="14631" s="1"/>
  <c r="D16" i="14633"/>
  <c r="D25" i="14633" s="1"/>
  <c r="D30" i="14633" s="1"/>
  <c r="D31" i="14633" s="1"/>
  <c r="D33" i="14633" l="1"/>
  <c r="D22" i="14648" l="1"/>
  <c r="D35" i="14633"/>
  <c r="D24" i="14648" s="1"/>
  <c r="E29" i="14648" s="1"/>
  <c r="C64" i="14684" l="1"/>
  <c r="O78" i="14684" s="1"/>
  <c r="E90" i="14648"/>
  <c r="E92" i="14648" s="1"/>
  <c r="E27" i="14648"/>
  <c r="D23" i="14648"/>
  <c r="E28" i="14648" s="1"/>
  <c r="E10" i="14633" l="1"/>
  <c r="E11" i="14633" s="1"/>
  <c r="E29" i="14633" s="1"/>
  <c r="D25" i="14631"/>
  <c r="E34" i="14648"/>
  <c r="E16" i="14633" l="1"/>
  <c r="E25" i="14633" s="1"/>
  <c r="E30" i="14633" s="1"/>
  <c r="E31" i="14633" s="1"/>
  <c r="D19" i="14681"/>
  <c r="E20" i="14681" s="1"/>
  <c r="E22" i="14681" s="1"/>
  <c r="F23" i="14633" s="1"/>
  <c r="D26" i="14631"/>
  <c r="D27" i="14631" s="1"/>
  <c r="D29" i="14631" s="1"/>
  <c r="D31" i="14631" s="1"/>
  <c r="E33" i="14633" l="1"/>
  <c r="E22" i="14648" l="1"/>
  <c r="E35" i="14633"/>
  <c r="E23" i="14648" l="1"/>
  <c r="F28" i="14648" s="1"/>
  <c r="F27" i="14648"/>
  <c r="F90" i="14648"/>
  <c r="F92" i="14648" s="1"/>
  <c r="D64" i="14684"/>
  <c r="P78" i="14684" s="1"/>
  <c r="E24" i="14648"/>
  <c r="F29" i="14648" s="1"/>
  <c r="F34" i="14648" l="1"/>
  <c r="E25" i="14631"/>
  <c r="F10" i="14633"/>
  <c r="F11" i="14633" s="1"/>
  <c r="F29" i="14633" s="1"/>
  <c r="F16" i="14633" l="1"/>
  <c r="F25" i="14633" s="1"/>
  <c r="F30" i="14633" s="1"/>
  <c r="F31" i="14633" s="1"/>
  <c r="E26" i="14631"/>
  <c r="E27" i="14631" s="1"/>
  <c r="E29" i="14631" s="1"/>
  <c r="E31" i="14631" s="1"/>
  <c r="E19" i="14681"/>
  <c r="F33" i="14633" l="1"/>
  <c r="F22" i="14648" l="1"/>
  <c r="F35" i="14633"/>
  <c r="G27" i="14648" l="1"/>
  <c r="F23" i="14648"/>
  <c r="G28" i="14648" s="1"/>
  <c r="F24" i="14648"/>
  <c r="G29" i="14648" s="1"/>
  <c r="G90" i="14648"/>
  <c r="G92" i="14648" s="1"/>
  <c r="E64" i="14684"/>
  <c r="Q78" i="14684" s="1"/>
  <c r="G34" i="14648" l="1"/>
  <c r="G16" i="14633" s="1"/>
  <c r="G25" i="14633" s="1"/>
  <c r="G30" i="14633" s="1"/>
  <c r="F25" i="14631"/>
  <c r="G10" i="14633"/>
  <c r="G11" i="14633" s="1"/>
  <c r="G29" i="14633" s="1"/>
  <c r="F26" i="14631" l="1"/>
  <c r="F27" i="14631" s="1"/>
  <c r="F29" i="14631" s="1"/>
  <c r="F31" i="14631" s="1"/>
  <c r="F19" i="14681"/>
  <c r="G31" i="14633"/>
  <c r="G33" i="14633" l="1"/>
  <c r="G22" i="14648" l="1"/>
  <c r="G35" i="14633"/>
  <c r="G24" i="14648" s="1"/>
  <c r="H29" i="14648" s="1"/>
  <c r="H27" i="14648" l="1"/>
  <c r="H34" i="14648" s="1"/>
  <c r="G19" i="14681" s="1"/>
  <c r="H20" i="14681" s="1"/>
  <c r="H22" i="14681" s="1"/>
  <c r="I23" i="14633" s="1"/>
  <c r="G23" i="14648"/>
  <c r="H28" i="14648" s="1"/>
  <c r="H90" i="14648"/>
  <c r="H92" i="14648" s="1"/>
  <c r="F64" i="14684"/>
  <c r="R78" i="14684" s="1"/>
  <c r="H10" i="14633" l="1"/>
  <c r="H11" i="14633" s="1"/>
  <c r="H29" i="14633" s="1"/>
  <c r="G25" i="14631"/>
  <c r="H16" i="14633"/>
  <c r="H25" i="14633" s="1"/>
  <c r="H30" i="14633" s="1"/>
  <c r="G26" i="14631"/>
  <c r="H31" i="14633" l="1"/>
  <c r="G27" i="14631"/>
  <c r="G29" i="14631" s="1"/>
  <c r="G31" i="14631" s="1"/>
  <c r="H33" i="14633" l="1"/>
  <c r="H22" i="14648" l="1"/>
  <c r="H35" i="14633"/>
  <c r="I27" i="14648" l="1"/>
  <c r="H23" i="14648"/>
  <c r="I28" i="14648" s="1"/>
  <c r="G64" i="14684"/>
  <c r="S78" i="14684" s="1"/>
  <c r="H24" i="14648"/>
  <c r="I29" i="14648" s="1"/>
  <c r="I90" i="14648"/>
  <c r="I92" i="14648" s="1"/>
  <c r="I34" i="14648" l="1"/>
  <c r="I10" i="14633"/>
  <c r="I11" i="14633" s="1"/>
  <c r="I29" i="14633" s="1"/>
  <c r="H25" i="14631"/>
  <c r="I16" i="14633" l="1"/>
  <c r="I25" i="14633" s="1"/>
  <c r="I30" i="14633" s="1"/>
  <c r="I31" i="14633" s="1"/>
  <c r="H19" i="14681"/>
  <c r="H26" i="14631"/>
  <c r="H27" i="14631" s="1"/>
  <c r="H29" i="14631" s="1"/>
  <c r="H31" i="14631" s="1"/>
  <c r="I33" i="14633" l="1"/>
  <c r="I22" i="14648" l="1"/>
  <c r="I35" i="14633"/>
  <c r="J27" i="14648" l="1"/>
  <c r="J34" i="14648" s="1"/>
  <c r="I23" i="14648"/>
  <c r="J28" i="14648" s="1"/>
  <c r="I24" i="14648"/>
  <c r="J29" i="14648" s="1"/>
  <c r="H64" i="14684"/>
  <c r="T78" i="14684" s="1"/>
  <c r="J90" i="14648"/>
  <c r="J92" i="14648" s="1"/>
  <c r="J16" i="14633" l="1"/>
  <c r="J25" i="14633" s="1"/>
  <c r="J30" i="14633" s="1"/>
  <c r="I26" i="14631"/>
  <c r="I19" i="14681"/>
  <c r="J10" i="14633"/>
  <c r="J11" i="14633" s="1"/>
  <c r="J29" i="14633" s="1"/>
  <c r="I25" i="14631"/>
  <c r="J31" i="14633" l="1"/>
  <c r="J33" i="14633" s="1"/>
  <c r="I27" i="14631"/>
  <c r="I29" i="14631" s="1"/>
  <c r="I31" i="14631" s="1"/>
  <c r="J35" i="14633" l="1"/>
  <c r="J22" i="14648"/>
  <c r="K90" i="14648" l="1"/>
  <c r="K92" i="14648" s="1"/>
  <c r="I64" i="14684"/>
  <c r="U78" i="14684" s="1"/>
  <c r="J24" i="14648"/>
  <c r="K29" i="14648" s="1"/>
  <c r="J23" i="14648"/>
  <c r="K28" i="14648" s="1"/>
  <c r="K27" i="14648"/>
  <c r="J25" i="14631" l="1"/>
  <c r="K10" i="14633"/>
  <c r="K11" i="14633" s="1"/>
  <c r="K29" i="14633" s="1"/>
  <c r="K34" i="14648"/>
  <c r="J19" i="14681" l="1"/>
  <c r="K20" i="14681" s="1"/>
  <c r="K22" i="14681" s="1"/>
  <c r="L23" i="14633" s="1"/>
  <c r="O23" i="14633" s="1"/>
  <c r="D20" i="14684" s="1"/>
  <c r="K16" i="14633"/>
  <c r="K25" i="14633" s="1"/>
  <c r="K30" i="14633" s="1"/>
  <c r="K31" i="14633" s="1"/>
  <c r="K33" i="14633" s="1"/>
  <c r="K35" i="14633" s="1"/>
  <c r="J26" i="14631"/>
  <c r="J27" i="14631" s="1"/>
  <c r="J29" i="14631" s="1"/>
  <c r="J31" i="14631" s="1"/>
  <c r="J64" i="14684" l="1"/>
  <c r="V78" i="14684" s="1"/>
  <c r="L90" i="14648"/>
  <c r="K24" i="14648"/>
  <c r="K22" i="14648"/>
  <c r="L92" i="14648" l="1"/>
  <c r="L29" i="14648"/>
  <c r="K23" i="14648"/>
  <c r="L27" i="14648"/>
  <c r="K25" i="14631" l="1"/>
  <c r="L10" i="14633"/>
  <c r="L28" i="14648"/>
  <c r="L34" i="14648" s="1"/>
  <c r="L11" i="14633" l="1"/>
  <c r="K26" i="14631"/>
  <c r="K27" i="14631" s="1"/>
  <c r="L16" i="14633"/>
  <c r="K19" i="14681"/>
  <c r="K29" i="14631" l="1"/>
  <c r="L29" i="14633"/>
  <c r="L25" i="14633"/>
  <c r="L30" i="14633" s="1"/>
  <c r="K31" i="14631" l="1"/>
  <c r="L31" i="14633"/>
  <c r="L33" i="14633" l="1"/>
  <c r="L35" i="14633" s="1"/>
  <c r="L24" i="14648" l="1"/>
  <c r="K64" i="14684"/>
  <c r="W78" i="14684" s="1"/>
  <c r="M90" i="14648"/>
  <c r="L22" i="14648"/>
  <c r="M29" i="14648" l="1"/>
  <c r="M92" i="14648"/>
  <c r="L23" i="14648"/>
  <c r="M27" i="14648"/>
  <c r="L25" i="14631" l="1"/>
  <c r="M10" i="14633"/>
  <c r="M28" i="14648"/>
  <c r="M34" i="14648" s="1"/>
  <c r="M11" i="14633" l="1"/>
  <c r="L26" i="14631"/>
  <c r="L27" i="14631" s="1"/>
  <c r="M16" i="14633"/>
  <c r="L19" i="14681"/>
  <c r="L29" i="14631" l="1"/>
  <c r="M29" i="14633"/>
  <c r="M25" i="14633"/>
  <c r="M30" i="14633" s="1"/>
  <c r="L31" i="14631" l="1"/>
  <c r="M31" i="14633"/>
  <c r="M33" i="14633" l="1"/>
  <c r="M35" i="14633" s="1"/>
  <c r="M22" i="14648" l="1"/>
  <c r="L64" i="14684"/>
  <c r="X78" i="14684" s="1"/>
  <c r="N90" i="14648"/>
  <c r="M24" i="14648"/>
  <c r="N27" i="14648" l="1"/>
  <c r="M23" i="14648"/>
  <c r="O90" i="14648"/>
  <c r="O92" i="14648" s="1"/>
  <c r="N92" i="14648"/>
  <c r="N29" i="14648"/>
  <c r="O29" i="14648" s="1"/>
  <c r="O27" i="14648" l="1"/>
  <c r="N28" i="14648"/>
  <c r="M25" i="14631"/>
  <c r="N10" i="14633"/>
  <c r="N25" i="14631" l="1"/>
  <c r="D25" i="14617" s="1"/>
  <c r="O10" i="14633"/>
  <c r="D9" i="14684" s="1"/>
  <c r="D10" i="14684" s="1"/>
  <c r="N11" i="14633"/>
  <c r="O28" i="14648"/>
  <c r="O34" i="14648" s="1"/>
  <c r="N34" i="14648"/>
  <c r="I25" i="14617" l="1"/>
  <c r="O11" i="14633"/>
  <c r="N29" i="14633"/>
  <c r="N16" i="14633"/>
  <c r="M26" i="14631"/>
  <c r="M19" i="14681"/>
  <c r="N19" i="14681" s="1"/>
  <c r="N20" i="14681" s="1"/>
  <c r="N22" i="14681" s="1"/>
  <c r="O29" i="14633" l="1"/>
  <c r="O16" i="14633"/>
  <c r="N25" i="14633"/>
  <c r="N30" i="14633" s="1"/>
  <c r="M27" i="14631"/>
  <c r="N26" i="14631"/>
  <c r="D26" i="14617" s="1"/>
  <c r="D24" i="14657"/>
  <c r="D25" i="14657" s="1"/>
  <c r="C23" i="14641"/>
  <c r="B31" i="14681"/>
  <c r="D15" i="14684" l="1"/>
  <c r="D22" i="14684" s="1"/>
  <c r="D25" i="14684" s="1"/>
  <c r="O25" i="14633"/>
  <c r="M29" i="14631"/>
  <c r="N27" i="14631"/>
  <c r="D27" i="14617"/>
  <c r="E25" i="14617" s="1" a="1"/>
  <c r="E43" i="14712"/>
  <c r="F26" i="14617"/>
  <c r="L23" i="14657"/>
  <c r="O30" i="14633"/>
  <c r="O31" i="14633" s="1"/>
  <c r="N31" i="14633"/>
  <c r="N29" i="14631" l="1"/>
  <c r="D29" i="14617" s="1"/>
  <c r="M31" i="14631"/>
  <c r="D17" i="14657"/>
  <c r="D18" i="14657" s="1"/>
  <c r="D20" i="14657" s="1"/>
  <c r="E12" i="14643"/>
  <c r="C41" i="14649"/>
  <c r="C72" i="14707" s="1"/>
  <c r="D36" i="4128"/>
  <c r="D8" i="14696"/>
  <c r="F27" i="14617"/>
  <c r="E27" i="14617"/>
  <c r="E26" i="14617"/>
  <c r="E25" i="14617"/>
  <c r="N33" i="14633"/>
  <c r="N35" i="14633" s="1"/>
  <c r="D24" i="14659" l="1"/>
  <c r="C75" i="14649"/>
  <c r="E29" i="14617"/>
  <c r="F29" i="14617"/>
  <c r="D9" i="14659"/>
  <c r="D7" i="14659"/>
  <c r="L20" i="14657"/>
  <c r="E32" i="14657"/>
  <c r="E33" i="14657" s="1"/>
  <c r="E18" i="14643"/>
  <c r="E27" i="14643"/>
  <c r="N22" i="14648"/>
  <c r="H39" i="14667"/>
  <c r="B33" i="14641"/>
  <c r="B37" i="14648" s="1"/>
  <c r="H28" i="14706"/>
  <c r="C39" i="14633"/>
  <c r="D33" i="14684"/>
  <c r="M64" i="14684"/>
  <c r="Y78" i="14684" s="1"/>
  <c r="N24" i="14648"/>
  <c r="O24" i="14648" s="1"/>
  <c r="B35" i="14641"/>
  <c r="D27" i="14684"/>
  <c r="C40" i="14633"/>
  <c r="H6" i="14706"/>
  <c r="H22" i="14667"/>
  <c r="C41" i="14633"/>
  <c r="E24" i="14659" l="1"/>
  <c r="F24" i="14659"/>
  <c r="D8" i="4128"/>
  <c r="I9" i="14659"/>
  <c r="E9" i="14659"/>
  <c r="S8" i="14657"/>
  <c r="S15" i="14657"/>
  <c r="S12" i="14657"/>
  <c r="S13" i="14657"/>
  <c r="S10" i="14657"/>
  <c r="S9" i="14657"/>
  <c r="L29" i="14657"/>
  <c r="S14" i="14657"/>
  <c r="S11" i="14657"/>
  <c r="E36" i="14657"/>
  <c r="E37" i="14657"/>
  <c r="C47" i="14707"/>
  <c r="E32" i="14643"/>
  <c r="E35" i="14643" s="1"/>
  <c r="C29" i="14710"/>
  <c r="E28" i="14643"/>
  <c r="C48" i="14707" s="1"/>
  <c r="O22" i="14648"/>
  <c r="D27" i="4128" s="1"/>
  <c r="N23" i="14648"/>
  <c r="O23" i="14648" s="1"/>
  <c r="C42" i="14648"/>
  <c r="B38" i="14648"/>
  <c r="C43" i="14648" s="1"/>
  <c r="E27" i="14690"/>
  <c r="D34" i="14684"/>
  <c r="J20" i="14686" s="1"/>
  <c r="D39" i="14633"/>
  <c r="D35" i="14684" s="1"/>
  <c r="C84" i="14649"/>
  <c r="D84" i="14649"/>
  <c r="E84" i="14649" s="1"/>
  <c r="B39" i="14648"/>
  <c r="C44" i="14648" s="1"/>
  <c r="C95" i="14648"/>
  <c r="C44" i="14649"/>
  <c r="D37" i="4128"/>
  <c r="S62" i="4128" s="1"/>
  <c r="S63" i="4128" s="1"/>
  <c r="D29" i="14684"/>
  <c r="D41" i="14633"/>
  <c r="D30" i="14684" s="1"/>
  <c r="S16" i="14657" l="1"/>
  <c r="L22" i="14657" s="1"/>
  <c r="H30" i="14667" s="1"/>
  <c r="E39" i="14657"/>
  <c r="E40" i="14657" s="1"/>
  <c r="G17" i="14672" s="1"/>
  <c r="D37" i="14686"/>
  <c r="C49" i="14648"/>
  <c r="E53" i="14690"/>
  <c r="C48" i="14622"/>
  <c r="C97" i="14648"/>
  <c r="C75" i="14707"/>
  <c r="E57" i="14649"/>
  <c r="C30" i="14710"/>
  <c r="L27" i="14657" l="1"/>
  <c r="C39" i="14710" s="1"/>
  <c r="H43" i="14706"/>
  <c r="L25" i="14657"/>
  <c r="D31" i="14617"/>
  <c r="D41" i="4128"/>
  <c r="D7" i="14696"/>
  <c r="H26" i="14667"/>
  <c r="J28" i="14667"/>
  <c r="D38" i="14686"/>
  <c r="H18" i="14636" s="1" a="1"/>
  <c r="H18" i="14636" s="1"/>
  <c r="H20" i="14636" s="1"/>
  <c r="C16" i="14641"/>
  <c r="B26" i="14640"/>
  <c r="D84" i="14689"/>
  <c r="D86" i="14689" s="1"/>
  <c r="B25" i="14640"/>
  <c r="C10" i="14641"/>
  <c r="M18" i="14636" l="1" a="1"/>
  <c r="M18" i="14636" s="1"/>
  <c r="M20" i="14636" s="1"/>
  <c r="D18" i="14636" a="1"/>
  <c r="D18" i="14636" s="1"/>
  <c r="D20" i="14636" s="1"/>
  <c r="H39" i="14706"/>
  <c r="J41" i="14706"/>
  <c r="H9" i="14706"/>
  <c r="H5" i="14706" s="1"/>
  <c r="H19" i="14667"/>
  <c r="H13" i="14667" s="1"/>
  <c r="H31" i="14706"/>
  <c r="H26" i="14706" s="1"/>
  <c r="H42" i="14667"/>
  <c r="H37" i="14667" s="1"/>
  <c r="H23" i="14641"/>
  <c r="J8" i="14641"/>
  <c r="O8" i="14641" s="1"/>
  <c r="E7" i="14684" s="1"/>
  <c r="L26" i="14657"/>
  <c r="D33" i="14617"/>
  <c r="C43" i="14649" s="1"/>
  <c r="E31" i="14617"/>
  <c r="F31" i="14617"/>
  <c r="I18" i="14636" a="1"/>
  <c r="I18" i="14636" s="1"/>
  <c r="I20" i="14636" s="1"/>
  <c r="G18" i="14636" a="1"/>
  <c r="G18" i="14636" s="1"/>
  <c r="G20" i="14636" s="1"/>
  <c r="F18" i="14636" a="1"/>
  <c r="F18" i="14636" s="1"/>
  <c r="F20" i="14636" s="1"/>
  <c r="C18" i="14636" a="1"/>
  <c r="C18" i="14636" s="1"/>
  <c r="C20" i="14636" s="1"/>
  <c r="K18" i="14636" a="1"/>
  <c r="K18" i="14636" s="1"/>
  <c r="K20" i="14636" s="1"/>
  <c r="D47" i="14686" a="1"/>
  <c r="D47" i="14686" s="1"/>
  <c r="D49" i="14686" s="1"/>
  <c r="B18" i="14636" a="1"/>
  <c r="B18" i="14636" s="1"/>
  <c r="B20" i="14636" s="1"/>
  <c r="L18" i="14636" a="1"/>
  <c r="L18" i="14636" s="1"/>
  <c r="L20" i="14636" s="1"/>
  <c r="J18" i="14636" a="1"/>
  <c r="J18" i="14636" s="1"/>
  <c r="E18" i="14636" a="1"/>
  <c r="E18" i="14636" s="1"/>
  <c r="E20" i="14636" s="1"/>
  <c r="D14" i="14696"/>
  <c r="C41" i="14710"/>
  <c r="D4" i="4128"/>
  <c r="C49" i="14649" s="1"/>
  <c r="F57" i="14649"/>
  <c r="H44" i="14667"/>
  <c r="I50" i="14667"/>
  <c r="H27" i="14636"/>
  <c r="H16" i="14640"/>
  <c r="B27" i="14640"/>
  <c r="C11" i="14641"/>
  <c r="H47" i="14706" l="1"/>
  <c r="M16" i="14640"/>
  <c r="M27" i="14636"/>
  <c r="D27" i="14636"/>
  <c r="D16" i="14640"/>
  <c r="I51" i="14706"/>
  <c r="H45" i="14706"/>
  <c r="F33" i="14617"/>
  <c r="E10" i="14712"/>
  <c r="E9" i="14712"/>
  <c r="J18" i="14686"/>
  <c r="E33" i="14617"/>
  <c r="D26" i="4128"/>
  <c r="G27" i="14636"/>
  <c r="G16" i="14640"/>
  <c r="F27" i="14636"/>
  <c r="F16" i="14640"/>
  <c r="I27" i="14636"/>
  <c r="I16" i="14640"/>
  <c r="C16" i="14640"/>
  <c r="C27" i="14636"/>
  <c r="L16" i="14640"/>
  <c r="L27" i="14636"/>
  <c r="E16" i="14640"/>
  <c r="E27" i="14636"/>
  <c r="K16" i="14640"/>
  <c r="K27" i="14636"/>
  <c r="J20" i="14636"/>
  <c r="N18" i="14636"/>
  <c r="D16" i="14682" s="1"/>
  <c r="E7" i="14712"/>
  <c r="H46" i="14667"/>
  <c r="L12" i="14696"/>
  <c r="D16" i="14696"/>
  <c r="C42" i="14710"/>
  <c r="C43" i="14710" s="1"/>
  <c r="C80" i="14707"/>
  <c r="C37" i="14710"/>
  <c r="D10" i="4128"/>
  <c r="D22" i="4128"/>
  <c r="H48" i="14667"/>
  <c r="H24" i="14706"/>
  <c r="D15" i="4128"/>
  <c r="D31" i="4128"/>
  <c r="H24" i="14667"/>
  <c r="E6" i="14712"/>
  <c r="H46" i="14706"/>
  <c r="H45" i="14667"/>
  <c r="D18" i="4128"/>
  <c r="D19" i="4128"/>
  <c r="E45" i="14712"/>
  <c r="D57" i="14649"/>
  <c r="C39" i="14707"/>
  <c r="C74" i="14707"/>
  <c r="H15" i="14640"/>
  <c r="H18" i="14640" s="1"/>
  <c r="H20" i="14640" s="1"/>
  <c r="H23" i="14640" s="1"/>
  <c r="H58" i="14636"/>
  <c r="B27" i="14636"/>
  <c r="B16" i="14640"/>
  <c r="C29" i="14641"/>
  <c r="I26" i="14706" l="1"/>
  <c r="I43" i="14706"/>
  <c r="I46" i="14706"/>
  <c r="K15" i="14640"/>
  <c r="K18" i="14640" s="1"/>
  <c r="K20" i="14640" s="1"/>
  <c r="K23" i="14640" s="1"/>
  <c r="K58" i="14636"/>
  <c r="L14" i="14641" s="1"/>
  <c r="I31" i="14706"/>
  <c r="I39" i="14706"/>
  <c r="M58" i="14636"/>
  <c r="N14" i="14641" s="1"/>
  <c r="M15" i="14640"/>
  <c r="M18" i="14640" s="1"/>
  <c r="M20" i="14640" s="1"/>
  <c r="M23" i="14640" s="1"/>
  <c r="I58" i="14636"/>
  <c r="J14" i="14641" s="1"/>
  <c r="I15" i="14640"/>
  <c r="I18" i="14640" s="1"/>
  <c r="I20" i="14640" s="1"/>
  <c r="I23" i="14640" s="1"/>
  <c r="I28" i="14706"/>
  <c r="I35" i="14706"/>
  <c r="I29" i="14706"/>
  <c r="I40" i="14706"/>
  <c r="I42" i="14706"/>
  <c r="I32" i="14706"/>
  <c r="I30" i="14706"/>
  <c r="I27" i="14706"/>
  <c r="I34" i="14706"/>
  <c r="I37" i="14706"/>
  <c r="I41" i="14706"/>
  <c r="I36" i="14706"/>
  <c r="I45" i="14706"/>
  <c r="H49" i="14706"/>
  <c r="I49" i="14706" s="1"/>
  <c r="G58" i="14636"/>
  <c r="H14" i="14641" s="1"/>
  <c r="G15" i="14640"/>
  <c r="G18" i="14640" s="1"/>
  <c r="G20" i="14640" s="1"/>
  <c r="G23" i="14640" s="1"/>
  <c r="E15" i="14640"/>
  <c r="E18" i="14640" s="1"/>
  <c r="E20" i="14640" s="1"/>
  <c r="E23" i="14640" s="1"/>
  <c r="E58" i="14636"/>
  <c r="F14" i="14641" s="1"/>
  <c r="I43" i="14667"/>
  <c r="I35" i="14667"/>
  <c r="I27" i="14667"/>
  <c r="D58" i="14636"/>
  <c r="E14" i="14641" s="1"/>
  <c r="D15" i="14640"/>
  <c r="D18" i="14640" s="1"/>
  <c r="D20" i="14640" s="1"/>
  <c r="D23" i="14640" s="1"/>
  <c r="F15" i="14640"/>
  <c r="F18" i="14640" s="1"/>
  <c r="F20" i="14640" s="1"/>
  <c r="F23" i="14640" s="1"/>
  <c r="F58" i="14636"/>
  <c r="G14" i="14641" s="1"/>
  <c r="H53" i="14667"/>
  <c r="H54" i="14706"/>
  <c r="I5" i="14706"/>
  <c r="C15" i="14640"/>
  <c r="C18" i="14640" s="1"/>
  <c r="C20" i="14640" s="1"/>
  <c r="C23" i="14640" s="1"/>
  <c r="C58" i="14636"/>
  <c r="D14" i="14641" s="1"/>
  <c r="L58" i="14636"/>
  <c r="M14" i="14641" s="1"/>
  <c r="L15" i="14640"/>
  <c r="L18" i="14640" s="1"/>
  <c r="L20" i="14640" s="1"/>
  <c r="L23" i="14640" s="1"/>
  <c r="J27" i="14636"/>
  <c r="N20" i="14636"/>
  <c r="J16" i="14640"/>
  <c r="N16" i="14640" s="1"/>
  <c r="I30" i="14667"/>
  <c r="I39" i="14667"/>
  <c r="I37" i="14667"/>
  <c r="I26" i="14667"/>
  <c r="I42" i="14667"/>
  <c r="E42" i="14712"/>
  <c r="I34" i="14667"/>
  <c r="I32" i="14667"/>
  <c r="I29" i="14667"/>
  <c r="I40" i="14667"/>
  <c r="I38" i="14667"/>
  <c r="I33" i="14667"/>
  <c r="I41" i="14667"/>
  <c r="I28" i="14667"/>
  <c r="I44" i="14667"/>
  <c r="E41" i="14712"/>
  <c r="I13" i="14667"/>
  <c r="E21" i="14712"/>
  <c r="M12" i="14696"/>
  <c r="I48" i="14667"/>
  <c r="D93" i="14649"/>
  <c r="E93" i="14649" s="1"/>
  <c r="I9" i="14706"/>
  <c r="I6" i="14706"/>
  <c r="I13" i="14706"/>
  <c r="I7" i="14706"/>
  <c r="I8" i="14706"/>
  <c r="I14" i="14706"/>
  <c r="I12" i="14706"/>
  <c r="I19" i="14706"/>
  <c r="I11" i="14706"/>
  <c r="I20" i="14706"/>
  <c r="I22" i="14706"/>
  <c r="I17" i="14706"/>
  <c r="I10" i="14706"/>
  <c r="I16" i="14706"/>
  <c r="I21" i="14706"/>
  <c r="E8" i="14712"/>
  <c r="I19" i="14667"/>
  <c r="D25" i="4128"/>
  <c r="D21" i="4128"/>
  <c r="I22" i="14667"/>
  <c r="D6" i="4128"/>
  <c r="C50" i="14649" s="1"/>
  <c r="E22" i="14712"/>
  <c r="I9" i="14667"/>
  <c r="E25" i="14712"/>
  <c r="I14" i="14667"/>
  <c r="E23" i="14712"/>
  <c r="I8" i="14667"/>
  <c r="I7" i="14667"/>
  <c r="I17" i="14667"/>
  <c r="I15" i="14667"/>
  <c r="I16" i="14667"/>
  <c r="I11" i="14667"/>
  <c r="I6" i="14667"/>
  <c r="I18" i="14667"/>
  <c r="I5" i="14667"/>
  <c r="I20" i="14667"/>
  <c r="D14" i="4128"/>
  <c r="I21" i="14667"/>
  <c r="D43" i="4128"/>
  <c r="D20" i="4128"/>
  <c r="I45" i="14667"/>
  <c r="D42" i="4128"/>
  <c r="I14" i="14641"/>
  <c r="D18" i="14682"/>
  <c r="D25" i="14682" s="1"/>
  <c r="D99" i="14707"/>
  <c r="D101" i="14707" s="1"/>
  <c r="B58" i="14636"/>
  <c r="B15" i="14640"/>
  <c r="I47" i="14706" l="1"/>
  <c r="E47" i="14712"/>
  <c r="E49" i="14712" s="1"/>
  <c r="I46" i="14667"/>
  <c r="G16" i="14617"/>
  <c r="N27" i="14636"/>
  <c r="I24" i="14706"/>
  <c r="E84" i="14690"/>
  <c r="C93" i="14649"/>
  <c r="J15" i="14640"/>
  <c r="J58" i="14636"/>
  <c r="K14" i="14641" s="1"/>
  <c r="I24" i="14667"/>
  <c r="C38" i="14710"/>
  <c r="C81" i="14707"/>
  <c r="D105" i="14707"/>
  <c r="D130" i="14707" s="1"/>
  <c r="D53" i="14682"/>
  <c r="B28" i="14681"/>
  <c r="C14" i="14641"/>
  <c r="B18" i="14640"/>
  <c r="E28" i="14712"/>
  <c r="E30" i="14712" s="1"/>
  <c r="H16" i="14617" l="1"/>
  <c r="G18" i="14617"/>
  <c r="F44" i="14712"/>
  <c r="O20" i="14636"/>
  <c r="E14" i="14657"/>
  <c r="N58" i="14636"/>
  <c r="F7" i="14643"/>
  <c r="F10" i="14643" s="1"/>
  <c r="F23" i="14643" s="1"/>
  <c r="O18" i="14636"/>
  <c r="O23" i="14636" a="1"/>
  <c r="O19" i="14636"/>
  <c r="O7" i="14636" a="1"/>
  <c r="J18" i="14640"/>
  <c r="N15" i="14640"/>
  <c r="C25" i="14641"/>
  <c r="C30" i="14641" s="1"/>
  <c r="O14" i="14641"/>
  <c r="B20" i="14640"/>
  <c r="O27" i="14636" l="1"/>
  <c r="O55" i="14636"/>
  <c r="O33" i="14636" a="1"/>
  <c r="O25" i="14636"/>
  <c r="O23" i="14636"/>
  <c r="O24" i="14636"/>
  <c r="E33" i="4128"/>
  <c r="H18" i="14617"/>
  <c r="G20" i="14617"/>
  <c r="D24" i="14710"/>
  <c r="D25" i="14710" s="1"/>
  <c r="D26" i="14710" s="1"/>
  <c r="D28" i="14710" s="1"/>
  <c r="I18" i="14617"/>
  <c r="D40" i="14649"/>
  <c r="D71" i="14707" s="1"/>
  <c r="O13" i="14636"/>
  <c r="O11" i="14636"/>
  <c r="O15" i="14636"/>
  <c r="O14" i="14636"/>
  <c r="O9" i="14636"/>
  <c r="O10" i="14636"/>
  <c r="O7" i="14636"/>
  <c r="O8" i="14636"/>
  <c r="O12" i="14636"/>
  <c r="J20" i="14640"/>
  <c r="N18" i="14640"/>
  <c r="D44" i="14707"/>
  <c r="F17" i="14643"/>
  <c r="F24" i="14643"/>
  <c r="D45" i="14707" s="1"/>
  <c r="F31" i="14643"/>
  <c r="C31" i="14641"/>
  <c r="E13" i="14684"/>
  <c r="B23" i="14640"/>
  <c r="O42" i="14636" l="1"/>
  <c r="O41" i="14636"/>
  <c r="O39" i="14636"/>
  <c r="O50" i="14636"/>
  <c r="O47" i="14636"/>
  <c r="O37" i="14636"/>
  <c r="O35" i="14636"/>
  <c r="O51" i="14636"/>
  <c r="O36" i="14636"/>
  <c r="O45" i="14636"/>
  <c r="O33" i="14636"/>
  <c r="O44" i="14636"/>
  <c r="O38" i="14636"/>
  <c r="O48" i="14636"/>
  <c r="O46" i="14636"/>
  <c r="O34" i="14636"/>
  <c r="O49" i="14636"/>
  <c r="O40" i="14636"/>
  <c r="O53" i="14636"/>
  <c r="O52" i="14636"/>
  <c r="O43" i="14636"/>
  <c r="O54" i="14636"/>
  <c r="G23" i="14617"/>
  <c r="D42" i="14649"/>
  <c r="H20" i="14617"/>
  <c r="J23" i="14640"/>
  <c r="N23" i="14640" s="1"/>
  <c r="N20" i="14640"/>
  <c r="E34" i="4128"/>
  <c r="D51" i="14649" s="1"/>
  <c r="D82" i="14707" s="1"/>
  <c r="D76" i="14649"/>
  <c r="E76" i="14649" s="1"/>
  <c r="C33" i="14641"/>
  <c r="C35" i="14641" s="1"/>
  <c r="B29" i="14640"/>
  <c r="H23" i="14617" l="1"/>
  <c r="I23" i="14617"/>
  <c r="E12" i="4128"/>
  <c r="D73" i="14707"/>
  <c r="D38" i="14707"/>
  <c r="C58" i="14649"/>
  <c r="C39" i="14648"/>
  <c r="D95" i="14648"/>
  <c r="C37" i="14648"/>
  <c r="B31" i="14640"/>
  <c r="D44" i="14648" l="1"/>
  <c r="D97" i="14648"/>
  <c r="C38" i="14648"/>
  <c r="D42" i="14648"/>
  <c r="C25" i="14640" l="1"/>
  <c r="D10" i="14641"/>
  <c r="D43" i="14648"/>
  <c r="D49" i="14648" s="1"/>
  <c r="D11" i="14641" l="1"/>
  <c r="C28" i="14681"/>
  <c r="D16" i="14641"/>
  <c r="C26" i="14640"/>
  <c r="C27" i="14640" s="1"/>
  <c r="C29" i="14640" l="1"/>
  <c r="D29" i="14641"/>
  <c r="D25" i="14641"/>
  <c r="D30" i="14641" s="1"/>
  <c r="C31" i="14640" l="1"/>
  <c r="D31" i="14641"/>
  <c r="D33" i="14641" l="1"/>
  <c r="D35" i="14641" s="1"/>
  <c r="E95" i="14648" l="1"/>
  <c r="D39" i="14648"/>
  <c r="D37" i="14648"/>
  <c r="E97" i="14648" l="1"/>
  <c r="E44" i="14648"/>
  <c r="E42" i="14648"/>
  <c r="D38" i="14648"/>
  <c r="E10" i="14641" l="1"/>
  <c r="D25" i="14640"/>
  <c r="E43" i="14648"/>
  <c r="E49" i="14648" s="1"/>
  <c r="E11" i="14641" l="1"/>
  <c r="D28" i="14681"/>
  <c r="E16" i="14641"/>
  <c r="D26" i="14640"/>
  <c r="D27" i="14640" s="1"/>
  <c r="E29" i="14641" l="1"/>
  <c r="D29" i="14640"/>
  <c r="E29" i="14681"/>
  <c r="E31" i="14681" s="1"/>
  <c r="E25" i="14641"/>
  <c r="E30" i="14641" s="1"/>
  <c r="E31" i="14641" l="1"/>
  <c r="D31" i="14640"/>
  <c r="F23" i="14641"/>
  <c r="E33" i="14641" l="1"/>
  <c r="E35" i="14641" s="1"/>
  <c r="F95" i="14648" l="1"/>
  <c r="E39" i="14648"/>
  <c r="E37" i="14648"/>
  <c r="F97" i="14648" l="1"/>
  <c r="F44" i="14648"/>
  <c r="E38" i="14648"/>
  <c r="F42" i="14648"/>
  <c r="E25" i="14640" l="1"/>
  <c r="F10" i="14641"/>
  <c r="F43" i="14648"/>
  <c r="F49" i="14648" s="1"/>
  <c r="F11" i="14641" l="1"/>
  <c r="E28" i="14681"/>
  <c r="E26" i="14640"/>
  <c r="E27" i="14640" s="1"/>
  <c r="F16" i="14641"/>
  <c r="E29" i="14640" l="1"/>
  <c r="F29" i="14641"/>
  <c r="F25" i="14641"/>
  <c r="F30" i="14641" s="1"/>
  <c r="E31" i="14640" l="1"/>
  <c r="F31" i="14641"/>
  <c r="F33" i="14641" l="1"/>
  <c r="F35" i="14641" s="1"/>
  <c r="G95" i="14648" l="1"/>
  <c r="F39" i="14648"/>
  <c r="F37" i="14648"/>
  <c r="G97" i="14648" l="1"/>
  <c r="G44" i="14648"/>
  <c r="F38" i="14648"/>
  <c r="G42" i="14648"/>
  <c r="G10" i="14641" l="1"/>
  <c r="F25" i="14640"/>
  <c r="G43" i="14648"/>
  <c r="G49" i="14648" s="1"/>
  <c r="G11" i="14641" l="1"/>
  <c r="F28" i="14681"/>
  <c r="F26" i="14640"/>
  <c r="F27" i="14640" s="1"/>
  <c r="G16" i="14641"/>
  <c r="G29" i="14641" l="1"/>
  <c r="F29" i="14640"/>
  <c r="G25" i="14641"/>
  <c r="G30" i="14641" s="1"/>
  <c r="G31" i="14641" l="1"/>
  <c r="F31" i="14640"/>
  <c r="G33" i="14641" l="1"/>
  <c r="G35" i="14641" s="1"/>
  <c r="G37" i="14648" l="1"/>
  <c r="H95" i="14648"/>
  <c r="G39" i="14648"/>
  <c r="G38" i="14648" l="1"/>
  <c r="H42" i="14648"/>
  <c r="H97" i="14648"/>
  <c r="H44" i="14648"/>
  <c r="H43" i="14648" l="1"/>
  <c r="H49" i="14648" s="1"/>
  <c r="H10" i="14641"/>
  <c r="G25" i="14640"/>
  <c r="G28" i="14681" l="1"/>
  <c r="G26" i="14640"/>
  <c r="G27" i="14640" s="1"/>
  <c r="H16" i="14641"/>
  <c r="H11" i="14641"/>
  <c r="H29" i="14681" l="1"/>
  <c r="H31" i="14681" s="1"/>
  <c r="H25" i="14641"/>
  <c r="H30" i="14641" s="1"/>
  <c r="H29" i="14641"/>
  <c r="G29" i="14640"/>
  <c r="I23" i="14641" l="1"/>
  <c r="H31" i="14641"/>
  <c r="G31" i="14640"/>
  <c r="H33" i="14641" l="1"/>
  <c r="H35" i="14641" s="1"/>
  <c r="H39" i="14648" l="1"/>
  <c r="I95" i="14648"/>
  <c r="H37" i="14648"/>
  <c r="I44" i="14648" l="1"/>
  <c r="I97" i="14648"/>
  <c r="I42" i="14648"/>
  <c r="H38" i="14648"/>
  <c r="H25" i="14640" l="1"/>
  <c r="I10" i="14641"/>
  <c r="I43" i="14648"/>
  <c r="I49" i="14648" s="1"/>
  <c r="I11" i="14641" l="1"/>
  <c r="H28" i="14681"/>
  <c r="I16" i="14641"/>
  <c r="H26" i="14640"/>
  <c r="H27" i="14640" s="1"/>
  <c r="H29" i="14640" l="1"/>
  <c r="I29" i="14641"/>
  <c r="I25" i="14641"/>
  <c r="I30" i="14641" s="1"/>
  <c r="H31" i="14640" l="1"/>
  <c r="I31" i="14641"/>
  <c r="I33" i="14641" l="1"/>
  <c r="I35" i="14641" s="1"/>
  <c r="I37" i="14648" l="1"/>
  <c r="J95" i="14648"/>
  <c r="I39" i="14648"/>
  <c r="I38" i="14648" l="1"/>
  <c r="J42" i="14648"/>
  <c r="J97" i="14648"/>
  <c r="J44" i="14648"/>
  <c r="J43" i="14648" l="1"/>
  <c r="J49" i="14648" s="1"/>
  <c r="J10" i="14641"/>
  <c r="I25" i="14640"/>
  <c r="I28" i="14681" l="1"/>
  <c r="J16" i="14641"/>
  <c r="I26" i="14640"/>
  <c r="I27" i="14640" s="1"/>
  <c r="J11" i="14641"/>
  <c r="J25" i="14641" l="1"/>
  <c r="J30" i="14641" s="1"/>
  <c r="J29" i="14641"/>
  <c r="I29" i="14640"/>
  <c r="J31" i="14641" l="1"/>
  <c r="I31" i="14640"/>
  <c r="J33" i="14641" l="1"/>
  <c r="J35" i="14641" s="1"/>
  <c r="J39" i="14648" l="1"/>
  <c r="K95" i="14648"/>
  <c r="J37" i="14648"/>
  <c r="K44" i="14648" l="1"/>
  <c r="K97" i="14648"/>
  <c r="K42" i="14648"/>
  <c r="J38" i="14648"/>
  <c r="J25" i="14640" l="1"/>
  <c r="K10" i="14641"/>
  <c r="K43" i="14648"/>
  <c r="K49" i="14648" s="1"/>
  <c r="K11" i="14641" l="1"/>
  <c r="J28" i="14681"/>
  <c r="J26" i="14640"/>
  <c r="J27" i="14640" s="1"/>
  <c r="K16" i="14641"/>
  <c r="J29" i="14640" l="1"/>
  <c r="K29" i="14641"/>
  <c r="K29" i="14681"/>
  <c r="K31" i="14681" s="1"/>
  <c r="K25" i="14641"/>
  <c r="K30" i="14641" s="1"/>
  <c r="J31" i="14640" l="1"/>
  <c r="K31" i="14641"/>
  <c r="L23" i="14641"/>
  <c r="O23" i="14641" s="1"/>
  <c r="E20" i="14684" s="1"/>
  <c r="K33" i="14641" l="1"/>
  <c r="K35" i="14641" s="1"/>
  <c r="L95" i="14648" l="1"/>
  <c r="K39" i="14648"/>
  <c r="K37" i="14648"/>
  <c r="L97" i="14648" l="1"/>
  <c r="L44" i="14648"/>
  <c r="K38" i="14648"/>
  <c r="L42" i="14648"/>
  <c r="L10" i="14641" l="1"/>
  <c r="K25" i="14640"/>
  <c r="L43" i="14648"/>
  <c r="L49" i="14648" s="1"/>
  <c r="L11" i="14641" l="1"/>
  <c r="K28" i="14681"/>
  <c r="L16" i="14641"/>
  <c r="K26" i="14640"/>
  <c r="K27" i="14640" s="1"/>
  <c r="L29" i="14641" l="1"/>
  <c r="K29" i="14640"/>
  <c r="L25" i="14641"/>
  <c r="L30" i="14641" s="1"/>
  <c r="L31" i="14641" l="1"/>
  <c r="K31" i="14640"/>
  <c r="L33" i="14641" l="1"/>
  <c r="L35" i="14641" s="1"/>
  <c r="L39" i="14648" l="1"/>
  <c r="M95" i="14648"/>
  <c r="L37" i="14648"/>
  <c r="M44" i="14648" l="1"/>
  <c r="M97" i="14648"/>
  <c r="L38" i="14648"/>
  <c r="M42" i="14648"/>
  <c r="L25" i="14640" l="1"/>
  <c r="M10" i="14641"/>
  <c r="M43" i="14648"/>
  <c r="M49" i="14648" s="1"/>
  <c r="M11" i="14641" l="1"/>
  <c r="L28" i="14681"/>
  <c r="L26" i="14640"/>
  <c r="L27" i="14640" s="1"/>
  <c r="M16" i="14641"/>
  <c r="L29" i="14640" l="1"/>
  <c r="M29" i="14641"/>
  <c r="M25" i="14641"/>
  <c r="M30" i="14641" s="1"/>
  <c r="L31" i="14640" l="1"/>
  <c r="M31" i="14641"/>
  <c r="M33" i="14641" l="1"/>
  <c r="M35" i="14641" s="1"/>
  <c r="N95" i="14648" l="1"/>
  <c r="M39" i="14648"/>
  <c r="M37" i="14648"/>
  <c r="O95" i="14648" l="1"/>
  <c r="O97" i="14648" s="1"/>
  <c r="N97" i="14648"/>
  <c r="N44" i="14648"/>
  <c r="O44" i="14648" s="1"/>
  <c r="N42" i="14648"/>
  <c r="M38" i="14648"/>
  <c r="M25" i="14640" l="1"/>
  <c r="N10" i="14641"/>
  <c r="O42" i="14648"/>
  <c r="N43" i="14648"/>
  <c r="N25" i="14640" l="1"/>
  <c r="O10" i="14641"/>
  <c r="E9" i="14684" s="1"/>
  <c r="E10" i="14684" s="1"/>
  <c r="N11" i="14641"/>
  <c r="O43" i="14648"/>
  <c r="O49" i="14648" s="1"/>
  <c r="N49" i="14648"/>
  <c r="O11" i="14641" l="1"/>
  <c r="N29" i="14641"/>
  <c r="M26" i="14640"/>
  <c r="N16" i="14641"/>
  <c r="M28" i="14681"/>
  <c r="N28" i="14681" s="1"/>
  <c r="N29" i="14681" s="1"/>
  <c r="N31" i="14681" s="1"/>
  <c r="O29" i="14641" l="1"/>
  <c r="M27" i="14640"/>
  <c r="N26" i="14640"/>
  <c r="G25" i="14617" s="1" a="1"/>
  <c r="O16" i="14641"/>
  <c r="N25" i="14641"/>
  <c r="N30" i="14641" s="1"/>
  <c r="E24" i="14657"/>
  <c r="E25" i="14657" s="1"/>
  <c r="C23" i="14676"/>
  <c r="B40" i="14681"/>
  <c r="M29" i="14640" l="1"/>
  <c r="N27" i="14640"/>
  <c r="G25" i="14617"/>
  <c r="G26" i="14617"/>
  <c r="O25" i="14641"/>
  <c r="E15" i="14684"/>
  <c r="E22" i="14684" s="1"/>
  <c r="E25" i="14684" s="1"/>
  <c r="M23" i="14657"/>
  <c r="O30" i="14641"/>
  <c r="O31" i="14641" s="1"/>
  <c r="N31" i="14641"/>
  <c r="N29" i="14640" l="1"/>
  <c r="G29" i="14617" s="1"/>
  <c r="M31" i="14640"/>
  <c r="L25" i="14617"/>
  <c r="G27" i="14617"/>
  <c r="H25" i="14617" s="1" a="1"/>
  <c r="I26" i="14617"/>
  <c r="F43" i="14712"/>
  <c r="N33" i="14641"/>
  <c r="N35" i="14641" s="1"/>
  <c r="C76" i="14649" l="1"/>
  <c r="G7" i="14659"/>
  <c r="G24" i="14659"/>
  <c r="G9" i="14659"/>
  <c r="H29" i="14617"/>
  <c r="I29" i="14617"/>
  <c r="H25" i="14617"/>
  <c r="H26" i="14617"/>
  <c r="H27" i="14617"/>
  <c r="E36" i="4128"/>
  <c r="I27" i="14617"/>
  <c r="E8" i="14696"/>
  <c r="F12" i="14643"/>
  <c r="D41" i="14649"/>
  <c r="D72" i="14707" s="1"/>
  <c r="E17" i="14657"/>
  <c r="E18" i="14657" s="1"/>
  <c r="E20" i="14657" s="1"/>
  <c r="J39" i="14667"/>
  <c r="B33" i="14676"/>
  <c r="B52" i="14648" s="1"/>
  <c r="J28" i="14706"/>
  <c r="N37" i="14648"/>
  <c r="C39" i="14641"/>
  <c r="E33" i="14684"/>
  <c r="J6" i="14706"/>
  <c r="B35" i="14676"/>
  <c r="J22" i="14667"/>
  <c r="C40" i="14641"/>
  <c r="E27" i="14684"/>
  <c r="N39" i="14648"/>
  <c r="O39" i="14648" s="1"/>
  <c r="C41" i="14641"/>
  <c r="B65" i="14684" a="1"/>
  <c r="I24" i="14659" l="1"/>
  <c r="E8" i="4128"/>
  <c r="H24" i="14659"/>
  <c r="H9" i="14659"/>
  <c r="L9" i="14659"/>
  <c r="F18" i="14643"/>
  <c r="F27" i="14643"/>
  <c r="M20" i="14657"/>
  <c r="F32" i="14657"/>
  <c r="F33" i="14657" s="1"/>
  <c r="C57" i="14648"/>
  <c r="B53" i="14648"/>
  <c r="C58" i="14648" s="1"/>
  <c r="O37" i="14648"/>
  <c r="E27" i="4128" s="1"/>
  <c r="N38" i="14648"/>
  <c r="O38" i="14648" s="1"/>
  <c r="C85" i="14649"/>
  <c r="E34" i="14684"/>
  <c r="K20" i="14686" s="1"/>
  <c r="D85" i="14649"/>
  <c r="E85" i="14649" s="1"/>
  <c r="D39" i="14641"/>
  <c r="E35" i="14684" s="1"/>
  <c r="F27" i="14690"/>
  <c r="B54" i="14648"/>
  <c r="C59" i="14648" s="1"/>
  <c r="C100" i="14648"/>
  <c r="E37" i="4128"/>
  <c r="T62" i="4128" s="1"/>
  <c r="T63" i="4128" s="1"/>
  <c r="D44" i="14649"/>
  <c r="D41" i="14641"/>
  <c r="E30" i="14684" s="1"/>
  <c r="E29" i="14684"/>
  <c r="E65" i="14684"/>
  <c r="AC78" i="14684" s="1"/>
  <c r="J65" i="14684"/>
  <c r="AH78" i="14684" s="1"/>
  <c r="G65" i="14684"/>
  <c r="AE78" i="14684" s="1"/>
  <c r="L65" i="14684"/>
  <c r="AJ78" i="14684" s="1"/>
  <c r="C65" i="14684"/>
  <c r="AA78" i="14684" s="1"/>
  <c r="M65" i="14684"/>
  <c r="AK78" i="14684" s="1"/>
  <c r="F65" i="14684"/>
  <c r="AD78" i="14684" s="1"/>
  <c r="H65" i="14684"/>
  <c r="AF78" i="14684" s="1"/>
  <c r="D65" i="14684"/>
  <c r="AB78" i="14684" s="1"/>
  <c r="K65" i="14684"/>
  <c r="AI78" i="14684" s="1"/>
  <c r="B65" i="14684"/>
  <c r="Z78" i="14684" s="1"/>
  <c r="I65" i="14684"/>
  <c r="AG78" i="14684" s="1"/>
  <c r="F32" i="14643" l="1"/>
  <c r="F35" i="14643" s="1"/>
  <c r="D29" i="14710"/>
  <c r="D47" i="14707"/>
  <c r="F28" i="14643"/>
  <c r="D48" i="14707" s="1"/>
  <c r="T13" i="14657"/>
  <c r="T10" i="14657"/>
  <c r="T12" i="14657"/>
  <c r="T8" i="14657"/>
  <c r="T11" i="14657"/>
  <c r="T15" i="14657"/>
  <c r="T14" i="14657"/>
  <c r="M29" i="14657"/>
  <c r="T9" i="14657"/>
  <c r="F37" i="14657"/>
  <c r="F36" i="14657"/>
  <c r="C64" i="14648"/>
  <c r="D48" i="14622"/>
  <c r="F53" i="14690"/>
  <c r="C102" i="14648"/>
  <c r="D75" i="14707"/>
  <c r="D30" i="14710"/>
  <c r="E58" i="14649"/>
  <c r="F39" i="14657" l="1"/>
  <c r="F40" i="14657" s="1"/>
  <c r="G17" i="14673" s="1"/>
  <c r="E37" i="14686"/>
  <c r="C16" i="14676"/>
  <c r="B26" i="14670"/>
  <c r="E84" i="14689"/>
  <c r="E86" i="14689" s="1"/>
  <c r="C10" i="14676"/>
  <c r="B25" i="14670"/>
  <c r="T16" i="14657"/>
  <c r="M22" i="14657" s="1"/>
  <c r="E38" i="14686" l="1"/>
  <c r="C11" i="14676"/>
  <c r="B27" i="14670"/>
  <c r="M25" i="14657"/>
  <c r="G31" i="14617"/>
  <c r="J43" i="14706"/>
  <c r="J30" i="14667"/>
  <c r="M27" i="14657"/>
  <c r="D39" i="14710" s="1"/>
  <c r="D18" i="14672" l="1" a="1"/>
  <c r="D18" i="14672" s="1"/>
  <c r="D20" i="14672" s="1"/>
  <c r="C18" i="14672" a="1"/>
  <c r="C18" i="14672" s="1"/>
  <c r="C20" i="14672" s="1"/>
  <c r="L18" i="14672" a="1"/>
  <c r="L18" i="14672" s="1"/>
  <c r="L20" i="14672" s="1"/>
  <c r="B18" i="14672" a="1"/>
  <c r="B18" i="14672" s="1"/>
  <c r="B20" i="14672" s="1"/>
  <c r="E18" i="14672" a="1"/>
  <c r="E18" i="14672" s="1"/>
  <c r="E20" i="14672" s="1"/>
  <c r="M18" i="14672" a="1"/>
  <c r="M18" i="14672" s="1"/>
  <c r="M20" i="14672" s="1"/>
  <c r="I18" i="14672" a="1"/>
  <c r="I18" i="14672" s="1"/>
  <c r="I20" i="14672" s="1"/>
  <c r="F18" i="14672" a="1"/>
  <c r="F18" i="14672" s="1"/>
  <c r="H18" i="14672" a="1"/>
  <c r="H18" i="14672" s="1"/>
  <c r="H20" i="14672" s="1"/>
  <c r="J18" i="14672" a="1"/>
  <c r="J18" i="14672" s="1"/>
  <c r="J20" i="14672" s="1"/>
  <c r="C29" i="14676"/>
  <c r="J9" i="14706"/>
  <c r="J19" i="14667"/>
  <c r="J42" i="14667"/>
  <c r="J31" i="14706"/>
  <c r="J8" i="14676"/>
  <c r="M26" i="14657"/>
  <c r="H23" i="14676"/>
  <c r="G33" i="14617"/>
  <c r="I31" i="14617"/>
  <c r="H31" i="14617"/>
  <c r="L41" i="14706"/>
  <c r="J39" i="14706"/>
  <c r="E7" i="14696"/>
  <c r="J26" i="14667"/>
  <c r="L28" i="14667"/>
  <c r="E41" i="4128"/>
  <c r="G18" i="14672" a="1"/>
  <c r="G18" i="14672" s="1"/>
  <c r="G20" i="14672" s="1"/>
  <c r="K18" i="14672" a="1"/>
  <c r="K18" i="14672" s="1"/>
  <c r="K20" i="14672" s="1"/>
  <c r="E47" i="14686" a="1"/>
  <c r="E47" i="14686" s="1"/>
  <c r="E49" i="14686" s="1"/>
  <c r="D27" i="14672" l="1"/>
  <c r="D16" i="14670"/>
  <c r="C27" i="14672"/>
  <c r="C16" i="14670"/>
  <c r="L27" i="14672"/>
  <c r="L16" i="14670"/>
  <c r="E27" i="14672"/>
  <c r="E16" i="14670"/>
  <c r="M27" i="14672"/>
  <c r="M16" i="14670"/>
  <c r="J16" i="14670"/>
  <c r="J27" i="14672"/>
  <c r="I27" i="14672"/>
  <c r="I16" i="14670"/>
  <c r="F20" i="14672"/>
  <c r="N20" i="14672" s="1"/>
  <c r="N18" i="14672"/>
  <c r="E16" i="14682" s="1"/>
  <c r="H16" i="14670"/>
  <c r="H27" i="14672"/>
  <c r="B27" i="14672"/>
  <c r="B16" i="14670"/>
  <c r="J5" i="14706"/>
  <c r="J13" i="14667"/>
  <c r="J37" i="14667"/>
  <c r="J26" i="14706"/>
  <c r="J47" i="14706" s="1"/>
  <c r="O8" i="14676"/>
  <c r="F7" i="14684" s="1"/>
  <c r="E26" i="4128"/>
  <c r="H33" i="14617"/>
  <c r="D43" i="14649"/>
  <c r="F9" i="14712"/>
  <c r="K18" i="14686"/>
  <c r="F10" i="14712"/>
  <c r="I33" i="14617"/>
  <c r="J45" i="14706"/>
  <c r="K51" i="14706"/>
  <c r="D41" i="14710"/>
  <c r="E14" i="14696"/>
  <c r="E4" i="4128"/>
  <c r="D49" i="14649" s="1"/>
  <c r="F58" i="14649"/>
  <c r="K50" i="14667"/>
  <c r="J44" i="14667"/>
  <c r="G16" i="14670"/>
  <c r="G27" i="14672"/>
  <c r="K27" i="14672"/>
  <c r="K16" i="14670"/>
  <c r="D15" i="14670" l="1"/>
  <c r="D18" i="14670" s="1"/>
  <c r="D20" i="14670" s="1"/>
  <c r="D23" i="14670" s="1"/>
  <c r="D58" i="14672"/>
  <c r="E14" i="14676" s="1"/>
  <c r="C15" i="14670"/>
  <c r="C18" i="14670" s="1"/>
  <c r="C20" i="14670" s="1"/>
  <c r="C23" i="14670" s="1"/>
  <c r="C58" i="14672"/>
  <c r="D14" i="14676" s="1"/>
  <c r="I58" i="14672"/>
  <c r="J14" i="14676" s="1"/>
  <c r="I15" i="14670"/>
  <c r="I18" i="14670" s="1"/>
  <c r="I20" i="14670" s="1"/>
  <c r="I23" i="14670" s="1"/>
  <c r="L58" i="14672"/>
  <c r="M14" i="14676" s="1"/>
  <c r="L15" i="14670"/>
  <c r="L18" i="14670" s="1"/>
  <c r="L20" i="14670" s="1"/>
  <c r="L23" i="14670" s="1"/>
  <c r="E58" i="14672"/>
  <c r="F14" i="14676" s="1"/>
  <c r="E15" i="14670"/>
  <c r="E18" i="14670" s="1"/>
  <c r="E20" i="14670" s="1"/>
  <c r="E23" i="14670" s="1"/>
  <c r="M58" i="14672"/>
  <c r="N14" i="14676" s="1"/>
  <c r="M15" i="14670"/>
  <c r="M18" i="14670" s="1"/>
  <c r="M20" i="14670" s="1"/>
  <c r="M23" i="14670" s="1"/>
  <c r="J58" i="14672"/>
  <c r="K14" i="14676" s="1"/>
  <c r="J15" i="14670"/>
  <c r="J18" i="14670" s="1"/>
  <c r="J20" i="14670" s="1"/>
  <c r="J23" i="14670" s="1"/>
  <c r="H58" i="14672"/>
  <c r="I14" i="14676" s="1"/>
  <c r="H15" i="14670"/>
  <c r="H18" i="14670" s="1"/>
  <c r="H20" i="14670" s="1"/>
  <c r="H23" i="14670" s="1"/>
  <c r="F16" i="14670"/>
  <c r="N16" i="14670" s="1"/>
  <c r="F27" i="14672"/>
  <c r="J46" i="14667"/>
  <c r="F7" i="14712"/>
  <c r="K31" i="14706"/>
  <c r="K39" i="14706"/>
  <c r="E99" i="14707"/>
  <c r="E101" i="14707" s="1"/>
  <c r="E18" i="14682"/>
  <c r="E25" i="14682" s="1"/>
  <c r="N27" i="14672"/>
  <c r="O20" i="14672" s="1"/>
  <c r="J16" i="14617"/>
  <c r="B15" i="14670"/>
  <c r="B58" i="14672"/>
  <c r="J24" i="14706"/>
  <c r="F6" i="14712"/>
  <c r="E15" i="4128"/>
  <c r="J24" i="14667"/>
  <c r="E31" i="4128"/>
  <c r="J45" i="14667"/>
  <c r="E19" i="4128"/>
  <c r="E18" i="4128"/>
  <c r="F45" i="14712"/>
  <c r="J46" i="14706"/>
  <c r="K46" i="14706" s="1"/>
  <c r="K26" i="14706"/>
  <c r="D58" i="14649"/>
  <c r="D39" i="14707"/>
  <c r="D74" i="14707"/>
  <c r="K43" i="14706"/>
  <c r="K28" i="14706"/>
  <c r="K41" i="14706"/>
  <c r="K32" i="14706"/>
  <c r="K30" i="14706"/>
  <c r="K40" i="14706"/>
  <c r="K27" i="14706"/>
  <c r="K36" i="14706"/>
  <c r="K35" i="14706"/>
  <c r="K34" i="14706"/>
  <c r="K29" i="14706"/>
  <c r="K42" i="14706"/>
  <c r="K37" i="14706"/>
  <c r="K45" i="14706"/>
  <c r="J49" i="14706"/>
  <c r="E16" i="14696"/>
  <c r="D42" i="14710"/>
  <c r="D43" i="14710" s="1"/>
  <c r="L13" i="14696"/>
  <c r="D80" i="14707"/>
  <c r="D37" i="14710"/>
  <c r="E10" i="4128"/>
  <c r="J48" i="14667"/>
  <c r="E22" i="4128"/>
  <c r="G58" i="14672"/>
  <c r="G15" i="14670"/>
  <c r="G18" i="14670" s="1"/>
  <c r="G20" i="14670" s="1"/>
  <c r="G23" i="14670" s="1"/>
  <c r="K15" i="14670"/>
  <c r="K18" i="14670" s="1"/>
  <c r="K20" i="14670" s="1"/>
  <c r="K23" i="14670" s="1"/>
  <c r="K58" i="14672"/>
  <c r="K34" i="14667" l="1"/>
  <c r="K30" i="14667"/>
  <c r="K39" i="14667"/>
  <c r="K28" i="14667"/>
  <c r="K33" i="14667"/>
  <c r="K38" i="14667"/>
  <c r="K41" i="14667"/>
  <c r="K27" i="14667"/>
  <c r="J54" i="14706"/>
  <c r="K5" i="14706"/>
  <c r="K40" i="14667"/>
  <c r="K35" i="14667"/>
  <c r="K29" i="14667"/>
  <c r="K32" i="14667"/>
  <c r="K43" i="14667"/>
  <c r="K42" i="14667"/>
  <c r="K26" i="14667"/>
  <c r="K49" i="14706"/>
  <c r="F42" i="14712"/>
  <c r="K37" i="14667"/>
  <c r="K44" i="14667"/>
  <c r="F15" i="14670"/>
  <c r="F58" i="14672"/>
  <c r="G14" i="14676" s="1"/>
  <c r="K47" i="14706"/>
  <c r="E105" i="14707"/>
  <c r="E130" i="14707" s="1"/>
  <c r="E53" i="14682"/>
  <c r="O18" i="14672"/>
  <c r="F14" i="14657"/>
  <c r="N58" i="14672"/>
  <c r="O27" i="14672" s="1"/>
  <c r="O7" i="14672" a="1"/>
  <c r="O23" i="14672" a="1"/>
  <c r="G7" i="14643"/>
  <c r="G10" i="14643" s="1"/>
  <c r="O19" i="14672"/>
  <c r="G44" i="14712"/>
  <c r="J18" i="14617"/>
  <c r="K16" i="14617"/>
  <c r="B18" i="14670"/>
  <c r="B37" i="14681"/>
  <c r="C14" i="14676"/>
  <c r="K9" i="14706"/>
  <c r="K6" i="14706"/>
  <c r="K22" i="14706"/>
  <c r="K13" i="14706"/>
  <c r="K10" i="14706"/>
  <c r="K16" i="14706"/>
  <c r="K8" i="14706"/>
  <c r="K19" i="14706"/>
  <c r="K20" i="14706"/>
  <c r="K12" i="14706"/>
  <c r="K21" i="14706"/>
  <c r="K11" i="14706"/>
  <c r="K14" i="14706"/>
  <c r="K17" i="14706"/>
  <c r="K7" i="14706"/>
  <c r="F8" i="14712"/>
  <c r="K19" i="14667"/>
  <c r="E25" i="4128"/>
  <c r="E6" i="4128"/>
  <c r="D50" i="14649" s="1"/>
  <c r="K22" i="14667"/>
  <c r="E21" i="4128"/>
  <c r="F23" i="14712"/>
  <c r="F25" i="14712"/>
  <c r="K16" i="14667"/>
  <c r="K8" i="14667"/>
  <c r="E14" i="4128"/>
  <c r="K17" i="14667"/>
  <c r="K20" i="14667"/>
  <c r="F22" i="14712"/>
  <c r="K11" i="14667"/>
  <c r="K9" i="14667"/>
  <c r="K6" i="14667"/>
  <c r="K18" i="14667"/>
  <c r="K14" i="14667"/>
  <c r="K7" i="14667"/>
  <c r="K21" i="14667"/>
  <c r="K5" i="14667"/>
  <c r="K15" i="14667"/>
  <c r="E43" i="4128"/>
  <c r="E42" i="4128"/>
  <c r="E20" i="4128"/>
  <c r="K45" i="14667"/>
  <c r="M13" i="14696"/>
  <c r="K48" i="14667"/>
  <c r="D94" i="14649"/>
  <c r="E94" i="14649" s="1"/>
  <c r="H14" i="14676"/>
  <c r="L14" i="14676"/>
  <c r="F21" i="14712"/>
  <c r="F41" i="14712"/>
  <c r="K13" i="14667"/>
  <c r="J53" i="14667"/>
  <c r="K24" i="14706" l="1"/>
  <c r="F47" i="14712"/>
  <c r="F49" i="14712" s="1"/>
  <c r="K46" i="14667"/>
  <c r="F28" i="14712"/>
  <c r="F30" i="14712" s="1"/>
  <c r="F18" i="14670"/>
  <c r="N15" i="14670"/>
  <c r="O33" i="14672" a="1"/>
  <c r="O55" i="14672"/>
  <c r="O12" i="14672"/>
  <c r="O15" i="14672"/>
  <c r="O11" i="14672"/>
  <c r="O7" i="14672"/>
  <c r="O14" i="14672"/>
  <c r="O13" i="14672"/>
  <c r="O9" i="14672"/>
  <c r="O10" i="14672"/>
  <c r="O8" i="14672"/>
  <c r="O24" i="14672"/>
  <c r="O23" i="14672"/>
  <c r="O25" i="14672"/>
  <c r="G23" i="14643"/>
  <c r="L18" i="14617"/>
  <c r="E40" i="14649"/>
  <c r="E71" i="14707" s="1"/>
  <c r="J20" i="14617"/>
  <c r="F33" i="4128"/>
  <c r="E24" i="14710"/>
  <c r="E25" i="14710" s="1"/>
  <c r="E26" i="14710" s="1"/>
  <c r="E28" i="14710" s="1"/>
  <c r="K18" i="14617"/>
  <c r="B20" i="14670"/>
  <c r="C25" i="14676"/>
  <c r="C30" i="14676" s="1"/>
  <c r="O14" i="14676"/>
  <c r="D81" i="14707"/>
  <c r="D38" i="14710"/>
  <c r="C94" i="14649"/>
  <c r="F84" i="14690"/>
  <c r="K24" i="14667"/>
  <c r="F20" i="14670" l="1"/>
  <c r="N18" i="14670"/>
  <c r="O53" i="14672"/>
  <c r="O35" i="14672"/>
  <c r="O39" i="14672"/>
  <c r="O37" i="14672"/>
  <c r="O38" i="14672"/>
  <c r="O47" i="14672"/>
  <c r="O48" i="14672"/>
  <c r="O34" i="14672"/>
  <c r="O51" i="14672"/>
  <c r="O50" i="14672"/>
  <c r="O43" i="14672"/>
  <c r="O33" i="14672"/>
  <c r="O54" i="14672"/>
  <c r="O44" i="14672"/>
  <c r="O40" i="14672"/>
  <c r="O41" i="14672"/>
  <c r="O49" i="14672"/>
  <c r="O52" i="14672"/>
  <c r="O45" i="14672"/>
  <c r="O36" i="14672"/>
  <c r="O46" i="14672"/>
  <c r="O42" i="14672"/>
  <c r="G17" i="14643"/>
  <c r="G31" i="14643"/>
  <c r="E44" i="14707"/>
  <c r="G24" i="14643"/>
  <c r="E45" i="14707" s="1"/>
  <c r="J23" i="14617"/>
  <c r="K20" i="14617"/>
  <c r="E42" i="14649"/>
  <c r="B23" i="14670"/>
  <c r="C31" i="14676"/>
  <c r="F13" i="14684"/>
  <c r="F23" i="14670" l="1"/>
  <c r="N23" i="14670" s="1"/>
  <c r="N20" i="14670"/>
  <c r="F34" i="4128"/>
  <c r="E51" i="14649" s="1"/>
  <c r="E82" i="14707" s="1"/>
  <c r="D77" i="14649"/>
  <c r="E77" i="14649" s="1"/>
  <c r="L23" i="14617"/>
  <c r="K23" i="14617"/>
  <c r="F12" i="4128"/>
  <c r="E38" i="14707"/>
  <c r="E73" i="14707"/>
  <c r="C59" i="14649"/>
  <c r="B29" i="14670"/>
  <c r="C33" i="14676"/>
  <c r="C35" i="14676" s="1"/>
  <c r="B31" i="14670" l="1"/>
  <c r="C54" i="14648"/>
  <c r="D100" i="14648"/>
  <c r="C52" i="14648"/>
  <c r="D59" i="14648" l="1"/>
  <c r="D102" i="14648"/>
  <c r="D57" i="14648"/>
  <c r="C53" i="14648"/>
  <c r="D10" i="14676" l="1"/>
  <c r="C25" i="14670"/>
  <c r="D58" i="14648"/>
  <c r="D64" i="14648" s="1"/>
  <c r="D11" i="14676" l="1"/>
  <c r="C37" i="14681"/>
  <c r="C26" i="14670"/>
  <c r="C27" i="14670" s="1"/>
  <c r="D16" i="14676"/>
  <c r="D29" i="14676" l="1"/>
  <c r="C29" i="14670"/>
  <c r="D25" i="14676"/>
  <c r="D30" i="14676" s="1"/>
  <c r="D31" i="14676" l="1"/>
  <c r="C31" i="14670"/>
  <c r="D33" i="14676" l="1"/>
  <c r="D35" i="14676" s="1"/>
  <c r="D54" i="14648" l="1"/>
  <c r="E100" i="14648"/>
  <c r="D52" i="14648"/>
  <c r="E59" i="14648" l="1"/>
  <c r="E102" i="14648"/>
  <c r="D53" i="14648"/>
  <c r="E57" i="14648"/>
  <c r="D25" i="14670" l="1"/>
  <c r="E10" i="14676"/>
  <c r="E58" i="14648"/>
  <c r="E64" i="14648" s="1"/>
  <c r="E11" i="14676" l="1"/>
  <c r="D37" i="14681"/>
  <c r="D26" i="14670"/>
  <c r="D27" i="14670" s="1"/>
  <c r="E16" i="14676"/>
  <c r="D29" i="14670" l="1"/>
  <c r="E29" i="14676"/>
  <c r="E38" i="14681"/>
  <c r="E40" i="14681" s="1"/>
  <c r="E25" i="14676"/>
  <c r="E30" i="14676" s="1"/>
  <c r="D31" i="14670" l="1"/>
  <c r="E31" i="14676"/>
  <c r="F23" i="14676"/>
  <c r="E33" i="14676" l="1"/>
  <c r="E35" i="14676" s="1"/>
  <c r="E54" i="14648" l="1"/>
  <c r="F100" i="14648"/>
  <c r="E52" i="14648"/>
  <c r="F59" i="14648" l="1"/>
  <c r="F102" i="14648"/>
  <c r="E53" i="14648"/>
  <c r="F57" i="14648"/>
  <c r="E25" i="14670" l="1"/>
  <c r="F10" i="14676"/>
  <c r="F58" i="14648"/>
  <c r="F64" i="14648" s="1"/>
  <c r="F11" i="14676" l="1"/>
  <c r="E37" i="14681"/>
  <c r="F16" i="14676"/>
  <c r="E26" i="14670"/>
  <c r="E27" i="14670" s="1"/>
  <c r="E29" i="14670" l="1"/>
  <c r="F29" i="14676"/>
  <c r="F25" i="14676"/>
  <c r="F30" i="14676" s="1"/>
  <c r="E31" i="14670" l="1"/>
  <c r="F31" i="14676"/>
  <c r="F33" i="14676" l="1"/>
  <c r="F35" i="14676" s="1"/>
  <c r="F54" i="14648" l="1"/>
  <c r="G100" i="14648"/>
  <c r="F52" i="14648"/>
  <c r="G59" i="14648" l="1"/>
  <c r="G102" i="14648"/>
  <c r="F53" i="14648"/>
  <c r="G57" i="14648"/>
  <c r="F25" i="14670" l="1"/>
  <c r="G10" i="14676"/>
  <c r="G58" i="14648"/>
  <c r="G64" i="14648" s="1"/>
  <c r="G11" i="14676" l="1"/>
  <c r="F37" i="14681"/>
  <c r="F26" i="14670"/>
  <c r="F27" i="14670" s="1"/>
  <c r="G16" i="14676"/>
  <c r="F29" i="14670" l="1"/>
  <c r="G29" i="14676"/>
  <c r="G25" i="14676"/>
  <c r="G30" i="14676" s="1"/>
  <c r="F31" i="14670" l="1"/>
  <c r="G31" i="14676"/>
  <c r="G33" i="14676" l="1"/>
  <c r="G35" i="14676" s="1"/>
  <c r="G54" i="14648" l="1"/>
  <c r="H100" i="14648"/>
  <c r="G52" i="14648"/>
  <c r="H59" i="14648" l="1"/>
  <c r="H102" i="14648"/>
  <c r="G53" i="14648"/>
  <c r="H57" i="14648"/>
  <c r="H10" i="14676" l="1"/>
  <c r="G25" i="14670"/>
  <c r="H58" i="14648"/>
  <c r="H64" i="14648" s="1"/>
  <c r="H11" i="14676" l="1"/>
  <c r="G37" i="14681"/>
  <c r="G26" i="14670"/>
  <c r="G27" i="14670" s="1"/>
  <c r="H16" i="14676"/>
  <c r="H29" i="14676" l="1"/>
  <c r="G29" i="14670"/>
  <c r="H38" i="14681"/>
  <c r="H40" i="14681" s="1"/>
  <c r="H25" i="14676"/>
  <c r="H30" i="14676" s="1"/>
  <c r="H31" i="14676" l="1"/>
  <c r="G31" i="14670"/>
  <c r="I23" i="14676"/>
  <c r="H33" i="14676" l="1"/>
  <c r="H35" i="14676" s="1"/>
  <c r="H52" i="14648" l="1"/>
  <c r="H54" i="14648"/>
  <c r="I100" i="14648"/>
  <c r="H53" i="14648" l="1"/>
  <c r="I57" i="14648"/>
  <c r="I59" i="14648"/>
  <c r="I102" i="14648"/>
  <c r="I58" i="14648" l="1"/>
  <c r="I64" i="14648" s="1"/>
  <c r="I10" i="14676"/>
  <c r="H25" i="14670"/>
  <c r="H37" i="14681" l="1"/>
  <c r="H26" i="14670"/>
  <c r="H27" i="14670" s="1"/>
  <c r="I16" i="14676"/>
  <c r="I11" i="14676"/>
  <c r="I25" i="14676" l="1"/>
  <c r="I30" i="14676" s="1"/>
  <c r="I29" i="14676"/>
  <c r="H29" i="14670"/>
  <c r="I31" i="14676" l="1"/>
  <c r="H31" i="14670"/>
  <c r="I33" i="14676" l="1"/>
  <c r="I35" i="14676" s="1"/>
  <c r="I54" i="14648" l="1"/>
  <c r="J100" i="14648"/>
  <c r="I52" i="14648"/>
  <c r="J59" i="14648" l="1"/>
  <c r="J102" i="14648"/>
  <c r="I53" i="14648"/>
  <c r="J57" i="14648"/>
  <c r="J10" i="14676" l="1"/>
  <c r="I25" i="14670"/>
  <c r="J58" i="14648"/>
  <c r="J64" i="14648" s="1"/>
  <c r="J11" i="14676" l="1"/>
  <c r="I37" i="14681"/>
  <c r="J16" i="14676"/>
  <c r="I26" i="14670"/>
  <c r="I27" i="14670" s="1"/>
  <c r="J29" i="14676" l="1"/>
  <c r="I29" i="14670"/>
  <c r="J25" i="14676"/>
  <c r="J30" i="14676" s="1"/>
  <c r="J31" i="14676" l="1"/>
  <c r="I31" i="14670"/>
  <c r="J33" i="14676" l="1"/>
  <c r="J35" i="14676" s="1"/>
  <c r="J52" i="14648" l="1"/>
  <c r="J54" i="14648"/>
  <c r="K100" i="14648"/>
  <c r="J53" i="14648" l="1"/>
  <c r="K57" i="14648"/>
  <c r="K59" i="14648"/>
  <c r="K102" i="14648"/>
  <c r="K58" i="14648" l="1"/>
  <c r="K64" i="14648" s="1"/>
  <c r="K10" i="14676"/>
  <c r="J25" i="14670"/>
  <c r="J37" i="14681" l="1"/>
  <c r="K16" i="14676"/>
  <c r="J26" i="14670"/>
  <c r="J27" i="14670" s="1"/>
  <c r="K11" i="14676"/>
  <c r="K38" i="14681" l="1"/>
  <c r="K40" i="14681" s="1"/>
  <c r="K25" i="14676"/>
  <c r="K30" i="14676" s="1"/>
  <c r="K29" i="14676"/>
  <c r="J29" i="14670"/>
  <c r="L23" i="14676" l="1"/>
  <c r="O23" i="14676" s="1"/>
  <c r="F20" i="14684" s="1"/>
  <c r="K31" i="14676"/>
  <c r="J31" i="14670"/>
  <c r="K33" i="14676" l="1"/>
  <c r="K35" i="14676" s="1"/>
  <c r="K54" i="14648" l="1"/>
  <c r="L100" i="14648"/>
  <c r="K52" i="14648"/>
  <c r="L59" i="14648" l="1"/>
  <c r="L102" i="14648"/>
  <c r="K53" i="14648"/>
  <c r="L57" i="14648"/>
  <c r="K25" i="14670" l="1"/>
  <c r="L10" i="14676"/>
  <c r="L58" i="14648"/>
  <c r="L64" i="14648" s="1"/>
  <c r="L11" i="14676" l="1"/>
  <c r="K37" i="14681"/>
  <c r="K26" i="14670"/>
  <c r="K27" i="14670" s="1"/>
  <c r="L16" i="14676"/>
  <c r="K29" i="14670" l="1"/>
  <c r="L29" i="14676"/>
  <c r="L25" i="14676"/>
  <c r="L30" i="14676" s="1"/>
  <c r="K31" i="14670" l="1"/>
  <c r="L31" i="14676"/>
  <c r="L33" i="14676" l="1"/>
  <c r="L35" i="14676" s="1"/>
  <c r="L52" i="14648" l="1"/>
  <c r="L54" i="14648"/>
  <c r="M100" i="14648"/>
  <c r="L53" i="14648" l="1"/>
  <c r="M57" i="14648"/>
  <c r="M59" i="14648"/>
  <c r="M102" i="14648"/>
  <c r="M58" i="14648" l="1"/>
  <c r="M64" i="14648" s="1"/>
  <c r="L25" i="14670"/>
  <c r="M10" i="14676"/>
  <c r="L37" i="14681" l="1"/>
  <c r="M16" i="14676"/>
  <c r="L26" i="14670"/>
  <c r="L27" i="14670" s="1"/>
  <c r="M11" i="14676"/>
  <c r="M25" i="14676" l="1"/>
  <c r="M30" i="14676" s="1"/>
  <c r="L29" i="14670"/>
  <c r="M29" i="14676"/>
  <c r="L31" i="14670" l="1"/>
  <c r="M31" i="14676"/>
  <c r="M33" i="14676" l="1"/>
  <c r="M35" i="14676" s="1"/>
  <c r="M54" i="14648" l="1"/>
  <c r="N100" i="14648"/>
  <c r="M52" i="14648"/>
  <c r="N59" i="14648" l="1"/>
  <c r="O59" i="14648" s="1"/>
  <c r="O100" i="14648"/>
  <c r="O102" i="14648" s="1"/>
  <c r="N102" i="14648"/>
  <c r="M53" i="14648"/>
  <c r="N57" i="14648"/>
  <c r="M25" i="14670" l="1"/>
  <c r="N10" i="14676"/>
  <c r="N58" i="14648"/>
  <c r="O57" i="14648"/>
  <c r="O58" i="14648" l="1"/>
  <c r="O64" i="14648" s="1"/>
  <c r="N64" i="14648"/>
  <c r="N25" i="14670"/>
  <c r="O10" i="14676"/>
  <c r="F9" i="14684" s="1"/>
  <c r="F10" i="14684" s="1"/>
  <c r="N11" i="14676"/>
  <c r="M26" i="14670" l="1"/>
  <c r="M37" i="14681"/>
  <c r="N37" i="14681" s="1"/>
  <c r="N38" i="14681" s="1"/>
  <c r="N40" i="14681" s="1"/>
  <c r="N16" i="14676"/>
  <c r="O11" i="14676"/>
  <c r="N29" i="14676"/>
  <c r="O16" i="14676" l="1"/>
  <c r="N25" i="14676"/>
  <c r="N30" i="14676" s="1"/>
  <c r="M27" i="14670"/>
  <c r="N26" i="14670"/>
  <c r="J25" i="14617" s="1" a="1"/>
  <c r="F24" i="14657"/>
  <c r="F25" i="14657" s="1"/>
  <c r="N23" i="14657" s="1"/>
  <c r="B49" i="14681"/>
  <c r="C23" i="14677"/>
  <c r="O29" i="14676"/>
  <c r="F15" i="14684" l="1"/>
  <c r="F22" i="14684" s="1"/>
  <c r="F25" i="14684" s="1"/>
  <c r="O25" i="14676"/>
  <c r="O30" i="14676"/>
  <c r="O31" i="14676" s="1"/>
  <c r="N31" i="14676"/>
  <c r="N33" i="14676" s="1"/>
  <c r="N35" i="14676" s="1"/>
  <c r="M29" i="14670"/>
  <c r="N27" i="14670"/>
  <c r="J26" i="14617"/>
  <c r="J25" i="14617"/>
  <c r="M31" i="14670" l="1"/>
  <c r="N29" i="14670"/>
  <c r="J29" i="14617" s="1"/>
  <c r="L26" i="14617"/>
  <c r="G43" i="14712"/>
  <c r="K25" i="14617"/>
  <c r="O25" i="14617"/>
  <c r="J27" i="14617"/>
  <c r="K26" i="14617"/>
  <c r="C40" i="14676"/>
  <c r="L6" i="14706"/>
  <c r="L22" i="14667"/>
  <c r="B35" i="14677"/>
  <c r="F27" i="14684"/>
  <c r="N54" i="14648"/>
  <c r="O54" i="14648" s="1"/>
  <c r="C41" i="14676"/>
  <c r="B66" i="14684" a="1"/>
  <c r="N52" i="14648"/>
  <c r="L39" i="14667"/>
  <c r="L28" i="14706"/>
  <c r="B33" i="14677"/>
  <c r="B67" i="14648" s="1"/>
  <c r="C39" i="14676"/>
  <c r="F33" i="14684"/>
  <c r="J7" i="14659" l="1"/>
  <c r="J9" i="14659"/>
  <c r="C77" i="14649"/>
  <c r="J24" i="14659"/>
  <c r="K29" i="14617"/>
  <c r="L29" i="14617"/>
  <c r="F36" i="4128"/>
  <c r="L27" i="14617"/>
  <c r="G12" i="14643"/>
  <c r="F17" i="14657"/>
  <c r="F18" i="14657" s="1"/>
  <c r="F20" i="14657" s="1"/>
  <c r="K27" i="14617"/>
  <c r="E41" i="14649"/>
  <c r="E72" i="14707" s="1"/>
  <c r="F8" i="14696"/>
  <c r="E44" i="14649"/>
  <c r="F37" i="4128"/>
  <c r="U62" i="4128" s="1"/>
  <c r="U63" i="4128" s="1"/>
  <c r="C105" i="14648"/>
  <c r="B69" i="14648"/>
  <c r="C74" i="14648" s="1"/>
  <c r="F29" i="14684"/>
  <c r="D41" i="14676"/>
  <c r="F30" i="14684" s="1"/>
  <c r="K66" i="14684"/>
  <c r="AU78" i="14684" s="1"/>
  <c r="H66" i="14684"/>
  <c r="AR78" i="14684" s="1"/>
  <c r="B66" i="14684"/>
  <c r="AL78" i="14684" s="1"/>
  <c r="J66" i="14684"/>
  <c r="AT78" i="14684" s="1"/>
  <c r="I66" i="14684"/>
  <c r="AS78" i="14684" s="1"/>
  <c r="G66" i="14684"/>
  <c r="AQ78" i="14684" s="1"/>
  <c r="D66" i="14684"/>
  <c r="AN78" i="14684" s="1"/>
  <c r="M66" i="14684"/>
  <c r="AW78" i="14684" s="1"/>
  <c r="F66" i="14684"/>
  <c r="AP78" i="14684" s="1"/>
  <c r="L66" i="14684"/>
  <c r="AV78" i="14684" s="1"/>
  <c r="E66" i="14684"/>
  <c r="AO78" i="14684" s="1"/>
  <c r="C66" i="14684"/>
  <c r="AM78" i="14684" s="1"/>
  <c r="O52" i="14648"/>
  <c r="F27" i="4128" s="1"/>
  <c r="N53" i="14648"/>
  <c r="O53" i="14648" s="1"/>
  <c r="C72" i="14648"/>
  <c r="B68" i="14648"/>
  <c r="C73" i="14648" s="1"/>
  <c r="D39" i="14676"/>
  <c r="F35" i="14684" s="1"/>
  <c r="G27" i="14690"/>
  <c r="C86" i="14649"/>
  <c r="F34" i="14684"/>
  <c r="L20" i="14686" s="1"/>
  <c r="D86" i="14649"/>
  <c r="E86" i="14649" s="1"/>
  <c r="N20" i="14657" l="1"/>
  <c r="G32" i="14657"/>
  <c r="G33" i="14657" s="1"/>
  <c r="G27" i="14643"/>
  <c r="G18" i="14643"/>
  <c r="K9" i="14659"/>
  <c r="O9" i="14659"/>
  <c r="K24" i="14659"/>
  <c r="L24" i="14659"/>
  <c r="F8" i="4128"/>
  <c r="E59" i="14649"/>
  <c r="E75" i="14707"/>
  <c r="E30" i="14710"/>
  <c r="C107" i="14648"/>
  <c r="C79" i="14648"/>
  <c r="G53" i="14690"/>
  <c r="E48" i="14622"/>
  <c r="G37" i="14657" l="1"/>
  <c r="G36" i="14657"/>
  <c r="U13" i="14657"/>
  <c r="U15" i="14657"/>
  <c r="U14" i="14657"/>
  <c r="U11" i="14657"/>
  <c r="N29" i="14657"/>
  <c r="U12" i="14657"/>
  <c r="U9" i="14657"/>
  <c r="U10" i="14657"/>
  <c r="U8" i="14657"/>
  <c r="G28" i="14643"/>
  <c r="E48" i="14707" s="1"/>
  <c r="E29" i="14710"/>
  <c r="G32" i="14643"/>
  <c r="G35" i="14643" s="1"/>
  <c r="E47" i="14707"/>
  <c r="B25" i="14671"/>
  <c r="C10" i="14677"/>
  <c r="C16" i="14677"/>
  <c r="B26" i="14671"/>
  <c r="F84" i="14689"/>
  <c r="F86" i="14689" s="1"/>
  <c r="F37" i="14686" l="1"/>
  <c r="G39" i="14657"/>
  <c r="G40" i="14657" s="1"/>
  <c r="U16" i="14657"/>
  <c r="N22" i="14657" s="1"/>
  <c r="B27" i="14671"/>
  <c r="C11" i="14677"/>
  <c r="F38" i="14686" l="1"/>
  <c r="F47" i="14686" a="1"/>
  <c r="F47" i="14686" s="1"/>
  <c r="F49" i="14686" s="1"/>
  <c r="I18" i="14673" a="1"/>
  <c r="I18" i="14673" s="1"/>
  <c r="I20" i="14673" s="1"/>
  <c r="J31" i="14617"/>
  <c r="J33" i="14617" s="1"/>
  <c r="L33" i="14617" s="1"/>
  <c r="N27" i="14657"/>
  <c r="E39" i="14710" s="1"/>
  <c r="L43" i="14706"/>
  <c r="L30" i="14667"/>
  <c r="N28" i="14667" s="1"/>
  <c r="N25" i="14657"/>
  <c r="C29" i="14677"/>
  <c r="C18" i="14673" l="1" a="1"/>
  <c r="C18" i="14673" s="1"/>
  <c r="C20" i="14673" s="1"/>
  <c r="K18" i="14673" a="1"/>
  <c r="K18" i="14673" s="1"/>
  <c r="K20" i="14673" s="1"/>
  <c r="M18" i="14673" a="1"/>
  <c r="M18" i="14673" s="1"/>
  <c r="M20" i="14673" s="1"/>
  <c r="J18" i="14673" a="1"/>
  <c r="J18" i="14673" s="1"/>
  <c r="J20" i="14673" s="1"/>
  <c r="K31" i="14617"/>
  <c r="L31" i="14617"/>
  <c r="G18" i="14673" a="1"/>
  <c r="G18" i="14673" s="1"/>
  <c r="G20" i="14673" s="1"/>
  <c r="B18" i="14673" a="1"/>
  <c r="B18" i="14673" s="1"/>
  <c r="H18" i="14673" a="1"/>
  <c r="H18" i="14673" s="1"/>
  <c r="H20" i="14673" s="1"/>
  <c r="F18" i="14673" a="1"/>
  <c r="F18" i="14673" s="1"/>
  <c r="F20" i="14673" s="1"/>
  <c r="D18" i="14673" a="1"/>
  <c r="D18" i="14673" s="1"/>
  <c r="D20" i="14673" s="1"/>
  <c r="E18" i="14673" a="1"/>
  <c r="E18" i="14673" s="1"/>
  <c r="E20" i="14673" s="1"/>
  <c r="L18" i="14673" a="1"/>
  <c r="L18" i="14673" s="1"/>
  <c r="L20" i="14673" s="1"/>
  <c r="I16" i="14671"/>
  <c r="I27" i="14673"/>
  <c r="L39" i="14706"/>
  <c r="N41" i="14706"/>
  <c r="L9" i="14706"/>
  <c r="L5" i="14706" s="1"/>
  <c r="L24" i="14706" s="1"/>
  <c r="L19" i="14667"/>
  <c r="L13" i="14667" s="1"/>
  <c r="K33" i="14617"/>
  <c r="G9" i="14712"/>
  <c r="F26" i="4128"/>
  <c r="F41" i="4128"/>
  <c r="F7" i="14696"/>
  <c r="L26" i="14667"/>
  <c r="L42" i="14667"/>
  <c r="L37" i="14667" s="1"/>
  <c r="L31" i="14706"/>
  <c r="H23" i="14677"/>
  <c r="N26" i="14657"/>
  <c r="J8" i="14677"/>
  <c r="O8" i="14677" s="1"/>
  <c r="G7" i="14684" s="1"/>
  <c r="E43" i="14649"/>
  <c r="E39" i="14707" s="1"/>
  <c r="L18" i="14686"/>
  <c r="C27" i="14673" l="1"/>
  <c r="C15" i="14671" s="1"/>
  <c r="C18" i="14671" s="1"/>
  <c r="C20" i="14671" s="1"/>
  <c r="C23" i="14671" s="1"/>
  <c r="C16" i="14671"/>
  <c r="K27" i="14673"/>
  <c r="K16" i="14671"/>
  <c r="C58" i="14673"/>
  <c r="D14" i="14677" s="1"/>
  <c r="M16" i="14671"/>
  <c r="M27" i="14673"/>
  <c r="L45" i="14706"/>
  <c r="L49" i="14706" s="1"/>
  <c r="M49" i="14706" s="1"/>
  <c r="M51" i="14706"/>
  <c r="J16" i="14671"/>
  <c r="J27" i="14673"/>
  <c r="G27" i="14673"/>
  <c r="G16" i="14671"/>
  <c r="F27" i="14673"/>
  <c r="F16" i="14671"/>
  <c r="D16" i="14671"/>
  <c r="D27" i="14673"/>
  <c r="E27" i="14673"/>
  <c r="E16" i="14671"/>
  <c r="L16" i="14671"/>
  <c r="L27" i="14673"/>
  <c r="B20" i="14673"/>
  <c r="N18" i="14673"/>
  <c r="F16" i="14682" s="1"/>
  <c r="H27" i="14673"/>
  <c r="H16" i="14671"/>
  <c r="I15" i="14671"/>
  <c r="I18" i="14671" s="1"/>
  <c r="I20" i="14671" s="1"/>
  <c r="I23" i="14671" s="1"/>
  <c r="I58" i="14673"/>
  <c r="J14" i="14677" s="1"/>
  <c r="F15" i="4128"/>
  <c r="L24" i="14667"/>
  <c r="G10" i="14712"/>
  <c r="L44" i="14667"/>
  <c r="L48" i="14667" s="1"/>
  <c r="L45" i="14667"/>
  <c r="F19" i="4128"/>
  <c r="F14" i="14696"/>
  <c r="E41" i="14710"/>
  <c r="F59" i="14649"/>
  <c r="F4" i="4128"/>
  <c r="E49" i="14649" s="1"/>
  <c r="M50" i="14667"/>
  <c r="F31" i="4128"/>
  <c r="G6" i="14712"/>
  <c r="F18" i="4128"/>
  <c r="G45" i="14712"/>
  <c r="D59" i="14649"/>
  <c r="E74" i="14707"/>
  <c r="L46" i="14667"/>
  <c r="G7" i="14712"/>
  <c r="L26" i="14706"/>
  <c r="M9" i="14706"/>
  <c r="M6" i="14706"/>
  <c r="M22" i="14706"/>
  <c r="M11" i="14706"/>
  <c r="M19" i="14706"/>
  <c r="M20" i="14706"/>
  <c r="M17" i="14706"/>
  <c r="M10" i="14706"/>
  <c r="M13" i="14706"/>
  <c r="M14" i="14706"/>
  <c r="M8" i="14706"/>
  <c r="M16" i="14706"/>
  <c r="M12" i="14706"/>
  <c r="M21" i="14706"/>
  <c r="M7" i="14706"/>
  <c r="M5" i="14706"/>
  <c r="K58" i="14673" l="1"/>
  <c r="L14" i="14677" s="1"/>
  <c r="K15" i="14671"/>
  <c r="K18" i="14671" s="1"/>
  <c r="K20" i="14671" s="1"/>
  <c r="K23" i="14671" s="1"/>
  <c r="M58" i="14673"/>
  <c r="N14" i="14677" s="1"/>
  <c r="M15" i="14671"/>
  <c r="M18" i="14671" s="1"/>
  <c r="M20" i="14671" s="1"/>
  <c r="M23" i="14671" s="1"/>
  <c r="J58" i="14673"/>
  <c r="K14" i="14677" s="1"/>
  <c r="J15" i="14671"/>
  <c r="J18" i="14671" s="1"/>
  <c r="J20" i="14671" s="1"/>
  <c r="J23" i="14671" s="1"/>
  <c r="B27" i="14673"/>
  <c r="B16" i="14671"/>
  <c r="N16" i="14671" s="1"/>
  <c r="N20" i="14673"/>
  <c r="G15" i="14671"/>
  <c r="G18" i="14671" s="1"/>
  <c r="G20" i="14671" s="1"/>
  <c r="G23" i="14671" s="1"/>
  <c r="G58" i="14673"/>
  <c r="H14" i="14677" s="1"/>
  <c r="F58" i="14673"/>
  <c r="G14" i="14677" s="1"/>
  <c r="F15" i="14671"/>
  <c r="F18" i="14671" s="1"/>
  <c r="F20" i="14671" s="1"/>
  <c r="F23" i="14671" s="1"/>
  <c r="D58" i="14673"/>
  <c r="E14" i="14677" s="1"/>
  <c r="D15" i="14671"/>
  <c r="D18" i="14671" s="1"/>
  <c r="D20" i="14671" s="1"/>
  <c r="D23" i="14671" s="1"/>
  <c r="E58" i="14673"/>
  <c r="F14" i="14677" s="1"/>
  <c r="E15" i="14671"/>
  <c r="E18" i="14671" s="1"/>
  <c r="E20" i="14671" s="1"/>
  <c r="E23" i="14671" s="1"/>
  <c r="L58" i="14673"/>
  <c r="M14" i="14677" s="1"/>
  <c r="L15" i="14671"/>
  <c r="L18" i="14671" s="1"/>
  <c r="L20" i="14671" s="1"/>
  <c r="L23" i="14671" s="1"/>
  <c r="H15" i="14671"/>
  <c r="H18" i="14671" s="1"/>
  <c r="H20" i="14671" s="1"/>
  <c r="H23" i="14671" s="1"/>
  <c r="H58" i="14673"/>
  <c r="I14" i="14677" s="1"/>
  <c r="F99" i="14707"/>
  <c r="F101" i="14707" s="1"/>
  <c r="F18" i="14682"/>
  <c r="F25" i="14682" s="1"/>
  <c r="M21" i="14667"/>
  <c r="M11" i="14667"/>
  <c r="F14" i="4128"/>
  <c r="M20" i="14667"/>
  <c r="G8" i="14712"/>
  <c r="M19" i="14667"/>
  <c r="F6" i="4128"/>
  <c r="E50" i="14649" s="1"/>
  <c r="F21" i="4128"/>
  <c r="M22" i="14667"/>
  <c r="G23" i="14712"/>
  <c r="G22" i="14712"/>
  <c r="M6" i="14667"/>
  <c r="M16" i="14667"/>
  <c r="M17" i="14667"/>
  <c r="M8" i="14667"/>
  <c r="M18" i="14667"/>
  <c r="M7" i="14667"/>
  <c r="M5" i="14667"/>
  <c r="G25" i="14712"/>
  <c r="M15" i="14667"/>
  <c r="M9" i="14667"/>
  <c r="M14" i="14667"/>
  <c r="G41" i="14712"/>
  <c r="G21" i="14712"/>
  <c r="M13" i="14667"/>
  <c r="F22" i="4128"/>
  <c r="F10" i="4128"/>
  <c r="F25" i="4128"/>
  <c r="F43" i="4128"/>
  <c r="F42" i="4128"/>
  <c r="F20" i="4128"/>
  <c r="M44" i="14667"/>
  <c r="M37" i="14667"/>
  <c r="L14" i="14696"/>
  <c r="M14" i="14696" s="1"/>
  <c r="F16" i="14696"/>
  <c r="E42" i="14710"/>
  <c r="E43" i="14710" s="1"/>
  <c r="E37" i="14710"/>
  <c r="E80" i="14707"/>
  <c r="D95" i="14649"/>
  <c r="E95" i="14649" s="1"/>
  <c r="M48" i="14667"/>
  <c r="M35" i="14667"/>
  <c r="M29" i="14667"/>
  <c r="M27" i="14667"/>
  <c r="M32" i="14667"/>
  <c r="L53" i="14667"/>
  <c r="M33" i="14667"/>
  <c r="M34" i="14667"/>
  <c r="M41" i="14667"/>
  <c r="M43" i="14667"/>
  <c r="M28" i="14667"/>
  <c r="M39" i="14667"/>
  <c r="M30" i="14667"/>
  <c r="M42" i="14667"/>
  <c r="M26" i="14667"/>
  <c r="G42" i="14712"/>
  <c r="L47" i="14706"/>
  <c r="M26" i="14706" s="1"/>
  <c r="L46" i="14706"/>
  <c r="M46" i="14706" s="1"/>
  <c r="M45" i="14667"/>
  <c r="M38" i="14667"/>
  <c r="M40" i="14667"/>
  <c r="M24" i="14706"/>
  <c r="B15" i="14671" l="1"/>
  <c r="B58" i="14673"/>
  <c r="N27" i="14673"/>
  <c r="M16" i="14617"/>
  <c r="M18" i="14617" s="1"/>
  <c r="F53" i="14682"/>
  <c r="F105" i="14707"/>
  <c r="F130" i="14707" s="1"/>
  <c r="G28" i="14712"/>
  <c r="G30" i="14712" s="1"/>
  <c r="M24" i="14667"/>
  <c r="G47" i="14712"/>
  <c r="G49" i="14712" s="1"/>
  <c r="M46" i="14667"/>
  <c r="E38" i="14710"/>
  <c r="E81" i="14707"/>
  <c r="M39" i="14706"/>
  <c r="M30" i="14706"/>
  <c r="M35" i="14706"/>
  <c r="M42" i="14706"/>
  <c r="M37" i="14706"/>
  <c r="M32" i="14706"/>
  <c r="M34" i="14706"/>
  <c r="M27" i="14706"/>
  <c r="M40" i="14706"/>
  <c r="M29" i="14706"/>
  <c r="M36" i="14706"/>
  <c r="M41" i="14706"/>
  <c r="M28" i="14706"/>
  <c r="M43" i="14706"/>
  <c r="M31" i="14706"/>
  <c r="L54" i="14706"/>
  <c r="M45" i="14706"/>
  <c r="C95" i="14649"/>
  <c r="G84" i="14690"/>
  <c r="H44" i="14712" l="1"/>
  <c r="N16" i="14617"/>
  <c r="B18" i="14671"/>
  <c r="N15" i="14671"/>
  <c r="H7" i="14643"/>
  <c r="H10" i="14643" s="1"/>
  <c r="H23" i="14643" s="1"/>
  <c r="O20" i="14673"/>
  <c r="O18" i="14673"/>
  <c r="O19" i="14673"/>
  <c r="N58" i="14673"/>
  <c r="G14" i="14657"/>
  <c r="O23" i="14673" a="1"/>
  <c r="O7" i="14673" a="1"/>
  <c r="C14" i="14677"/>
  <c r="B46" i="14681"/>
  <c r="F40" i="14649"/>
  <c r="F71" i="14707" s="1"/>
  <c r="O18" i="14617"/>
  <c r="M20" i="14617"/>
  <c r="N20" i="14617" s="1"/>
  <c r="F24" i="14710"/>
  <c r="F25" i="14710" s="1"/>
  <c r="F26" i="14710" s="1"/>
  <c r="F28" i="14710" s="1"/>
  <c r="N18" i="14617"/>
  <c r="G33" i="4128"/>
  <c r="M47" i="14706"/>
  <c r="B20" i="14671" l="1"/>
  <c r="N18" i="14671"/>
  <c r="F44" i="14707"/>
  <c r="H24" i="14643"/>
  <c r="F45" i="14707" s="1"/>
  <c r="H31" i="14643"/>
  <c r="H17" i="14643"/>
  <c r="O27" i="14673"/>
  <c r="O33" i="14673" a="1"/>
  <c r="O55" i="14673"/>
  <c r="O25" i="14673"/>
  <c r="O24" i="14673"/>
  <c r="O23" i="14673"/>
  <c r="O9" i="14673"/>
  <c r="O7" i="14673"/>
  <c r="O12" i="14673"/>
  <c r="O13" i="14673"/>
  <c r="O11" i="14673"/>
  <c r="O10" i="14673"/>
  <c r="O15" i="14673"/>
  <c r="O14" i="14673"/>
  <c r="O8" i="14673"/>
  <c r="C25" i="14677"/>
  <c r="C30" i="14677" s="1"/>
  <c r="C31" i="14677" s="1"/>
  <c r="C33" i="14677" s="1"/>
  <c r="C35" i="14677" s="1"/>
  <c r="O14" i="14677"/>
  <c r="G13" i="14684" s="1"/>
  <c r="M23" i="14617"/>
  <c r="F42" i="14649"/>
  <c r="O23" i="14617"/>
  <c r="F38" i="14707"/>
  <c r="C60" i="14649"/>
  <c r="F73" i="14707"/>
  <c r="G12" i="4128" l="1"/>
  <c r="N23" i="14617"/>
  <c r="B23" i="14671"/>
  <c r="N20" i="14671"/>
  <c r="G34" i="4128"/>
  <c r="F51" i="14649" s="1"/>
  <c r="F82" i="14707" s="1"/>
  <c r="D78" i="14649"/>
  <c r="E78" i="14649" s="1"/>
  <c r="O35" i="14673"/>
  <c r="O40" i="14673"/>
  <c r="O36" i="14673"/>
  <c r="O38" i="14673"/>
  <c r="O50" i="14673"/>
  <c r="O41" i="14673"/>
  <c r="O37" i="14673"/>
  <c r="O51" i="14673"/>
  <c r="O54" i="14673"/>
  <c r="O44" i="14673"/>
  <c r="O43" i="14673"/>
  <c r="O34" i="14673"/>
  <c r="O46" i="14673"/>
  <c r="O49" i="14673"/>
  <c r="O42" i="14673"/>
  <c r="O47" i="14673"/>
  <c r="O48" i="14673"/>
  <c r="O52" i="14673"/>
  <c r="O53" i="14673"/>
  <c r="O39" i="14673"/>
  <c r="O45" i="14673"/>
  <c r="O33" i="14673"/>
  <c r="C67" i="14648"/>
  <c r="C69" i="14648"/>
  <c r="D105" i="14648"/>
  <c r="B29" i="14671" l="1"/>
  <c r="B31" i="14671" s="1"/>
  <c r="N23" i="14671"/>
  <c r="D72" i="14648"/>
  <c r="C68" i="14648"/>
  <c r="D74" i="14648"/>
  <c r="D107" i="14648"/>
  <c r="D73" i="14648" l="1"/>
  <c r="D79" i="14648" s="1"/>
  <c r="D10" i="14677"/>
  <c r="C25" i="14671"/>
  <c r="C46" i="14681" l="1"/>
  <c r="C26" i="14671"/>
  <c r="C27" i="14671" s="1"/>
  <c r="D16" i="14677"/>
  <c r="D11" i="14677"/>
  <c r="D25" i="14677" l="1"/>
  <c r="D30" i="14677" s="1"/>
  <c r="D29" i="14677"/>
  <c r="C29" i="14671"/>
  <c r="D31" i="14677" l="1"/>
  <c r="C31" i="14671"/>
  <c r="D33" i="14677" l="1"/>
  <c r="D35" i="14677" s="1"/>
  <c r="D69" i="14648" l="1"/>
  <c r="E105" i="14648"/>
  <c r="D67" i="14648"/>
  <c r="E74" i="14648" l="1"/>
  <c r="E107" i="14648"/>
  <c r="D68" i="14648"/>
  <c r="E72" i="14648"/>
  <c r="D25" i="14671" l="1"/>
  <c r="E10" i="14677"/>
  <c r="E73" i="14648"/>
  <c r="E79" i="14648" s="1"/>
  <c r="E11" i="14677" l="1"/>
  <c r="D46" i="14681"/>
  <c r="D26" i="14671"/>
  <c r="D27" i="14671" s="1"/>
  <c r="E16" i="14677"/>
  <c r="D29" i="14671" l="1"/>
  <c r="E29" i="14677"/>
  <c r="E47" i="14681"/>
  <c r="E49" i="14681" s="1"/>
  <c r="E25" i="14677"/>
  <c r="E30" i="14677" s="1"/>
  <c r="D31" i="14671" l="1"/>
  <c r="E31" i="14677"/>
  <c r="F23" i="14677"/>
  <c r="E33" i="14677" l="1"/>
  <c r="E35" i="14677" s="1"/>
  <c r="E69" i="14648" l="1"/>
  <c r="F105" i="14648"/>
  <c r="E67" i="14648"/>
  <c r="F74" i="14648" l="1"/>
  <c r="F107" i="14648"/>
  <c r="E68" i="14648"/>
  <c r="F72" i="14648"/>
  <c r="E25" i="14671" l="1"/>
  <c r="F10" i="14677"/>
  <c r="F73" i="14648"/>
  <c r="F79" i="14648" s="1"/>
  <c r="F11" i="14677" l="1"/>
  <c r="E46" i="14681"/>
  <c r="F16" i="14677"/>
  <c r="E26" i="14671"/>
  <c r="E27" i="14671" s="1"/>
  <c r="E29" i="14671" l="1"/>
  <c r="F29" i="14677"/>
  <c r="F25" i="14677"/>
  <c r="F30" i="14677" s="1"/>
  <c r="E31" i="14671" l="1"/>
  <c r="F31" i="14677"/>
  <c r="F33" i="14677" l="1"/>
  <c r="F35" i="14677" s="1"/>
  <c r="F69" i="14648" l="1"/>
  <c r="G105" i="14648"/>
  <c r="F67" i="14648"/>
  <c r="G74" i="14648" l="1"/>
  <c r="G107" i="14648"/>
  <c r="F68" i="14648"/>
  <c r="G72" i="14648"/>
  <c r="F25" i="14671" l="1"/>
  <c r="G10" i="14677"/>
  <c r="G73" i="14648"/>
  <c r="G79" i="14648" s="1"/>
  <c r="G11" i="14677" l="1"/>
  <c r="F46" i="14681"/>
  <c r="F26" i="14671"/>
  <c r="F27" i="14671" s="1"/>
  <c r="G16" i="14677"/>
  <c r="F29" i="14671" l="1"/>
  <c r="G29" i="14677"/>
  <c r="G25" i="14677"/>
  <c r="G30" i="14677" s="1"/>
  <c r="F31" i="14671" l="1"/>
  <c r="G31" i="14677"/>
  <c r="G33" i="14677" l="1"/>
  <c r="G35" i="14677" s="1"/>
  <c r="G67" i="14648" l="1"/>
  <c r="G69" i="14648"/>
  <c r="H105" i="14648"/>
  <c r="G68" i="14648" l="1"/>
  <c r="H72" i="14648"/>
  <c r="H74" i="14648"/>
  <c r="H107" i="14648"/>
  <c r="H73" i="14648" l="1"/>
  <c r="H79" i="14648" s="1"/>
  <c r="G25" i="14671"/>
  <c r="H10" i="14677"/>
  <c r="G46" i="14681" l="1"/>
  <c r="H16" i="14677"/>
  <c r="G26" i="14671"/>
  <c r="G27" i="14671" s="1"/>
  <c r="H11" i="14677"/>
  <c r="H47" i="14681" l="1"/>
  <c r="H49" i="14681" s="1"/>
  <c r="H25" i="14677"/>
  <c r="H30" i="14677" s="1"/>
  <c r="G29" i="14671"/>
  <c r="H29" i="14677"/>
  <c r="I23" i="14677" l="1"/>
  <c r="G31" i="14671"/>
  <c r="H31" i="14677"/>
  <c r="H33" i="14677" l="1"/>
  <c r="H35" i="14677" s="1"/>
  <c r="H69" i="14648" l="1"/>
  <c r="I105" i="14648"/>
  <c r="H67" i="14648"/>
  <c r="I74" i="14648" l="1"/>
  <c r="I107" i="14648"/>
  <c r="H68" i="14648"/>
  <c r="I72" i="14648"/>
  <c r="I10" i="14677" l="1"/>
  <c r="H25" i="14671"/>
  <c r="I73" i="14648"/>
  <c r="I79" i="14648" s="1"/>
  <c r="I11" i="14677" l="1"/>
  <c r="H46" i="14681"/>
  <c r="H26" i="14671"/>
  <c r="H27" i="14671" s="1"/>
  <c r="I16" i="14677"/>
  <c r="I29" i="14677" l="1"/>
  <c r="H29" i="14671"/>
  <c r="I25" i="14677"/>
  <c r="I30" i="14677" s="1"/>
  <c r="I31" i="14677" l="1"/>
  <c r="H31" i="14671"/>
  <c r="I33" i="14677" l="1"/>
  <c r="I35" i="14677" s="1"/>
  <c r="I69" i="14648" l="1"/>
  <c r="J105" i="14648"/>
  <c r="I67" i="14648"/>
  <c r="J74" i="14648" l="1"/>
  <c r="J107" i="14648"/>
  <c r="I68" i="14648"/>
  <c r="J72" i="14648"/>
  <c r="I25" i="14671" l="1"/>
  <c r="J10" i="14677"/>
  <c r="J73" i="14648"/>
  <c r="J79" i="14648" s="1"/>
  <c r="J11" i="14677" l="1"/>
  <c r="I46" i="14681"/>
  <c r="I26" i="14671"/>
  <c r="I27" i="14671" s="1"/>
  <c r="J16" i="14677"/>
  <c r="I29" i="14671" l="1"/>
  <c r="J29" i="14677"/>
  <c r="J25" i="14677"/>
  <c r="J30" i="14677" s="1"/>
  <c r="I31" i="14671" l="1"/>
  <c r="J31" i="14677"/>
  <c r="J33" i="14677" l="1"/>
  <c r="J35" i="14677" s="1"/>
  <c r="J69" i="14648" l="1"/>
  <c r="K105" i="14648"/>
  <c r="J67" i="14648"/>
  <c r="K74" i="14648" l="1"/>
  <c r="K107" i="14648"/>
  <c r="J68" i="14648"/>
  <c r="K72" i="14648"/>
  <c r="K10" i="14677" l="1"/>
  <c r="J25" i="14671"/>
  <c r="K73" i="14648"/>
  <c r="K79" i="14648" s="1"/>
  <c r="K11" i="14677" l="1"/>
  <c r="J46" i="14681"/>
  <c r="J26" i="14671"/>
  <c r="J27" i="14671" s="1"/>
  <c r="K16" i="14677"/>
  <c r="K29" i="14677" l="1"/>
  <c r="J29" i="14671"/>
  <c r="K47" i="14681"/>
  <c r="K49" i="14681" s="1"/>
  <c r="K25" i="14677"/>
  <c r="K30" i="14677" s="1"/>
  <c r="K31" i="14677" l="1"/>
  <c r="J31" i="14671"/>
  <c r="L23" i="14677"/>
  <c r="O23" i="14677" s="1"/>
  <c r="G20" i="14684" s="1"/>
  <c r="K33" i="14677" l="1"/>
  <c r="K35" i="14677" s="1"/>
  <c r="K69" i="14648" l="1"/>
  <c r="L105" i="14648"/>
  <c r="K67" i="14648"/>
  <c r="L74" i="14648" l="1"/>
  <c r="L107" i="14648"/>
  <c r="K68" i="14648"/>
  <c r="L72" i="14648"/>
  <c r="L10" i="14677" l="1"/>
  <c r="K25" i="14671"/>
  <c r="L73" i="14648"/>
  <c r="L79" i="14648" s="1"/>
  <c r="L11" i="14677" l="1"/>
  <c r="K46" i="14681"/>
  <c r="L16" i="14677"/>
  <c r="K26" i="14671"/>
  <c r="K27" i="14671" s="1"/>
  <c r="L29" i="14677" l="1"/>
  <c r="K29" i="14671"/>
  <c r="L25" i="14677"/>
  <c r="L30" i="14677" s="1"/>
  <c r="L31" i="14677" l="1"/>
  <c r="K31" i="14671"/>
  <c r="L33" i="14677" l="1"/>
  <c r="L35" i="14677" s="1"/>
  <c r="L69" i="14648" l="1"/>
  <c r="M105" i="14648"/>
  <c r="L67" i="14648"/>
  <c r="M74" i="14648" l="1"/>
  <c r="M107" i="14648"/>
  <c r="L68" i="14648"/>
  <c r="M72" i="14648"/>
  <c r="M10" i="14677" l="1"/>
  <c r="L25" i="14671"/>
  <c r="M73" i="14648"/>
  <c r="M79" i="14648" s="1"/>
  <c r="M11" i="14677" l="1"/>
  <c r="L46" i="14681"/>
  <c r="L26" i="14671"/>
  <c r="L27" i="14671" s="1"/>
  <c r="M16" i="14677"/>
  <c r="M29" i="14677" l="1"/>
  <c r="L29" i="14671"/>
  <c r="M25" i="14677"/>
  <c r="M30" i="14677" s="1"/>
  <c r="M31" i="14677" l="1"/>
  <c r="L31" i="14671"/>
  <c r="M33" i="14677" l="1"/>
  <c r="M35" i="14677" s="1"/>
  <c r="M69" i="14648" l="1"/>
  <c r="N105" i="14648"/>
  <c r="M67" i="14648"/>
  <c r="N74" i="14648" l="1"/>
  <c r="O74" i="14648" s="1"/>
  <c r="O105" i="14648"/>
  <c r="O107" i="14648" s="1"/>
  <c r="N107" i="14648"/>
  <c r="N72" i="14648"/>
  <c r="M68" i="14648"/>
  <c r="M25" i="14671" l="1"/>
  <c r="N10" i="14677"/>
  <c r="O72" i="14648"/>
  <c r="N73" i="14648"/>
  <c r="N25" i="14671" l="1"/>
  <c r="O10" i="14677"/>
  <c r="G9" i="14684" s="1"/>
  <c r="G10" i="14684" s="1"/>
  <c r="N11" i="14677"/>
  <c r="O73" i="14648"/>
  <c r="O79" i="14648" s="1"/>
  <c r="N79" i="14648"/>
  <c r="O11" i="14677" l="1"/>
  <c r="N29" i="14677"/>
  <c r="N16" i="14677"/>
  <c r="M26" i="14671"/>
  <c r="M46" i="14681"/>
  <c r="N46" i="14681" s="1"/>
  <c r="N47" i="14681" s="1"/>
  <c r="N49" i="14681" s="1"/>
  <c r="O29" i="14677" l="1"/>
  <c r="O16" i="14677"/>
  <c r="N25" i="14677"/>
  <c r="N30" i="14677" s="1"/>
  <c r="M27" i="14671"/>
  <c r="N26" i="14671"/>
  <c r="M25" i="14617" s="1" a="1"/>
  <c r="G24" i="14657"/>
  <c r="G25" i="14657" s="1"/>
  <c r="O25" i="14677" l="1"/>
  <c r="G15" i="14684"/>
  <c r="G22" i="14684" s="1"/>
  <c r="G25" i="14684" s="1"/>
  <c r="M29" i="14671"/>
  <c r="N27" i="14671"/>
  <c r="M25" i="14617"/>
  <c r="M26" i="14617"/>
  <c r="O23" i="14657"/>
  <c r="O30" i="14677"/>
  <c r="O31" i="14677" s="1"/>
  <c r="N31" i="14677"/>
  <c r="M31" i="14671" l="1"/>
  <c r="N29" i="14671"/>
  <c r="M29" i="14617" s="1"/>
  <c r="N25" i="14617"/>
  <c r="N26" i="14617"/>
  <c r="M27" i="14617"/>
  <c r="N27" i="14617" s="1"/>
  <c r="O26" i="14617"/>
  <c r="H43" i="14712"/>
  <c r="N33" i="14677"/>
  <c r="N35" i="14677" s="1"/>
  <c r="M9" i="14659" l="1"/>
  <c r="N9" i="14659" s="1"/>
  <c r="C78" i="14649"/>
  <c r="N29" i="14617"/>
  <c r="M24" i="14659"/>
  <c r="M7" i="14659"/>
  <c r="O29" i="14617"/>
  <c r="G36" i="4128"/>
  <c r="O27" i="14617"/>
  <c r="G8" i="14696"/>
  <c r="H12" i="14643"/>
  <c r="G17" i="14657"/>
  <c r="G18" i="14657" s="1"/>
  <c r="G20" i="14657" s="1"/>
  <c r="O20" i="14657" s="1"/>
  <c r="F41" i="14649"/>
  <c r="F72" i="14707" s="1"/>
  <c r="N6" i="14706"/>
  <c r="G27" i="14684"/>
  <c r="N22" i="14667"/>
  <c r="C40" i="14677"/>
  <c r="N69" i="14648"/>
  <c r="O69" i="14648" s="1"/>
  <c r="C41" i="14677"/>
  <c r="B67" i="14684" a="1"/>
  <c r="N39" i="14667"/>
  <c r="N67" i="14648"/>
  <c r="N28" i="14706"/>
  <c r="C39" i="14677"/>
  <c r="G33" i="14684"/>
  <c r="C60" i="4128" l="1"/>
  <c r="B28" i="14649" s="1"/>
  <c r="D60" i="4128"/>
  <c r="O24" i="14659"/>
  <c r="N24" i="14659"/>
  <c r="G8" i="4128"/>
  <c r="H18" i="14643"/>
  <c r="H27" i="14643"/>
  <c r="V9" i="14657"/>
  <c r="V15" i="14657"/>
  <c r="V8" i="14657"/>
  <c r="O29" i="14657"/>
  <c r="V11" i="14657"/>
  <c r="V10" i="14657"/>
  <c r="V12" i="14657"/>
  <c r="V13" i="14657"/>
  <c r="V14" i="14657"/>
  <c r="F44" i="14649"/>
  <c r="G37" i="4128"/>
  <c r="V62" i="4128" s="1"/>
  <c r="D41" i="14677"/>
  <c r="G30" i="14684" s="1"/>
  <c r="G29" i="14684"/>
  <c r="G67" i="14684"/>
  <c r="BC78" i="14684" s="1"/>
  <c r="E67" i="14684"/>
  <c r="BA78" i="14684" s="1"/>
  <c r="C67" i="14684"/>
  <c r="AY78" i="14684" s="1"/>
  <c r="K67" i="14684"/>
  <c r="BG78" i="14684" s="1"/>
  <c r="J67" i="14684"/>
  <c r="BF78" i="14684" s="1"/>
  <c r="L67" i="14684"/>
  <c r="BH78" i="14684" s="1"/>
  <c r="I67" i="14684"/>
  <c r="BE78" i="14684" s="1"/>
  <c r="D67" i="14684"/>
  <c r="AZ78" i="14684" s="1"/>
  <c r="M67" i="14684"/>
  <c r="BI78" i="14684" s="1"/>
  <c r="B67" i="14684"/>
  <c r="AX78" i="14684" s="1"/>
  <c r="F67" i="14684"/>
  <c r="BB78" i="14684" s="1"/>
  <c r="H67" i="14684"/>
  <c r="BD78" i="14684" s="1"/>
  <c r="O67" i="14648"/>
  <c r="G27" i="4128" s="1"/>
  <c r="N68" i="14648"/>
  <c r="O68" i="14648" s="1"/>
  <c r="G34" i="14684"/>
  <c r="M20" i="14686" s="1"/>
  <c r="C87" i="14649"/>
  <c r="H27" i="14690"/>
  <c r="D87" i="14649"/>
  <c r="E87" i="14649" s="1"/>
  <c r="D39" i="14677"/>
  <c r="G35" i="14684" s="1"/>
  <c r="F29" i="14710" l="1"/>
  <c r="F47" i="14707"/>
  <c r="H32" i="14643"/>
  <c r="H35" i="14643" s="1"/>
  <c r="I35" i="14643" s="1"/>
  <c r="H28" i="14643"/>
  <c r="F48" i="14707" s="1"/>
  <c r="F30" i="14710"/>
  <c r="E60" i="14649"/>
  <c r="F75" i="14707"/>
  <c r="V63" i="4128"/>
  <c r="W62" i="4128"/>
  <c r="I27" i="14690"/>
  <c r="I53" i="14690" s="1"/>
  <c r="F48" i="14622"/>
  <c r="H53" i="14690"/>
  <c r="V16" i="14657"/>
  <c r="O22" i="14657" s="1"/>
  <c r="X62" i="4128" l="1"/>
  <c r="W63" i="4128"/>
  <c r="G48" i="14622"/>
  <c r="G84" i="14689"/>
  <c r="G86" i="14689" s="1"/>
  <c r="M31" i="14617"/>
  <c r="O25" i="14657"/>
  <c r="N30" i="14667"/>
  <c r="N43" i="14706"/>
  <c r="O27" i="14657"/>
  <c r="F39" i="14710" s="1"/>
  <c r="X63" i="4128" l="1"/>
  <c r="Y62" i="4128"/>
  <c r="M33" i="14617"/>
  <c r="O31" i="14617"/>
  <c r="N31" i="14617"/>
  <c r="N9" i="14706"/>
  <c r="N19" i="14667"/>
  <c r="N31" i="14706"/>
  <c r="N42" i="14667"/>
  <c r="O26" i="14657"/>
  <c r="G7" i="14696"/>
  <c r="N26" i="14667"/>
  <c r="G41" i="4128"/>
  <c r="N39" i="14706"/>
  <c r="Y63" i="4128" l="1"/>
  <c r="Z62" i="4128"/>
  <c r="M18" i="14686"/>
  <c r="H9" i="14712"/>
  <c r="G26" i="4128"/>
  <c r="H10" i="14712"/>
  <c r="N33" i="14617"/>
  <c r="F43" i="14649"/>
  <c r="O33" i="14617"/>
  <c r="N5" i="14706"/>
  <c r="N13" i="14667"/>
  <c r="N26" i="14706"/>
  <c r="N47" i="14706" s="1"/>
  <c r="N37" i="14667"/>
  <c r="F41" i="14710"/>
  <c r="G14" i="14696"/>
  <c r="G4" i="4128"/>
  <c r="F49" i="14649" s="1"/>
  <c r="N44" i="14667"/>
  <c r="F60" i="14649"/>
  <c r="O50" i="14667"/>
  <c r="B53" i="14710"/>
  <c r="N45" i="14706"/>
  <c r="O51" i="14706"/>
  <c r="H7" i="14712" l="1"/>
  <c r="N46" i="14667"/>
  <c r="AA62" i="4128"/>
  <c r="Z63" i="4128"/>
  <c r="F39" i="14707"/>
  <c r="D60" i="14649"/>
  <c r="F74" i="14707"/>
  <c r="N24" i="14706"/>
  <c r="G15" i="4128"/>
  <c r="N24" i="14667"/>
  <c r="G31" i="4128"/>
  <c r="H6" i="14712"/>
  <c r="O26" i="14706"/>
  <c r="N46" i="14706"/>
  <c r="O46" i="14706" s="1"/>
  <c r="G18" i="4128"/>
  <c r="G19" i="4128"/>
  <c r="N45" i="14667"/>
  <c r="B52" i="14710"/>
  <c r="B51" i="14710" s="1"/>
  <c r="H45" i="14712"/>
  <c r="G29" i="14696"/>
  <c r="G16" i="14696"/>
  <c r="G19" i="14696" s="1"/>
  <c r="F42" i="14710"/>
  <c r="F43" i="14710" s="1"/>
  <c r="L15" i="14696"/>
  <c r="G30" i="14696"/>
  <c r="B55" i="14710" s="1"/>
  <c r="F80" i="14707"/>
  <c r="B58" i="14710"/>
  <c r="F37" i="14710"/>
  <c r="N48" i="14667"/>
  <c r="G22" i="4128"/>
  <c r="G10" i="4128"/>
  <c r="N49" i="14706"/>
  <c r="O45" i="14706"/>
  <c r="O43" i="14706"/>
  <c r="O28" i="14706"/>
  <c r="O41" i="14706"/>
  <c r="O35" i="14706"/>
  <c r="O32" i="14706"/>
  <c r="O40" i="14706"/>
  <c r="O37" i="14706"/>
  <c r="O30" i="14706"/>
  <c r="O42" i="14706"/>
  <c r="O27" i="14706"/>
  <c r="O34" i="14706"/>
  <c r="O36" i="14706"/>
  <c r="O29" i="14706"/>
  <c r="O39" i="14706"/>
  <c r="O31" i="14706"/>
  <c r="O37" i="14667" l="1"/>
  <c r="O44" i="14667"/>
  <c r="O39" i="14667"/>
  <c r="O49" i="14706"/>
  <c r="O30" i="14667"/>
  <c r="O28" i="14667"/>
  <c r="O29" i="14667"/>
  <c r="O26" i="14667"/>
  <c r="O35" i="14667"/>
  <c r="O33" i="14667"/>
  <c r="O41" i="14667"/>
  <c r="O40" i="14667"/>
  <c r="O34" i="14667"/>
  <c r="O43" i="14667"/>
  <c r="O27" i="14667"/>
  <c r="O38" i="14667"/>
  <c r="O32" i="14667"/>
  <c r="O42" i="14667"/>
  <c r="H42" i="14712"/>
  <c r="AA63" i="4128"/>
  <c r="AB62" i="4128"/>
  <c r="O9" i="14706"/>
  <c r="O6" i="14706"/>
  <c r="O11" i="14706"/>
  <c r="O22" i="14706"/>
  <c r="O8" i="14706"/>
  <c r="O16" i="14706"/>
  <c r="O17" i="14706"/>
  <c r="O13" i="14706"/>
  <c r="O20" i="14706"/>
  <c r="O10" i="14706"/>
  <c r="O14" i="14706"/>
  <c r="O21" i="14706"/>
  <c r="O7" i="14706"/>
  <c r="O19" i="14706"/>
  <c r="O12" i="14706"/>
  <c r="O19" i="14667"/>
  <c r="H8" i="14712"/>
  <c r="G25" i="4128"/>
  <c r="O22" i="14667"/>
  <c r="G6" i="4128"/>
  <c r="F50" i="14649" s="1"/>
  <c r="G21" i="4128"/>
  <c r="H23" i="14712"/>
  <c r="O5" i="14667"/>
  <c r="O6" i="14667"/>
  <c r="O17" i="14667"/>
  <c r="O15" i="14667"/>
  <c r="H22" i="14712"/>
  <c r="O9" i="14667"/>
  <c r="G14" i="4128"/>
  <c r="O7" i="14667"/>
  <c r="O16" i="14667"/>
  <c r="O8" i="14667"/>
  <c r="O20" i="14667"/>
  <c r="O14" i="14667"/>
  <c r="O11" i="14667"/>
  <c r="O21" i="14667"/>
  <c r="O18" i="14667"/>
  <c r="H25" i="14712"/>
  <c r="G43" i="4128"/>
  <c r="G42" i="4128"/>
  <c r="G25" i="14696" s="1"/>
  <c r="O45" i="14667"/>
  <c r="G20" i="4128"/>
  <c r="B50" i="14710"/>
  <c r="B54" i="14710"/>
  <c r="G31" i="14696"/>
  <c r="B30" i="14649"/>
  <c r="B57" i="14710"/>
  <c r="L16" i="14696"/>
  <c r="M15" i="14696"/>
  <c r="O11" i="14696" s="1"/>
  <c r="O48" i="14667"/>
  <c r="D96" i="14649"/>
  <c r="E96" i="14649" s="1"/>
  <c r="O47" i="14706"/>
  <c r="N54" i="14706"/>
  <c r="O5" i="14706"/>
  <c r="O13" i="14667"/>
  <c r="N53" i="14667"/>
  <c r="H41" i="14712"/>
  <c r="H21" i="14712"/>
  <c r="O46" i="14667" l="1"/>
  <c r="H47" i="14712"/>
  <c r="H49" i="14712" s="1"/>
  <c r="H28" i="14712"/>
  <c r="H30" i="14712" s="1"/>
  <c r="O24" i="14706"/>
  <c r="AC62" i="4128"/>
  <c r="AB63" i="4128"/>
  <c r="F81" i="14707"/>
  <c r="F38" i="14710"/>
  <c r="G32" i="14696"/>
  <c r="B31" i="14649"/>
  <c r="M16" i="14696"/>
  <c r="L17" i="14696"/>
  <c r="C96" i="14649"/>
  <c r="H84" i="14690"/>
  <c r="I84" i="14690" s="1"/>
  <c r="O24" i="14667"/>
  <c r="AC63" i="4128" l="1"/>
  <c r="AD62" i="4128"/>
  <c r="L18" i="14696"/>
  <c r="M17" i="14696"/>
  <c r="AD63" i="4128" l="1"/>
  <c r="AE62" i="4128"/>
  <c r="L19" i="14696"/>
  <c r="M18" i="14696"/>
  <c r="AE63" i="4128" l="1"/>
  <c r="AF62" i="4128"/>
  <c r="M19" i="14696"/>
  <c r="L20" i="14696"/>
  <c r="AG62" i="4128" l="1"/>
  <c r="AF63" i="4128"/>
  <c r="L21" i="14696"/>
  <c r="M20" i="14696"/>
  <c r="AG63" i="4128" l="1"/>
  <c r="AH62" i="4128"/>
  <c r="L22" i="14696"/>
  <c r="M21" i="14696"/>
  <c r="AI62" i="4128" l="1"/>
  <c r="AH63" i="4128"/>
  <c r="M22" i="14696"/>
  <c r="L23" i="14696"/>
  <c r="AI63" i="4128" l="1"/>
  <c r="AJ62" i="4128"/>
  <c r="M23" i="14696"/>
  <c r="L24" i="14696"/>
  <c r="AJ63" i="4128" l="1"/>
  <c r="AK62" i="4128"/>
  <c r="L25" i="14696"/>
  <c r="M24" i="14696"/>
  <c r="AL62" i="4128" l="1"/>
  <c r="AK63" i="4128"/>
  <c r="M25" i="14696"/>
  <c r="L26" i="14696"/>
  <c r="AM62" i="4128" l="1"/>
  <c r="AL63" i="4128"/>
  <c r="L27" i="14696"/>
  <c r="M26" i="14696"/>
  <c r="AM63" i="4128" l="1"/>
  <c r="AN62" i="4128"/>
  <c r="M27" i="14696"/>
  <c r="L28" i="14696"/>
  <c r="AN63" i="4128" l="1"/>
  <c r="AO62" i="4128"/>
  <c r="M28" i="14696"/>
  <c r="L29" i="14696"/>
  <c r="AO63" i="4128" l="1"/>
  <c r="AP62" i="4128"/>
  <c r="L30" i="14696"/>
  <c r="M29" i="14696"/>
  <c r="AP63" i="4128" l="1"/>
  <c r="AQ62" i="4128"/>
  <c r="L31" i="14696"/>
  <c r="M30" i="14696"/>
  <c r="AR62" i="4128" l="1"/>
  <c r="AQ63" i="4128"/>
  <c r="L32" i="14696"/>
  <c r="M31" i="14696"/>
  <c r="AS62" i="4128" l="1"/>
  <c r="AR63" i="4128"/>
  <c r="L33" i="14696"/>
  <c r="M32" i="14696"/>
  <c r="AT62" i="4128" l="1"/>
  <c r="AT63" i="4128" s="1"/>
  <c r="R68" i="4128" s="1"/>
  <c r="AS63" i="4128"/>
  <c r="L34" i="14696"/>
  <c r="M33" i="14696"/>
  <c r="L35" i="14696" l="1"/>
  <c r="M34" i="14696"/>
  <c r="L36" i="14696" l="1"/>
  <c r="M35" i="14696"/>
  <c r="L37" i="14696" l="1"/>
  <c r="M36" i="14696"/>
  <c r="L38" i="14696" l="1"/>
  <c r="M37" i="14696"/>
  <c r="M38" i="14696" l="1"/>
  <c r="L39" i="14696"/>
  <c r="M39" i="14696" l="1"/>
  <c r="L40" i="14696"/>
  <c r="M40" i="14696" l="1"/>
  <c r="L41" i="14696"/>
  <c r="L42" i="14696" l="1"/>
  <c r="M41" i="14696"/>
  <c r="M42" i="14696" l="1"/>
  <c r="L43" i="14696"/>
  <c r="M43" i="14696" l="1"/>
  <c r="L44" i="14696"/>
  <c r="L45" i="14696" l="1"/>
  <c r="M44" i="14696"/>
  <c r="L46" i="14696" l="1"/>
  <c r="M45" i="14696"/>
  <c r="L47" i="14696" l="1"/>
  <c r="M46" i="14696"/>
  <c r="M47" i="14696" l="1"/>
  <c r="L48" i="14696"/>
  <c r="M48" i="14696" l="1"/>
  <c r="L49" i="14696"/>
  <c r="L50" i="14696" l="1"/>
  <c r="M49" i="14696"/>
  <c r="L51" i="14696" l="1"/>
  <c r="M50" i="14696"/>
  <c r="M51" i="14696" l="1"/>
  <c r="L52" i="14696"/>
  <c r="L53" i="14696" l="1"/>
  <c r="M52" i="14696"/>
  <c r="M53" i="14696" l="1"/>
  <c r="L54" i="14696"/>
  <c r="M54" i="14696" l="1"/>
  <c r="L55" i="14696"/>
  <c r="L56" i="14696" l="1"/>
  <c r="M55" i="14696"/>
  <c r="L57" i="14696" l="1"/>
  <c r="M56" i="14696"/>
  <c r="L58" i="14696" l="1"/>
  <c r="M57" i="14696"/>
  <c r="M58" i="14696" l="1"/>
  <c r="L59" i="14696"/>
  <c r="G23" i="14696" l="1"/>
  <c r="B35" i="14649" s="1"/>
  <c r="G21" i="14696"/>
  <c r="M59" i="14696"/>
  <c r="L60" i="14696"/>
  <c r="M60" i="14696" s="1"/>
  <c r="B56" i="14710" l="1"/>
  <c r="B34" i="146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M26" authorId="0" shapeId="0" xr:uid="{00000000-0006-0000-0000-000001000000}">
      <text>
        <r>
          <rPr>
            <b/>
            <sz val="10"/>
            <color indexed="81"/>
            <rFont val="Tahoma"/>
            <family val="2"/>
          </rPr>
          <t>Miguel:</t>
        </r>
        <r>
          <rPr>
            <sz val="10"/>
            <color indexed="81"/>
            <rFont val="Tahoma"/>
            <family val="2"/>
          </rPr>
          <t xml:space="preserve">
   Solo si se definen políticas diferenciadas por años o por familias de ventas (o ambos criterios), sino basta con los criterios generales definidos en lahohja de </t>
        </r>
        <r>
          <rPr>
            <b/>
            <sz val="10"/>
            <color indexed="81"/>
            <rFont val="Tahoma"/>
            <family val="2"/>
          </rPr>
          <t>Parametros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D33" authorId="0" shapeId="0" xr:uid="{00000000-0006-0000-0F00-000001000000}">
      <text>
        <r>
          <rPr>
            <b/>
            <sz val="11"/>
            <color indexed="81"/>
            <rFont val="Tahoma"/>
            <family val="2"/>
          </rPr>
          <t>Miguel:</t>
        </r>
        <r>
          <rPr>
            <sz val="11"/>
            <color indexed="81"/>
            <rFont val="Tahoma"/>
            <family val="2"/>
          </rPr>
          <t xml:space="preserve">
meses sin cobrar para los socios gestores al inicio de la actividad para facilitar excepcionalmente las tesorerías de los primeros meses.</t>
        </r>
      </text>
    </comment>
    <comment ref="D34" authorId="0" shapeId="0" xr:uid="{00000000-0006-0000-0F00-000002000000}">
      <text>
        <r>
          <rPr>
            <b/>
            <sz val="11"/>
            <color indexed="81"/>
            <rFont val="Tahoma"/>
            <family val="2"/>
          </rPr>
          <t>Miguel:</t>
        </r>
        <r>
          <rPr>
            <sz val="11"/>
            <color indexed="81"/>
            <rFont val="Tahoma"/>
            <family val="2"/>
          </rPr>
          <t xml:space="preserve">
meses sin cobrar para los socios gestores al inicio de la actividad para facilitar excepcionalmente las tesorerías de los primeros meses.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Miguel Martinez</author>
    <author>M Vicenta Perez Silvestre</author>
    <author>alejandro magnet</author>
  </authors>
  <commentList>
    <comment ref="E7" authorId="0" shapeId="0" xr:uid="{00000000-0006-0000-1000-000001000000}">
      <text>
        <r>
          <rPr>
            <b/>
            <sz val="9"/>
            <color indexed="81"/>
            <rFont val="Tahoma"/>
            <family val="2"/>
          </rPr>
          <t>Miguel Martinez:</t>
        </r>
        <r>
          <rPr>
            <sz val="9"/>
            <color indexed="81"/>
            <rFont val="Tahoma"/>
            <family val="2"/>
          </rPr>
          <t xml:space="preserve">
Se calcula el % sobre las ventas anuales y luego se reparte en los pagos anuales correspondientes.</t>
        </r>
      </text>
    </comment>
    <comment ref="E8" authorId="0" shapeId="0" xr:uid="{00000000-0006-0000-1000-000002000000}">
      <text>
        <r>
          <rPr>
            <b/>
            <sz val="9"/>
            <color indexed="81"/>
            <rFont val="Tahoma"/>
            <family val="2"/>
          </rPr>
          <t>Miguel Martinez:</t>
        </r>
        <r>
          <rPr>
            <sz val="9"/>
            <color indexed="81"/>
            <rFont val="Tahoma"/>
            <family val="2"/>
          </rPr>
          <t xml:space="preserve">
Se calcula el % sobre las ventas anuales y luego se reparte en los pagos anuales correspondientes.</t>
        </r>
      </text>
    </comment>
    <comment ref="D20" authorId="1" shapeId="0" xr:uid="{00000000-0006-0000-1000-000003000000}">
      <text>
        <r>
          <rPr>
            <sz val="11"/>
            <color indexed="81"/>
            <rFont val="Tahoma"/>
            <family val="2"/>
          </rPr>
          <t>CAC (Coste de Adquisición del Cliente): lo que cuesta incorporar en media cada nuevo cliente .
CAC =   Coste Mk y Comunicación total de un periodo / nº Clientes nuevos adquiridos en ese periodo</t>
        </r>
      </text>
    </comment>
    <comment ref="D22" authorId="1" shapeId="0" xr:uid="{00000000-0006-0000-1000-000004000000}">
      <text>
        <r>
          <rPr>
            <sz val="11"/>
            <color indexed="81"/>
            <rFont val="Tahoma"/>
            <family val="2"/>
          </rPr>
          <t>Precio de Venta Promedio (TP) = (Facturación Anual / Nº Uds Vendidas Año)</t>
        </r>
      </text>
    </comment>
    <comment ref="B26" authorId="1" shapeId="0" xr:uid="{00000000-0006-0000-1000-000005000000}">
      <text>
        <r>
          <rPr>
            <sz val="10"/>
            <color indexed="81"/>
            <rFont val="Tahoma"/>
            <family val="2"/>
          </rPr>
          <t>Número de Recurrencia en la Compra que tienen los Clientes, es decir, Nº de veces de media que compran los clientes.
La Recurrencia depende de cada Negocio y puede diferir de uno a otro.</t>
        </r>
      </text>
    </comment>
    <comment ref="F26" authorId="2" shapeId="0" xr:uid="{00000000-0006-0000-1000-000006000000}">
      <text>
        <r>
          <rPr>
            <sz val="9"/>
            <color indexed="81"/>
            <rFont val="Tahoma"/>
            <family val="2"/>
          </rPr>
          <t>Reflejar el número de recurrencia de venta por cliente
Este número dependera del tipo de negocio.</t>
        </r>
      </text>
    </comment>
    <comment ref="C27" authorId="1" shapeId="0" xr:uid="{00000000-0006-0000-1000-000007000000}">
      <text>
        <r>
          <rPr>
            <sz val="9"/>
            <color indexed="81"/>
            <rFont val="Tahoma"/>
            <family val="2"/>
          </rPr>
          <t>Años que se espera que el Cliente tenga relación  con nuestra empresa.</t>
        </r>
      </text>
    </comment>
    <comment ref="F27" authorId="2" shapeId="0" xr:uid="{00000000-0006-0000-1000-000008000000}">
      <text>
        <r>
          <rPr>
            <sz val="9"/>
            <color indexed="81"/>
            <rFont val="Tahoma"/>
            <family val="2"/>
          </rPr>
          <t>Indicar el número de años en que el cliente tiene relación con nuestra empresa.</t>
        </r>
      </text>
    </comment>
    <comment ref="D30" authorId="1" shapeId="0" xr:uid="{00000000-0006-0000-1000-000009000000}">
      <text>
        <r>
          <rPr>
            <sz val="11"/>
            <color indexed="81"/>
            <rFont val="Tahoma"/>
            <family val="2"/>
          </rPr>
          <t>LTV (Life Time Value) (Valor del Cliente en su vida útil): lo que nos da de beneficio un cliente durante su relación con la empresa.
Formula: Precio Venta Promedio (TP), por las veces que compra (RA), por el número de años de relación con la empresa (VC), y por el % de Margén Bruto(MB)</t>
        </r>
      </text>
    </comment>
    <comment ref="F30" authorId="1" shapeId="0" xr:uid="{00000000-0006-0000-1000-00000A000000}">
      <text>
        <r>
          <rPr>
            <b/>
            <sz val="10"/>
            <color indexed="81"/>
            <rFont val="Tahoma"/>
            <family val="2"/>
          </rPr>
          <t xml:space="preserve">¡ Atención ¡ 
</t>
        </r>
        <r>
          <rPr>
            <sz val="10"/>
            <color indexed="81"/>
            <rFont val="Tahoma"/>
            <family val="2"/>
          </rPr>
          <t>Para que este dato sea significativo,</t>
        </r>
        <r>
          <rPr>
            <b/>
            <sz val="10"/>
            <color indexed="81"/>
            <rFont val="Tahoma"/>
            <family val="2"/>
          </rPr>
          <t xml:space="preserve"> las</t>
        </r>
        <r>
          <rPr>
            <sz val="10"/>
            <color indexed="81"/>
            <rFont val="Tahoma"/>
            <family val="2"/>
          </rPr>
          <t xml:space="preserve"> </t>
        </r>
        <r>
          <rPr>
            <b/>
            <sz val="10"/>
            <color indexed="81"/>
            <rFont val="Tahoma"/>
            <family val="2"/>
          </rPr>
          <t>medidas de referencia reflejadas en la hoja 1, para todas las familias de productos / servicios, deben estar determinadas en unidades físicas y ser homogéneas</t>
        </r>
        <r>
          <rPr>
            <sz val="10"/>
            <color indexed="81"/>
            <rFont val="Tahoma"/>
            <family val="2"/>
          </rPr>
          <t>.</t>
        </r>
      </text>
    </comment>
    <comment ref="H30" authorId="1" shapeId="0" xr:uid="{00000000-0006-0000-1000-00000B000000}">
      <text>
        <r>
          <rPr>
            <b/>
            <sz val="10"/>
            <color indexed="81"/>
            <rFont val="Tahoma"/>
            <family val="2"/>
          </rPr>
          <t xml:space="preserve">¡ Atención ¡ 
</t>
        </r>
        <r>
          <rPr>
            <sz val="10"/>
            <color indexed="81"/>
            <rFont val="Tahoma"/>
            <family val="2"/>
          </rPr>
          <t>Para que este dato sea significativo,</t>
        </r>
        <r>
          <rPr>
            <b/>
            <sz val="10"/>
            <color indexed="81"/>
            <rFont val="Tahoma"/>
            <family val="2"/>
          </rPr>
          <t xml:space="preserve"> las</t>
        </r>
        <r>
          <rPr>
            <sz val="10"/>
            <color indexed="81"/>
            <rFont val="Tahoma"/>
            <family val="2"/>
          </rPr>
          <t xml:space="preserve"> </t>
        </r>
        <r>
          <rPr>
            <b/>
            <sz val="10"/>
            <color indexed="81"/>
            <rFont val="Tahoma"/>
            <family val="2"/>
          </rPr>
          <t>medidas de referencia reflejadas en la hoja 1, para todas las familias de productos / servicios, deben estar determinadas en unidades físicas y ser homogéneas</t>
        </r>
        <r>
          <rPr>
            <sz val="10"/>
            <color indexed="81"/>
            <rFont val="Tahoma"/>
            <family val="2"/>
          </rPr>
          <t>.</t>
        </r>
      </text>
    </comment>
    <comment ref="J30" authorId="1" shapeId="0" xr:uid="{00000000-0006-0000-1000-00000C000000}">
      <text>
        <r>
          <rPr>
            <b/>
            <sz val="10"/>
            <color indexed="81"/>
            <rFont val="Tahoma"/>
            <family val="2"/>
          </rPr>
          <t xml:space="preserve">¡ Atención ¡ 
</t>
        </r>
        <r>
          <rPr>
            <sz val="10"/>
            <color indexed="81"/>
            <rFont val="Tahoma"/>
            <family val="2"/>
          </rPr>
          <t>Para que este dato sea significativo,</t>
        </r>
        <r>
          <rPr>
            <b/>
            <sz val="10"/>
            <color indexed="81"/>
            <rFont val="Tahoma"/>
            <family val="2"/>
          </rPr>
          <t xml:space="preserve"> las</t>
        </r>
        <r>
          <rPr>
            <sz val="10"/>
            <color indexed="81"/>
            <rFont val="Tahoma"/>
            <family val="2"/>
          </rPr>
          <t xml:space="preserve"> </t>
        </r>
        <r>
          <rPr>
            <b/>
            <sz val="10"/>
            <color indexed="81"/>
            <rFont val="Tahoma"/>
            <family val="2"/>
          </rPr>
          <t>medidas de referencia reflejadas en la hoja 1, para todas las familias de productos / servicios, deben estar determinadas en unidades físicas y ser homogéneas</t>
        </r>
        <r>
          <rPr>
            <sz val="10"/>
            <color indexed="81"/>
            <rFont val="Tahoma"/>
            <family val="2"/>
          </rPr>
          <t>.</t>
        </r>
      </text>
    </comment>
    <comment ref="L30" authorId="1" shapeId="0" xr:uid="{00000000-0006-0000-1000-00000D000000}">
      <text>
        <r>
          <rPr>
            <b/>
            <sz val="10"/>
            <color indexed="81"/>
            <rFont val="Tahoma"/>
            <family val="2"/>
          </rPr>
          <t xml:space="preserve">¡ Atención ¡ 
</t>
        </r>
        <r>
          <rPr>
            <sz val="10"/>
            <color indexed="81"/>
            <rFont val="Tahoma"/>
            <family val="2"/>
          </rPr>
          <t>Para que este dato sea significativo,</t>
        </r>
        <r>
          <rPr>
            <b/>
            <sz val="10"/>
            <color indexed="81"/>
            <rFont val="Tahoma"/>
            <family val="2"/>
          </rPr>
          <t xml:space="preserve"> las</t>
        </r>
        <r>
          <rPr>
            <sz val="10"/>
            <color indexed="81"/>
            <rFont val="Tahoma"/>
            <family val="2"/>
          </rPr>
          <t xml:space="preserve"> </t>
        </r>
        <r>
          <rPr>
            <b/>
            <sz val="10"/>
            <color indexed="81"/>
            <rFont val="Tahoma"/>
            <family val="2"/>
          </rPr>
          <t>medidas de referencia reflejadas en la hoja 1, para todas las familias de productos / servicios, deben estar determinadas en unidades físicas y ser homogéneas</t>
        </r>
        <r>
          <rPr>
            <sz val="10"/>
            <color indexed="81"/>
            <rFont val="Tahoma"/>
            <family val="2"/>
          </rPr>
          <t>.</t>
        </r>
      </text>
    </comment>
    <comment ref="N30" authorId="1" shapeId="0" xr:uid="{00000000-0006-0000-1000-00000E000000}">
      <text>
        <r>
          <rPr>
            <b/>
            <sz val="10"/>
            <color indexed="81"/>
            <rFont val="Tahoma"/>
            <family val="2"/>
          </rPr>
          <t xml:space="preserve">¡ Atención ¡ 
</t>
        </r>
        <r>
          <rPr>
            <sz val="10"/>
            <color indexed="81"/>
            <rFont val="Tahoma"/>
            <family val="2"/>
          </rPr>
          <t>Para que este dato sea significativo,</t>
        </r>
        <r>
          <rPr>
            <b/>
            <sz val="10"/>
            <color indexed="81"/>
            <rFont val="Tahoma"/>
            <family val="2"/>
          </rPr>
          <t xml:space="preserve"> las</t>
        </r>
        <r>
          <rPr>
            <sz val="10"/>
            <color indexed="81"/>
            <rFont val="Tahoma"/>
            <family val="2"/>
          </rPr>
          <t xml:space="preserve"> </t>
        </r>
        <r>
          <rPr>
            <b/>
            <sz val="10"/>
            <color indexed="81"/>
            <rFont val="Tahoma"/>
            <family val="2"/>
          </rPr>
          <t>medidas de referencia reflejadas en la hoja 1, para todas las familias de productos / servicios, deben estar determinadas en unidades físicas y ser homogéneas</t>
        </r>
        <r>
          <rPr>
            <sz val="10"/>
            <color indexed="81"/>
            <rFont val="Tahoma"/>
            <family val="2"/>
          </rPr>
          <t>.</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Miguel Martinez</author>
    <author>Homologacion</author>
    <author>Miguel</author>
    <author>Miguel Martínez</author>
    <author>Abderraman 6.327</author>
  </authors>
  <commentList>
    <comment ref="U5" authorId="0" shapeId="0" xr:uid="{00000000-0006-0000-1100-000001000000}">
      <text>
        <r>
          <rPr>
            <b/>
            <sz val="9"/>
            <color indexed="81"/>
            <rFont val="Tahoma"/>
            <family val="2"/>
          </rPr>
          <t>Miguel Martinez:</t>
        </r>
        <r>
          <rPr>
            <sz val="9"/>
            <color indexed="81"/>
            <rFont val="Tahoma"/>
            <family val="2"/>
          </rPr>
          <t xml:space="preserve">
La periodicidad de distribución de los gastos de cada capítulo será la que se establezca para el Año 0</t>
        </r>
      </text>
    </comment>
    <comment ref="A7" authorId="1" shapeId="0" xr:uid="{00000000-0006-0000-1100-000002000000}">
      <text>
        <r>
          <rPr>
            <sz val="8"/>
            <color indexed="81"/>
            <rFont val="Tahoma"/>
            <family val="2"/>
          </rPr>
          <t xml:space="preserve">Por ejemplo la cuota de módulos u otras.
</t>
        </r>
      </text>
    </comment>
    <comment ref="A21" authorId="2" shapeId="0" xr:uid="{00000000-0006-0000-1100-000003000000}">
      <text>
        <r>
          <rPr>
            <b/>
            <sz val="8"/>
            <color indexed="81"/>
            <rFont val="Tahoma"/>
            <family val="2"/>
          </rPr>
          <t>Miguel:</t>
        </r>
        <r>
          <rPr>
            <sz val="8"/>
            <color indexed="81"/>
            <rFont val="Tahoma"/>
            <family val="2"/>
          </rPr>
          <t xml:space="preserve">
   El alquiler mensual se usa para calcular automáticamente la fianza en la inversión y balance iniciales.</t>
        </r>
      </text>
    </comment>
    <comment ref="B22" authorId="0" shapeId="0" xr:uid="{00000000-0006-0000-1100-000004000000}">
      <text>
        <r>
          <rPr>
            <b/>
            <sz val="9"/>
            <color indexed="81"/>
            <rFont val="Tahoma"/>
            <family val="2"/>
          </rPr>
          <t>Miguel Martinez:</t>
        </r>
        <r>
          <rPr>
            <sz val="9"/>
            <color indexed="81"/>
            <rFont val="Tahoma"/>
            <family val="2"/>
          </rPr>
          <t xml:space="preserve">
Estos datos se modifican en la hoja de Gastos de Marketing</t>
        </r>
      </text>
    </comment>
    <comment ref="U22" authorId="0" shapeId="0" xr:uid="{00000000-0006-0000-1100-000005000000}">
      <text>
        <r>
          <rPr>
            <b/>
            <sz val="9"/>
            <color indexed="81"/>
            <rFont val="Tahoma"/>
            <family val="2"/>
          </rPr>
          <t>Miguel Martinez:</t>
        </r>
        <r>
          <rPr>
            <sz val="9"/>
            <color indexed="81"/>
            <rFont val="Tahoma"/>
            <family val="2"/>
          </rPr>
          <t xml:space="preserve">
Estos datos se pueden modificar en la hoja de Gastos de marketing</t>
        </r>
      </text>
    </comment>
    <comment ref="B27" authorId="3" shapeId="0" xr:uid="{00000000-0006-0000-1100-000006000000}">
      <text>
        <r>
          <rPr>
            <b/>
            <sz val="8"/>
            <color indexed="81"/>
            <rFont val="Tahoma"/>
            <family val="2"/>
          </rPr>
          <t>Miguel Martínez:</t>
        </r>
        <r>
          <rPr>
            <sz val="8"/>
            <color indexed="81"/>
            <rFont val="Tahoma"/>
            <family val="2"/>
          </rPr>
          <t xml:space="preserve">
   Es una estimación que incrementa los gastos fijos anuales en un porcentaje (10% por defecto) para  cubrir gastos imprevistos o impredecibles.</t>
        </r>
      </text>
    </comment>
    <comment ref="C32" authorId="2" shapeId="0" xr:uid="{00000000-0006-0000-1100-000007000000}">
      <text>
        <r>
          <rPr>
            <b/>
            <sz val="10"/>
            <color indexed="81"/>
            <rFont val="Tahoma"/>
            <family val="2"/>
          </rPr>
          <t>Miguel:</t>
        </r>
        <r>
          <rPr>
            <sz val="10"/>
            <color indexed="81"/>
            <rFont val="Tahoma"/>
            <family val="2"/>
          </rPr>
          <t xml:space="preserve">
nº de mensualidades de alquiler que se han de depositar como fianza al inicio del primer mes de actividad.</t>
        </r>
      </text>
    </comment>
    <comment ref="C33" authorId="4" shapeId="0" xr:uid="{00000000-0006-0000-1100-000008000000}">
      <text>
        <r>
          <rPr>
            <b/>
            <sz val="10"/>
            <color indexed="81"/>
            <rFont val="Tahoma"/>
            <family val="2"/>
          </rPr>
          <t>MMP:</t>
        </r>
        <r>
          <rPr>
            <sz val="10"/>
            <color indexed="81"/>
            <rFont val="Tahoma"/>
            <family val="2"/>
          </rPr>
          <t xml:space="preserve">
    Se supone que los meses iniciales sin alquiler son debidos a la inversión en la reforma del local.
    Contablemente se imputa el gasto en el mes en que se produzca (alquiler) pero en el balance inicial en el pasivo aparece el importe de los alquileres que se ahorrarán en el pasivo dentro de Otros acreedores C.P. y los alquileres devengados y no pagados se van detrayendo de esta partida.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B7" authorId="0" shapeId="0" xr:uid="{00000000-0006-0000-1200-000001000000}">
      <text>
        <r>
          <rPr>
            <b/>
            <sz val="8"/>
            <color indexed="81"/>
            <rFont val="Tahoma"/>
            <family val="2"/>
          </rPr>
          <t>Miguel:</t>
        </r>
        <r>
          <rPr>
            <sz val="8"/>
            <color indexed="81"/>
            <rFont val="Tahoma"/>
            <family val="2"/>
          </rPr>
          <t xml:space="preserve">
</t>
        </r>
        <r>
          <rPr>
            <sz val="10"/>
            <color indexed="81"/>
            <rFont val="Tahoma"/>
            <family val="2"/>
          </rPr>
          <t>La columna de datos se puede usar cuando los precios no tienen estacionalidad y son los mismos para todos los meses del año.
Si se desea hacer las previsiones de ventas directamente en Euros, habría que poner aquí directamente 1 ( o 1000 si se quisieran hacer en miles de euros) en TODAS las familias cuyas ventas se vaya a especificar en la siguiente hoja (Ventas) en Euros y no en Unidades.</t>
        </r>
      </text>
    </comment>
    <comment ref="A17" authorId="0" shapeId="0" xr:uid="{00000000-0006-0000-1200-000002000000}">
      <text>
        <r>
          <rPr>
            <b/>
            <sz val="11"/>
            <color indexed="81"/>
            <rFont val="Tahoma"/>
            <family val="2"/>
          </rPr>
          <t>Miguel:</t>
        </r>
        <r>
          <rPr>
            <sz val="11"/>
            <color indexed="81"/>
            <rFont val="Tahoma"/>
            <family val="2"/>
          </rPr>
          <t xml:space="preserve">
     Habría que hacer un análisis de costes o escandallo por cada una de las familias. NO se deben incluir los costes de mano de obra, cuando el personal correspondiente esté incluido en la hoja de plantilla con sus sueldos y cotizaciones sociales correspondientes.
     Los costes NO deben incluir el IVA (IGIC, IPSI), excepto en el caso de negocios en recargo de equivalencia, o exentos de IVA. En estos casos el IVA (IGIC, IPSI) soportado es un COSTE.</t>
        </r>
      </text>
    </comment>
    <comment ref="B19" authorId="0" shapeId="0" xr:uid="{00000000-0006-0000-1200-000003000000}">
      <text>
        <r>
          <rPr>
            <b/>
            <sz val="8"/>
            <color indexed="81"/>
            <rFont val="Tahoma"/>
            <family val="2"/>
          </rPr>
          <t>Miguel:</t>
        </r>
        <r>
          <rPr>
            <sz val="8"/>
            <color indexed="81"/>
            <rFont val="Tahoma"/>
            <family val="2"/>
          </rPr>
          <t xml:space="preserve">
</t>
        </r>
        <r>
          <rPr>
            <sz val="10"/>
            <color indexed="81"/>
            <rFont val="Tahoma"/>
            <family val="2"/>
          </rPr>
          <t>La columna de datos se puede usar cuando los precios no tienen estacionalidad y son los mismos para todos los meses del año.</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B19" authorId="0" shapeId="0" xr:uid="{00000000-0006-0000-1300-000001000000}">
      <text>
        <r>
          <rPr>
            <sz val="10"/>
            <color indexed="81"/>
            <rFont val="Tahoma"/>
            <family val="2"/>
          </rPr>
          <t xml:space="preserve">No puede haber pagos de contado a proveedores pendientes, como poco a 30 días.
</t>
        </r>
      </text>
    </comment>
    <comment ref="B67" authorId="0" shapeId="0" xr:uid="{00000000-0006-0000-1300-000002000000}">
      <text>
        <r>
          <rPr>
            <sz val="10"/>
            <color indexed="81"/>
            <rFont val="Tahoma"/>
            <family val="2"/>
          </rPr>
          <t xml:space="preserve">No puede haber pagos de contado a proveedores pendientes, como mínimo tendrían que ser a 30 días.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Miguel Martinez</author>
    <author>Miguel</author>
  </authors>
  <commentList>
    <comment ref="B6" authorId="0" shapeId="0" xr:uid="{00000000-0006-0000-1400-000001000000}">
      <text>
        <r>
          <rPr>
            <b/>
            <sz val="9"/>
            <color indexed="81"/>
            <rFont val="Tahoma"/>
            <family val="2"/>
          </rPr>
          <t>Miguel Martinez:</t>
        </r>
        <r>
          <rPr>
            <sz val="9"/>
            <color indexed="81"/>
            <rFont val="Tahoma"/>
            <family val="2"/>
          </rPr>
          <t xml:space="preserve">
Por defecto en el año 0 se utiliza una fórmula para simular el transitorio inicial desde las ventas del mes0 hasta las ventas "normales" del año1 que es una rampa modificada para acercarse a la estacionalidad de las ventas del año 1.  
Estas fórmulas se pueden borrar y sustituirlas por otras o por valores directamente. Los cálculos se realizarán correctamente en cualquier caso.</t>
        </r>
      </text>
    </comment>
    <comment ref="P6" authorId="1" shapeId="0" xr:uid="{00000000-0006-0000-1400-000002000000}">
      <text>
        <r>
          <rPr>
            <b/>
            <sz val="9"/>
            <color indexed="81"/>
            <rFont val="Tahoma"/>
            <family val="2"/>
          </rPr>
          <t>Miguel:</t>
        </r>
        <r>
          <rPr>
            <sz val="9"/>
            <color indexed="81"/>
            <rFont val="Tahoma"/>
            <family val="2"/>
          </rPr>
          <t xml:space="preserve">
El número de clientes debe ser calculado con una fórmula que haga referencia a la hoja Estimaciones de Ventas a las líneas correspondientes en cada año.</t>
        </r>
      </text>
    </comment>
    <comment ref="P19" authorId="1" shapeId="0" xr:uid="{00000000-0006-0000-1400-000003000000}">
      <text>
        <r>
          <rPr>
            <b/>
            <sz val="9"/>
            <color indexed="81"/>
            <rFont val="Tahoma"/>
            <family val="2"/>
          </rPr>
          <t>Miguel:</t>
        </r>
        <r>
          <rPr>
            <sz val="9"/>
            <color indexed="81"/>
            <rFont val="Tahoma"/>
            <family val="2"/>
          </rPr>
          <t xml:space="preserve">
El número de clientes debe ser calculado con una fórmula que haga referencia a la hoja Estimaciones de Ventas a las líneas correspondientes en cada año.</t>
        </r>
      </text>
    </comment>
    <comment ref="P32" authorId="1" shapeId="0" xr:uid="{00000000-0006-0000-1400-000004000000}">
      <text>
        <r>
          <rPr>
            <b/>
            <sz val="9"/>
            <color indexed="81"/>
            <rFont val="Tahoma"/>
            <family val="2"/>
          </rPr>
          <t>Miguel:</t>
        </r>
        <r>
          <rPr>
            <sz val="9"/>
            <color indexed="81"/>
            <rFont val="Tahoma"/>
            <family val="2"/>
          </rPr>
          <t xml:space="preserve">
El número de clientes debe ser calculado con una fórmula que haga referencia a la hoja Estimaciones de Ventas a las líneas correspondientes en cada año.</t>
        </r>
      </text>
    </comment>
    <comment ref="P45" authorId="1" shapeId="0" xr:uid="{00000000-0006-0000-1400-000005000000}">
      <text>
        <r>
          <rPr>
            <b/>
            <sz val="9"/>
            <color indexed="81"/>
            <rFont val="Tahoma"/>
            <family val="2"/>
          </rPr>
          <t>Miguel:</t>
        </r>
        <r>
          <rPr>
            <sz val="9"/>
            <color indexed="81"/>
            <rFont val="Tahoma"/>
            <family val="2"/>
          </rPr>
          <t xml:space="preserve">
El número de clientes debe ser calculado con una fórmula que haga referencia a la hoja Estimaciones de Ventas a las líneas correspondientes en cada año.</t>
        </r>
      </text>
    </comment>
    <comment ref="P58" authorId="1" shapeId="0" xr:uid="{00000000-0006-0000-1400-000006000000}">
      <text>
        <r>
          <rPr>
            <b/>
            <sz val="9"/>
            <color indexed="81"/>
            <rFont val="Tahoma"/>
            <family val="2"/>
          </rPr>
          <t>Miguel:</t>
        </r>
        <r>
          <rPr>
            <sz val="9"/>
            <color indexed="81"/>
            <rFont val="Tahoma"/>
            <family val="2"/>
          </rPr>
          <t xml:space="preserve">
El número de clientes debe ser calculado con una fórmula que haga referencia a la hoja Estimaciones de Ventas a las líneas correspondientes en cada año.</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A6" authorId="0" shapeId="0" xr:uid="{00000000-0006-0000-2100-000001000000}">
      <text>
        <r>
          <rPr>
            <b/>
            <sz val="8"/>
            <color indexed="81"/>
            <rFont val="Tahoma"/>
            <family val="2"/>
          </rPr>
          <t>Miguel:</t>
        </r>
        <r>
          <rPr>
            <sz val="8"/>
            <color indexed="81"/>
            <rFont val="Tahoma"/>
            <family val="2"/>
          </rPr>
          <t xml:space="preserve">
Se va a suponer que las ventas del año 5, el siguiente al último de simulación son iguales al año 4</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Miguel Martinez</author>
  </authors>
  <commentList>
    <comment ref="F1" authorId="0" shapeId="0" xr:uid="{00000000-0006-0000-2900-000001000000}">
      <text>
        <r>
          <rPr>
            <b/>
            <sz val="12"/>
            <color indexed="81"/>
            <rFont val="Tahoma"/>
            <family val="2"/>
          </rPr>
          <t>Miguel Martinez:</t>
        </r>
        <r>
          <rPr>
            <sz val="12"/>
            <color indexed="81"/>
            <rFont val="Tahoma"/>
            <family val="2"/>
          </rPr>
          <t xml:space="preserve">
Balances anuales ordenados según el orden anglosajón:
Elos activos de mayhor disponibilidad a menor disponibilidad (liquidez)
En los pasivos de exigibilidad más inminente a por último los pasivos (patrimonio neto) inexigibles.</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Miguel</author>
    <author>Miguel Martínez</author>
  </authors>
  <commentList>
    <comment ref="A1" authorId="0" shapeId="0" xr:uid="{00000000-0006-0000-2C00-000001000000}">
      <text>
        <r>
          <rPr>
            <b/>
            <sz val="10"/>
            <color indexed="81"/>
            <rFont val="Tahoma"/>
            <family val="2"/>
          </rPr>
          <t>Miguel:</t>
        </r>
        <r>
          <rPr>
            <sz val="10"/>
            <color indexed="81"/>
            <rFont val="Tahoma"/>
            <family val="2"/>
          </rPr>
          <t xml:space="preserve">
SOLO Para Profesionales y Empresarios Individuales, Sociedades Civiles y Comunidades de Bienes.
NO Para Cooperativas, Sociedades Limitadas o Anónimas.</t>
        </r>
      </text>
    </comment>
    <comment ref="J9" authorId="0" shapeId="0" xr:uid="{00000000-0006-0000-2C00-000002000000}">
      <text>
        <r>
          <rPr>
            <b/>
            <sz val="12"/>
            <color indexed="81"/>
            <rFont val="Tahoma"/>
            <family val="2"/>
          </rPr>
          <t>Miguel:</t>
        </r>
        <r>
          <rPr>
            <sz val="12"/>
            <color indexed="81"/>
            <rFont val="Tahoma"/>
            <family val="2"/>
          </rPr>
          <t xml:space="preserve">
El mínimo exento no puede ser inferior a 3400 euros (soltero sin hijos y sin cualquier tipo de exenciones por minusvalía, etc)</t>
        </r>
      </text>
    </comment>
    <comment ref="B14" authorId="0" shapeId="0" xr:uid="{00000000-0006-0000-2C00-000003000000}">
      <text>
        <r>
          <rPr>
            <b/>
            <sz val="8"/>
            <color indexed="81"/>
            <rFont val="Tahoma"/>
            <family val="2"/>
          </rPr>
          <t>Miguel:</t>
        </r>
        <r>
          <rPr>
            <sz val="8"/>
            <color indexed="81"/>
            <rFont val="Tahoma"/>
            <family val="2"/>
          </rPr>
          <t xml:space="preserve">
Los Sueldos de los socios no son gastos deducibles.</t>
        </r>
      </text>
    </comment>
    <comment ref="J19" authorId="0" shapeId="0" xr:uid="{00000000-0006-0000-2C00-000004000000}">
      <text>
        <r>
          <rPr>
            <b/>
            <sz val="11"/>
            <color indexed="81"/>
            <rFont val="Tahoma"/>
            <family val="2"/>
          </rPr>
          <t>Miguel:</t>
        </r>
        <r>
          <rPr>
            <sz val="11"/>
            <color indexed="81"/>
            <rFont val="Tahoma"/>
            <family val="2"/>
          </rPr>
          <t xml:space="preserve">
     número de socios entre los que  sería distribuible la renta obtenida por el negocio a efectos fiscales. 
      Se calculan en la hoja </t>
        </r>
        <r>
          <rPr>
            <b/>
            <sz val="11"/>
            <color indexed="81"/>
            <rFont val="Tahoma"/>
            <family val="2"/>
          </rPr>
          <t>Plantilla, NO aquí.</t>
        </r>
      </text>
    </comment>
    <comment ref="B23" authorId="0" shapeId="0" xr:uid="{00000000-0006-0000-2C00-000005000000}">
      <text>
        <r>
          <rPr>
            <b/>
            <sz val="10"/>
            <color indexed="81"/>
            <rFont val="Tahoma"/>
            <family val="2"/>
          </rPr>
          <t>Miguel:</t>
        </r>
        <r>
          <rPr>
            <sz val="10"/>
            <color indexed="81"/>
            <rFont val="Tahoma"/>
            <family val="2"/>
          </rPr>
          <t xml:space="preserve">
Solo en el caso de profesionales
</t>
        </r>
      </text>
    </comment>
    <comment ref="B27" authorId="0" shapeId="0" xr:uid="{00000000-0006-0000-2C00-000006000000}">
      <text>
        <r>
          <rPr>
            <b/>
            <sz val="11"/>
            <color indexed="81"/>
            <rFont val="Tahoma"/>
            <family val="2"/>
          </rPr>
          <t xml:space="preserve">     MINIMO VITAL
</t>
        </r>
        <r>
          <rPr>
            <sz val="11"/>
            <color indexed="81"/>
            <rFont val="Tahoma"/>
            <family val="2"/>
          </rPr>
          <t xml:space="preserve">
Esta cantidad también depende de condiciones personales del sujeto pasivo y de otros factores como por ejemplo si se declara conjuntamente con el cónyege o no, entre otros.
Aún así, se ha considerado. Por defecto 3000€ es el mínimo posible para una sola persona.</t>
        </r>
      </text>
    </comment>
    <comment ref="B32" authorId="1" shapeId="0" xr:uid="{56B891DE-A621-4D40-85DD-3BB80E21392A}">
      <text>
        <r>
          <rPr>
            <b/>
            <sz val="9"/>
            <color indexed="81"/>
            <rFont val="Tahoma"/>
            <family val="2"/>
          </rPr>
          <t>Miguel Martínez:</t>
        </r>
        <r>
          <rPr>
            <sz val="9"/>
            <color indexed="81"/>
            <rFont val="Tahoma"/>
            <family val="2"/>
          </rPr>
          <t xml:space="preserve">
Se excluyen los sueldos de los socios y las cuotas de RETA
Cada año con el resultado del año anterior excepto el primero que se toma el mínimo por defecto.</t>
        </r>
      </text>
    </comment>
    <comment ref="C33" authorId="0" shapeId="0" xr:uid="{9DE4A966-1D8B-4C87-9C6E-EC824D4901F6}">
      <text>
        <r>
          <rPr>
            <b/>
            <sz val="9"/>
            <color indexed="81"/>
            <rFont val="Tahoma"/>
            <family val="2"/>
          </rPr>
          <t>Miguel:</t>
        </r>
        <r>
          <rPr>
            <sz val="9"/>
            <color indexed="81"/>
            <rFont val="Tahoma"/>
            <family val="2"/>
          </rPr>
          <t xml:space="preserve">
El primer año se supone el mínimo por defecto.</t>
        </r>
      </text>
    </comment>
    <comment ref="D37" authorId="0" shapeId="0" xr:uid="{79BCA054-48DD-4629-81EA-A2DCA40812EF}">
      <text>
        <r>
          <rPr>
            <b/>
            <sz val="9"/>
            <color indexed="81"/>
            <rFont val="Tahoma"/>
            <family val="2"/>
          </rPr>
          <t>Miguel:</t>
        </r>
        <r>
          <rPr>
            <sz val="9"/>
            <color indexed="81"/>
            <rFont val="Tahoma"/>
            <family val="2"/>
          </rPr>
          <t xml:space="preserve">
Cada año se calcula la cuota con el rendimiento previo del año anterior.</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B18" authorId="0" shapeId="0" xr:uid="{00000000-0006-0000-2B00-000001000000}">
      <text>
        <r>
          <rPr>
            <sz val="10"/>
            <color indexed="81"/>
            <rFont val="Tahoma"/>
            <family val="2"/>
          </rPr>
          <t xml:space="preserve">El primer ejercicio (Año 0) no se cierra y presenta hasta junio del año 1, por lo que no hay ingresos a cuenta hasta el 2P del 2º año o Año 1.
</t>
        </r>
      </text>
    </comment>
    <comment ref="D18" authorId="0" shapeId="0" xr:uid="{00000000-0006-0000-2B00-000002000000}">
      <text>
        <r>
          <rPr>
            <sz val="10"/>
            <color indexed="81"/>
            <rFont val="Tahoma"/>
            <family val="2"/>
          </rPr>
          <t xml:space="preserve">El primer ejercicio (Año 0) no se cierra y presenta hasta junio del año 1, por lo que no hay ingresos a cuenta hasta el 2P del 2º año o Año 1.
</t>
        </r>
      </text>
    </comment>
    <comment ref="B19" authorId="0" shapeId="0" xr:uid="{00000000-0006-0000-2B00-000003000000}">
      <text>
        <r>
          <rPr>
            <sz val="10"/>
            <color indexed="81"/>
            <rFont val="Tahoma"/>
            <family val="2"/>
          </rPr>
          <t xml:space="preserve">El primer ejercicio (Año 0) no se cierra y presenta hasta junio del año 1, por lo que no hay ingresos a cuenta hasta el 2P del 2º año o Año 1.
</t>
        </r>
      </text>
    </comment>
    <comment ref="B20" authorId="0" shapeId="0" xr:uid="{00000000-0006-0000-2B00-000004000000}">
      <text>
        <r>
          <rPr>
            <sz val="10"/>
            <color indexed="81"/>
            <rFont val="Tahoma"/>
            <family val="2"/>
          </rPr>
          <t xml:space="preserve">El primer ejercicio (Año 0) no se cierra y presenta hasta junio del año 1, por lo que no hay ingresos a cuenta hasta el 2P del 2º año o Año 1.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Miguel</author>
    <author>Miguel Martinez</author>
    <author>Abderraman 6.327</author>
  </authors>
  <commentList>
    <comment ref="A2" authorId="0" shapeId="0" xr:uid="{00000000-0006-0000-0200-000001000000}">
      <text>
        <r>
          <rPr>
            <sz val="11"/>
            <color indexed="81"/>
            <rFont val="Tahoma"/>
            <family val="2"/>
          </rPr>
          <t xml:space="preserve">Esta celda contiene la versión del Plan Financiero. NO TOCAR, sino NO FUNCIONARÁN algunas utilidades
</t>
        </r>
      </text>
    </comment>
    <comment ref="B7" authorId="0" shapeId="0" xr:uid="{00000000-0006-0000-0200-000002000000}">
      <text>
        <r>
          <rPr>
            <sz val="12"/>
            <color indexed="81"/>
            <rFont val="Tahoma"/>
            <family val="2"/>
          </rPr>
          <t xml:space="preserve">Nombre del Curso, localidad de impartición o de localización del proyecto.
</t>
        </r>
      </text>
    </comment>
    <comment ref="B9" authorId="0" shapeId="0" xr:uid="{00000000-0006-0000-0200-000003000000}">
      <text>
        <r>
          <rPr>
            <sz val="12"/>
            <color indexed="81"/>
            <rFont val="Tahoma"/>
            <family val="2"/>
          </rPr>
          <t>Nombre de la empresa o del proyecto</t>
        </r>
        <r>
          <rPr>
            <sz val="8"/>
            <color indexed="81"/>
            <rFont val="Tahoma"/>
            <family val="2"/>
          </rPr>
          <t xml:space="preserve">
</t>
        </r>
      </text>
    </comment>
    <comment ref="B13" authorId="0" shapeId="0" xr:uid="{00000000-0006-0000-0200-000004000000}">
      <text>
        <r>
          <rPr>
            <sz val="12"/>
            <color indexed="81"/>
            <rFont val="Tahoma"/>
            <family val="2"/>
          </rPr>
          <t>Fecha de realización del Plan</t>
        </r>
      </text>
    </comment>
    <comment ref="G13" authorId="1" shapeId="0" xr:uid="{00000000-0006-0000-0200-000005000000}">
      <text>
        <r>
          <rPr>
            <b/>
            <sz val="11"/>
            <color indexed="81"/>
            <rFont val="Tahoma"/>
            <family val="2"/>
          </rPr>
          <t>Miguel Martinez:</t>
        </r>
        <r>
          <rPr>
            <sz val="11"/>
            <color indexed="81"/>
            <rFont val="Tahoma"/>
            <family val="2"/>
          </rPr>
          <t xml:space="preserve">
Cuando se hace el plan financiero de una </t>
        </r>
        <r>
          <rPr>
            <b/>
            <i/>
            <sz val="11"/>
            <color indexed="81"/>
            <rFont val="Tahoma"/>
            <family val="2"/>
          </rPr>
          <t>empresa existente</t>
        </r>
        <r>
          <rPr>
            <sz val="11"/>
            <color indexed="81"/>
            <rFont val="Tahoma"/>
            <family val="2"/>
          </rPr>
          <t xml:space="preserve"> lo habitual y lógico es comenzar a partir de un Balance de Situación Previo (Bal. Previo) y sobre él hacer las estimaciones de nuevas inversiones, expansión, etc.
Cuando se hace el plan financiero de un</t>
        </r>
        <r>
          <rPr>
            <b/>
            <sz val="11"/>
            <color indexed="81"/>
            <rFont val="Tahoma"/>
            <family val="2"/>
          </rPr>
          <t xml:space="preserve"> </t>
        </r>
        <r>
          <rPr>
            <b/>
            <i/>
            <sz val="11"/>
            <color indexed="81"/>
            <rFont val="Tahoma"/>
            <family val="2"/>
          </rPr>
          <t>proyecto de empresa o de una empresa de nueva creación</t>
        </r>
        <r>
          <rPr>
            <b/>
            <sz val="11"/>
            <color indexed="81"/>
            <rFont val="Tahoma"/>
            <family val="2"/>
          </rPr>
          <t xml:space="preserve"> </t>
        </r>
        <r>
          <rPr>
            <sz val="11"/>
            <color indexed="81"/>
            <rFont val="Tahoma"/>
            <family val="2"/>
          </rPr>
          <t>lo lógico es partir de cero y poner todas las inversiones y financiaciones iniciales sin tener en cuenta el Balance Previo, puesto que no lo habrá.</t>
        </r>
      </text>
    </comment>
    <comment ref="B15" authorId="0" shapeId="0" xr:uid="{00000000-0006-0000-0200-000006000000}">
      <text>
        <r>
          <rPr>
            <sz val="12"/>
            <color indexed="81"/>
            <rFont val="Tahoma"/>
            <family val="2"/>
          </rPr>
          <t>Primer año de simulación: Año inicial del primer ejercicio económico</t>
        </r>
        <r>
          <rPr>
            <sz val="8"/>
            <color indexed="81"/>
            <rFont val="Tahoma"/>
            <family val="2"/>
          </rPr>
          <t xml:space="preserve">
</t>
        </r>
      </text>
    </comment>
    <comment ref="B18" authorId="1" shapeId="0" xr:uid="{00000000-0006-0000-0200-000007000000}">
      <text>
        <r>
          <rPr>
            <b/>
            <sz val="9"/>
            <color indexed="81"/>
            <rFont val="Tahoma"/>
            <family val="2"/>
          </rPr>
          <t>Miguel Martinez:</t>
        </r>
        <r>
          <rPr>
            <sz val="9"/>
            <color indexed="81"/>
            <rFont val="Tahoma"/>
            <family val="2"/>
          </rPr>
          <t xml:space="preserve">
</t>
        </r>
        <r>
          <rPr>
            <sz val="10"/>
            <color indexed="81"/>
            <rFont val="Tahoma"/>
            <family val="2"/>
          </rPr>
          <t>Año Inicial 0 ó 1</t>
        </r>
      </text>
    </comment>
    <comment ref="B19" authorId="1" shapeId="0" xr:uid="{00000000-0006-0000-0200-000008000000}">
      <text>
        <r>
          <rPr>
            <b/>
            <sz val="9"/>
            <color indexed="81"/>
            <rFont val="Tahoma"/>
            <family val="2"/>
          </rPr>
          <t>Miguel Martinez:</t>
        </r>
        <r>
          <rPr>
            <sz val="9"/>
            <color indexed="81"/>
            <rFont val="Tahoma"/>
            <family val="2"/>
          </rPr>
          <t xml:space="preserve">
</t>
        </r>
        <r>
          <rPr>
            <sz val="11"/>
            <color indexed="81"/>
            <rFont val="Tahoma"/>
            <family val="2"/>
          </rPr>
          <t xml:space="preserve">Si en los ejercicios aparecen días de la semana y no los ejercicios, cambiar </t>
        </r>
        <r>
          <rPr>
            <b/>
            <sz val="11"/>
            <color indexed="81"/>
            <rFont val="Tahoma"/>
            <family val="2"/>
          </rPr>
          <t>aa</t>
        </r>
        <r>
          <rPr>
            <sz val="11"/>
            <color indexed="81"/>
            <rFont val="Tahoma"/>
            <family val="2"/>
          </rPr>
          <t xml:space="preserve"> o </t>
        </r>
        <r>
          <rPr>
            <b/>
            <sz val="11"/>
            <color indexed="81"/>
            <rFont val="Tahoma"/>
            <family val="2"/>
          </rPr>
          <t xml:space="preserve">yy </t>
        </r>
        <r>
          <rPr>
            <sz val="11"/>
            <color indexed="81"/>
            <rFont val="Tahoma"/>
            <family val="2"/>
          </rPr>
          <t>en la celda</t>
        </r>
        <r>
          <rPr>
            <b/>
            <sz val="11"/>
            <color indexed="81"/>
            <rFont val="Tahoma"/>
            <family val="2"/>
          </rPr>
          <t xml:space="preserve"> O19</t>
        </r>
        <r>
          <rPr>
            <sz val="11"/>
            <color indexed="81"/>
            <rFont val="Tahoma"/>
            <family val="2"/>
          </rPr>
          <t xml:space="preserve"> de esta hoja para corregirlo.
Es una errata de Excel, no del PEF
</t>
        </r>
      </text>
    </comment>
    <comment ref="O19" authorId="1" shapeId="0" xr:uid="{00000000-0006-0000-0200-000009000000}">
      <text>
        <r>
          <rPr>
            <b/>
            <sz val="9"/>
            <color indexed="81"/>
            <rFont val="Tahoma"/>
            <family val="2"/>
          </rPr>
          <t>Miguel Martinez:</t>
        </r>
        <r>
          <rPr>
            <sz val="9"/>
            <color indexed="81"/>
            <rFont val="Tahoma"/>
            <family val="2"/>
          </rPr>
          <t xml:space="preserve">
</t>
        </r>
        <r>
          <rPr>
            <sz val="11"/>
            <color indexed="81"/>
            <rFont val="Tahoma"/>
            <family val="2"/>
          </rPr>
          <t xml:space="preserve">Si en los ejercicios no aparecen días de la semana y no los ejercicios, cambiar </t>
        </r>
        <r>
          <rPr>
            <b/>
            <sz val="11"/>
            <color indexed="81"/>
            <rFont val="Tahoma"/>
            <family val="2"/>
          </rPr>
          <t>aa</t>
        </r>
        <r>
          <rPr>
            <sz val="11"/>
            <color indexed="81"/>
            <rFont val="Tahoma"/>
            <family val="2"/>
          </rPr>
          <t xml:space="preserve"> o </t>
        </r>
        <r>
          <rPr>
            <b/>
            <sz val="11"/>
            <color indexed="81"/>
            <rFont val="Tahoma"/>
            <family val="2"/>
          </rPr>
          <t>yy</t>
        </r>
        <r>
          <rPr>
            <sz val="11"/>
            <color indexed="81"/>
            <rFont val="Tahoma"/>
            <family val="2"/>
          </rPr>
          <t xml:space="preserve"> para corregirlo.
Es una errata de Excel, no del PEF
</t>
        </r>
      </text>
    </comment>
    <comment ref="A21" authorId="0" shapeId="0" xr:uid="{00000000-0006-0000-0200-00000A000000}">
      <text>
        <r>
          <rPr>
            <sz val="10"/>
            <color indexed="81"/>
            <rFont val="Tahoma"/>
            <family val="2"/>
          </rPr>
          <t xml:space="preserve">Solo en el caso de inicio de actividad de empresa de nueva creación desde cero.
Para empresas en funcionamiento, dejar 1 de enero del primer año de la simulación.
</t>
        </r>
      </text>
    </comment>
    <comment ref="I28" authorId="0" shapeId="0" xr:uid="{00000000-0006-0000-0200-00000B000000}">
      <text>
        <r>
          <rPr>
            <b/>
            <sz val="10"/>
            <color indexed="81"/>
            <rFont val="Tahoma"/>
            <family val="2"/>
          </rPr>
          <t>Miguel:
Tipo para el modelo 130 de la Ag. Tributaria</t>
        </r>
        <r>
          <rPr>
            <sz val="10"/>
            <color indexed="81"/>
            <rFont val="Tahoma"/>
            <family val="2"/>
          </rPr>
          <t xml:space="preserve">
20% tanto para profesionales como para Empresarios Individuales (incluidas Comunidades de Bienes y Sociedades Civiles)
0%  para Cooperativas, S.L. y S.A. (Tributación en sociedades NO en IRPF)</t>
        </r>
      </text>
    </comment>
    <comment ref="I29" authorId="0" shapeId="0" xr:uid="{00000000-0006-0000-0200-00000C000000}">
      <text>
        <r>
          <rPr>
            <b/>
            <sz val="11"/>
            <color indexed="81"/>
            <rFont val="Tahoma"/>
            <family val="2"/>
          </rPr>
          <t>Miguel:</t>
        </r>
        <r>
          <rPr>
            <sz val="11"/>
            <color indexed="81"/>
            <rFont val="Tahoma"/>
            <family val="2"/>
          </rPr>
          <t xml:space="preserve">
Solo para Profesionales. 
En cualquier otro caso 0.</t>
        </r>
      </text>
    </comment>
    <comment ref="I30" authorId="2" shapeId="0" xr:uid="{00000000-0006-0000-0200-00000D000000}">
      <text>
        <r>
          <rPr>
            <b/>
            <sz val="8"/>
            <color indexed="81"/>
            <rFont val="Tahoma"/>
            <family val="2"/>
          </rPr>
          <t xml:space="preserve">Miguel Martínez:
</t>
        </r>
        <r>
          <rPr>
            <sz val="10"/>
            <color indexed="81"/>
            <rFont val="Tahoma"/>
            <family val="2"/>
          </rPr>
          <t xml:space="preserve">
Solo tiene utilidad en el caso de Profesionales o Sociedades Profesionales.
Se debe poner el % de la facturación total a empresas, otros profesionales u autónomos.</t>
        </r>
        <r>
          <rPr>
            <sz val="8"/>
            <color indexed="81"/>
            <rFont val="Tahoma"/>
            <family val="2"/>
          </rPr>
          <t xml:space="preserve">
</t>
        </r>
      </text>
    </comment>
    <comment ref="B31" authorId="1" shapeId="0" xr:uid="{00000000-0006-0000-0200-00000E000000}">
      <text>
        <r>
          <rPr>
            <b/>
            <sz val="9"/>
            <color indexed="81"/>
            <rFont val="Tahoma"/>
            <family val="2"/>
          </rPr>
          <t>Miguel Martinez:</t>
        </r>
        <r>
          <rPr>
            <sz val="9"/>
            <color indexed="81"/>
            <rFont val="Tahoma"/>
            <family val="2"/>
          </rPr>
          <t xml:space="preserve">
</t>
        </r>
        <r>
          <rPr>
            <sz val="10"/>
            <color indexed="81"/>
            <rFont val="Tahoma"/>
            <family val="2"/>
          </rPr>
          <t>Si se selecciona Devolución, cuando se produzcan saldos negativos de IVA/IGIC o impuesto equivalente se supondrá que se solicita la devolución en la última liquidación periódica del año (enero tanto si es trimestral como si es mensual).  
Esta devolución se hace efectiva 5 meses después, es decir, en junio del año siguiente.  
5 meses es la media de demora de la Agencia Tributaria en España.
Si se selecciona compensación, las cuotas negativas se compensarán con las de los periodos siguientes.</t>
        </r>
      </text>
    </comment>
    <comment ref="B32" authorId="0" shapeId="0" xr:uid="{00000000-0006-0000-0200-00000F000000}">
      <text>
        <r>
          <rPr>
            <sz val="11"/>
            <color indexed="81"/>
            <rFont val="Tahoma"/>
            <family val="2"/>
          </rPr>
          <t>Normalmente será que No, excepto para el caso de empresas en régimen especial de IVA (IGIC o IPSI) de Cuenta Corriente con la Agencia Tributaria como las empresas de exportación, las de hostelería y otras que cumplan determinados requisitos. En estos casos las devoluciones se realizan mensualmente en una cuenta corriente especial.</t>
        </r>
        <r>
          <rPr>
            <sz val="8"/>
            <color indexed="81"/>
            <rFont val="Tahoma"/>
            <family val="2"/>
          </rPr>
          <t xml:space="preserve">
</t>
        </r>
      </text>
    </comment>
    <comment ref="C36" authorId="0" shapeId="0" xr:uid="{00000000-0006-0000-0200-000010000000}">
      <text>
        <r>
          <rPr>
            <b/>
            <sz val="11"/>
            <color indexed="81"/>
            <rFont val="Tahoma"/>
            <family val="2"/>
          </rPr>
          <t>Miguel:</t>
        </r>
        <r>
          <rPr>
            <sz val="11"/>
            <color indexed="81"/>
            <rFont val="Tahoma"/>
            <family val="2"/>
          </rPr>
          <t xml:space="preserve">
Tipo impositivo reducido para sociedades mercantiles (sujetas a Impuesto de Sociedades y NO a IRPF) 
Los autónomos no tributan en sociedades sino en IRPF, con lo que el tipo depende de los tramos del IRPF.</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A1" authorId="0" shapeId="0" xr:uid="{00000000-0006-0000-3200-000001000000}">
      <text>
        <r>
          <rPr>
            <b/>
            <sz val="10"/>
            <color indexed="81"/>
            <rFont val="Tahoma"/>
            <family val="2"/>
          </rPr>
          <t>Miguel:</t>
        </r>
        <r>
          <rPr>
            <sz val="10"/>
            <color indexed="81"/>
            <rFont val="Tahoma"/>
            <family val="2"/>
          </rPr>
          <t xml:space="preserve">
SOLO Para Profesionales y Empresarios Individuales, Sociedades Civiles y Comunidades de Bienes.
NO Para Cooperativas, Sociedades Limitadas o Anónimas.</t>
        </r>
      </text>
    </comment>
    <comment ref="A7" authorId="0" shapeId="0" xr:uid="{00000000-0006-0000-3200-000002000000}">
      <text>
        <r>
          <rPr>
            <b/>
            <sz val="11"/>
            <color indexed="81"/>
            <rFont val="Tahoma"/>
            <family val="2"/>
          </rPr>
          <t>Miguel:</t>
        </r>
        <r>
          <rPr>
            <sz val="11"/>
            <color indexed="81"/>
            <rFont val="Tahoma"/>
            <family val="2"/>
          </rPr>
          <t xml:space="preserve">
Cantidades a descontar y a ingresar por los clientes en sus modelos 110 correspondientes.</t>
        </r>
      </text>
    </comment>
    <comment ref="A10" authorId="0" shapeId="0" xr:uid="{00000000-0006-0000-3200-000003000000}">
      <text>
        <r>
          <rPr>
            <b/>
            <sz val="11"/>
            <color indexed="81"/>
            <rFont val="Tahoma"/>
            <family val="2"/>
          </rPr>
          <t>Miguel:</t>
        </r>
        <r>
          <rPr>
            <sz val="11"/>
            <color indexed="81"/>
            <rFont val="Tahoma"/>
            <family val="2"/>
          </rPr>
          <t xml:space="preserve">
Gastos Variables+Otros Gastos Fijos+Sueldos y Seguridad Social, EXCEPTO Sueldos de los socios.</t>
        </r>
      </text>
    </comment>
    <comment ref="N13" authorId="0" shapeId="0" xr:uid="{00000000-0006-0000-3200-000004000000}">
      <text>
        <r>
          <rPr>
            <b/>
            <sz val="8"/>
            <color indexed="81"/>
            <rFont val="Tahoma"/>
            <family val="2"/>
          </rPr>
          <t>Miguel:</t>
        </r>
        <r>
          <rPr>
            <sz val="8"/>
            <color indexed="81"/>
            <rFont val="Tahoma"/>
            <family val="2"/>
          </rPr>
          <t xml:space="preserve">
Pendiente para enero del año siguiente</t>
        </r>
      </text>
    </comment>
    <comment ref="B22" authorId="0" shapeId="0" xr:uid="{00000000-0006-0000-3200-000005000000}">
      <text>
        <r>
          <rPr>
            <b/>
            <sz val="8"/>
            <color indexed="81"/>
            <rFont val="Tahoma"/>
            <family val="2"/>
          </rPr>
          <t>Miguel:</t>
        </r>
        <r>
          <rPr>
            <sz val="8"/>
            <color indexed="81"/>
            <rFont val="Tahoma"/>
            <family val="2"/>
          </rPr>
          <t xml:space="preserve">
4T del año anterior</t>
        </r>
      </text>
    </comment>
    <comment ref="N22" authorId="0" shapeId="0" xr:uid="{00000000-0006-0000-3200-000006000000}">
      <text>
        <r>
          <rPr>
            <b/>
            <sz val="8"/>
            <color indexed="81"/>
            <rFont val="Tahoma"/>
            <family val="2"/>
          </rPr>
          <t>Miguel:</t>
        </r>
        <r>
          <rPr>
            <sz val="8"/>
            <color indexed="81"/>
            <rFont val="Tahoma"/>
            <family val="2"/>
          </rPr>
          <t xml:space="preserve">
Pendiente para enero del año siguiente</t>
        </r>
      </text>
    </comment>
    <comment ref="B31" authorId="0" shapeId="0" xr:uid="{00000000-0006-0000-3200-000007000000}">
      <text>
        <r>
          <rPr>
            <b/>
            <sz val="8"/>
            <color indexed="81"/>
            <rFont val="Tahoma"/>
            <family val="2"/>
          </rPr>
          <t>Miguel:</t>
        </r>
        <r>
          <rPr>
            <sz val="8"/>
            <color indexed="81"/>
            <rFont val="Tahoma"/>
            <family val="2"/>
          </rPr>
          <t xml:space="preserve">
4T del año anterior</t>
        </r>
      </text>
    </comment>
    <comment ref="N31" authorId="0" shapeId="0" xr:uid="{00000000-0006-0000-3200-000008000000}">
      <text>
        <r>
          <rPr>
            <b/>
            <sz val="8"/>
            <color indexed="81"/>
            <rFont val="Tahoma"/>
            <family val="2"/>
          </rPr>
          <t>Miguel:</t>
        </r>
        <r>
          <rPr>
            <sz val="8"/>
            <color indexed="81"/>
            <rFont val="Tahoma"/>
            <family val="2"/>
          </rPr>
          <t xml:space="preserve">
Pendiente para enero del año siguiente</t>
        </r>
      </text>
    </comment>
    <comment ref="B40" authorId="0" shapeId="0" xr:uid="{00000000-0006-0000-3200-000009000000}">
      <text>
        <r>
          <rPr>
            <b/>
            <sz val="8"/>
            <color indexed="81"/>
            <rFont val="Tahoma"/>
            <family val="2"/>
          </rPr>
          <t>Miguel:</t>
        </r>
        <r>
          <rPr>
            <sz val="8"/>
            <color indexed="81"/>
            <rFont val="Tahoma"/>
            <family val="2"/>
          </rPr>
          <t xml:space="preserve">
4T del año anterior</t>
        </r>
      </text>
    </comment>
    <comment ref="N40" authorId="0" shapeId="0" xr:uid="{00000000-0006-0000-3200-00000A000000}">
      <text>
        <r>
          <rPr>
            <b/>
            <sz val="8"/>
            <color indexed="81"/>
            <rFont val="Tahoma"/>
            <family val="2"/>
          </rPr>
          <t>Miguel:</t>
        </r>
        <r>
          <rPr>
            <sz val="8"/>
            <color indexed="81"/>
            <rFont val="Tahoma"/>
            <family val="2"/>
          </rPr>
          <t xml:space="preserve">
Pendiente para enero del año siguiente</t>
        </r>
      </text>
    </comment>
    <comment ref="B49" authorId="0" shapeId="0" xr:uid="{00000000-0006-0000-3200-00000B000000}">
      <text>
        <r>
          <rPr>
            <b/>
            <sz val="8"/>
            <color indexed="81"/>
            <rFont val="Tahoma"/>
            <family val="2"/>
          </rPr>
          <t>Miguel:</t>
        </r>
        <r>
          <rPr>
            <sz val="8"/>
            <color indexed="81"/>
            <rFont val="Tahoma"/>
            <family val="2"/>
          </rPr>
          <t xml:space="preserve">
4T del año anterior</t>
        </r>
      </text>
    </comment>
    <comment ref="N49" authorId="0" shapeId="0" xr:uid="{00000000-0006-0000-3200-00000C000000}">
      <text>
        <r>
          <rPr>
            <b/>
            <sz val="8"/>
            <color indexed="81"/>
            <rFont val="Tahoma"/>
            <family val="2"/>
          </rPr>
          <t>Miguel:</t>
        </r>
        <r>
          <rPr>
            <sz val="8"/>
            <color indexed="81"/>
            <rFont val="Tahoma"/>
            <family val="2"/>
          </rPr>
          <t xml:space="preserve">
Pendiente para enero del año siguiente</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Miguel Martínez</author>
  </authors>
  <commentList>
    <comment ref="G17" authorId="0" shapeId="0" xr:uid="{6C54F3E7-2038-40DA-832D-79BE0F5DE040}">
      <text>
        <r>
          <rPr>
            <b/>
            <sz val="9"/>
            <color indexed="81"/>
            <rFont val="Tahoma"/>
            <family val="2"/>
          </rPr>
          <t>Miguel Martínez:</t>
        </r>
        <r>
          <rPr>
            <sz val="9"/>
            <color indexed="81"/>
            <rFont val="Tahoma"/>
            <family val="2"/>
          </rPr>
          <t xml:space="preserve">
Regularización del RETA del año anterior</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Miguel Martínez</author>
  </authors>
  <commentList>
    <comment ref="G17" authorId="0" shapeId="0" xr:uid="{DB82A36C-1185-4125-8C8F-3444DD8F7880}">
      <text>
        <r>
          <rPr>
            <b/>
            <sz val="9"/>
            <color indexed="81"/>
            <rFont val="Tahoma"/>
            <family val="2"/>
          </rPr>
          <t>Miguel Martínez:</t>
        </r>
        <r>
          <rPr>
            <sz val="9"/>
            <color indexed="81"/>
            <rFont val="Tahoma"/>
            <family val="2"/>
          </rPr>
          <t xml:space="preserve">
Regularización del RETA del año anterior</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Miguel Martínez</author>
  </authors>
  <commentList>
    <comment ref="G17" authorId="0" shapeId="0" xr:uid="{4FFE548E-928D-46E9-BCC5-807A87B655F7}">
      <text>
        <r>
          <rPr>
            <b/>
            <sz val="9"/>
            <color indexed="81"/>
            <rFont val="Tahoma"/>
            <family val="2"/>
          </rPr>
          <t>Miguel Martínez:</t>
        </r>
        <r>
          <rPr>
            <sz val="9"/>
            <color indexed="81"/>
            <rFont val="Tahoma"/>
            <family val="2"/>
          </rPr>
          <t xml:space="preserve">
Regularización del RETA del año anterior</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Miguel Martínez</author>
  </authors>
  <commentList>
    <comment ref="G17" authorId="0" shapeId="0" xr:uid="{A360FF46-8D78-4CE2-BC77-71419CAF27F5}">
      <text>
        <r>
          <rPr>
            <b/>
            <sz val="9"/>
            <color indexed="81"/>
            <rFont val="Tahoma"/>
            <family val="2"/>
          </rPr>
          <t>Miguel Martínez:</t>
        </r>
        <r>
          <rPr>
            <sz val="9"/>
            <color indexed="81"/>
            <rFont val="Tahoma"/>
            <family val="2"/>
          </rPr>
          <t xml:space="preserve">
Regularización del RETA del año anterior</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Miguel Martínez</author>
    <author>Miguel</author>
  </authors>
  <commentList>
    <comment ref="A11" authorId="0" shapeId="0" xr:uid="{00000000-0006-0000-3800-000001000000}">
      <text>
        <r>
          <rPr>
            <b/>
            <sz val="10"/>
            <color indexed="81"/>
            <rFont val="Tahoma"/>
            <family val="2"/>
          </rPr>
          <t>Miguel Martínez:</t>
        </r>
        <r>
          <rPr>
            <sz val="10"/>
            <color indexed="81"/>
            <rFont val="Tahoma"/>
            <family val="2"/>
          </rPr>
          <t xml:space="preserve">
Coeficientes de prorrata trimestrales. Se aplican "a posteriori" sobre el soportado de los tres meses de ese mismo trimestre.</t>
        </r>
      </text>
    </comment>
    <comment ref="C11" authorId="0" shapeId="0" xr:uid="{66ECEB80-9105-4516-A194-FD3A5EE285AF}">
      <text>
        <r>
          <rPr>
            <b/>
            <sz val="9"/>
            <color indexed="81"/>
            <rFont val="Tahoma"/>
            <family val="2"/>
          </rPr>
          <t>Miguel Martínez:</t>
        </r>
        <r>
          <rPr>
            <sz val="9"/>
            <color indexed="81"/>
            <rFont val="Tahoma"/>
            <family val="2"/>
          </rPr>
          <t xml:space="preserve">
Coeficiente de prorrata a aplicar hasta la siguiente regularización en el 4T</t>
        </r>
      </text>
    </comment>
    <comment ref="O11" authorId="0" shapeId="0" xr:uid="{056358A2-4729-4EA6-8749-B46A8986E297}">
      <text>
        <r>
          <rPr>
            <b/>
            <sz val="9"/>
            <color indexed="81"/>
            <rFont val="Tahoma"/>
            <family val="2"/>
          </rPr>
          <t>Miguel Martínez:</t>
        </r>
        <r>
          <rPr>
            <sz val="9"/>
            <color indexed="81"/>
            <rFont val="Tahoma"/>
            <family val="2"/>
          </rPr>
          <t xml:space="preserve">
Coeficiente de prorrata final del año</t>
        </r>
      </text>
    </comment>
    <comment ref="C22" authorId="1" shapeId="0" xr:uid="{00000000-0006-0000-3800-000002000000}">
      <text>
        <r>
          <rPr>
            <sz val="10"/>
            <color indexed="81"/>
            <rFont val="Tahoma"/>
            <family val="2"/>
          </rPr>
          <t>IVA de la inversión inicial</t>
        </r>
      </text>
    </comment>
    <comment ref="O26" authorId="1" shapeId="0" xr:uid="{00000000-0006-0000-3800-000003000000}">
      <text>
        <r>
          <rPr>
            <sz val="10"/>
            <color indexed="81"/>
            <rFont val="Tahoma"/>
            <family val="2"/>
          </rPr>
          <t>Pendiente 1T del siguiente año</t>
        </r>
        <r>
          <rPr>
            <sz val="8"/>
            <color indexed="81"/>
            <rFont val="Tahoma"/>
            <family val="2"/>
          </rPr>
          <t xml:space="preserve">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Miguel Martínez</author>
  </authors>
  <commentList>
    <comment ref="C11" authorId="0" shapeId="0" xr:uid="{ECF7B459-FF00-45D2-AC5E-4C48F8B22333}">
      <text>
        <r>
          <rPr>
            <b/>
            <sz val="9"/>
            <color indexed="81"/>
            <rFont val="Tahoma"/>
            <family val="2"/>
          </rPr>
          <t>Miguel Martínez:</t>
        </r>
        <r>
          <rPr>
            <sz val="9"/>
            <color indexed="81"/>
            <rFont val="Tahoma"/>
            <family val="2"/>
          </rPr>
          <t xml:space="preserve">
Coeficiente de prorrata a aplicar hasta la siguiente regularización en el 4T</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Miguel Martínez</author>
  </authors>
  <commentList>
    <comment ref="C11" authorId="0" shapeId="0" xr:uid="{7B4A9984-5099-48C0-9253-B45807AC4714}">
      <text>
        <r>
          <rPr>
            <b/>
            <sz val="9"/>
            <color indexed="81"/>
            <rFont val="Tahoma"/>
            <family val="2"/>
          </rPr>
          <t>Miguel Martínez:</t>
        </r>
        <r>
          <rPr>
            <sz val="9"/>
            <color indexed="81"/>
            <rFont val="Tahoma"/>
            <family val="2"/>
          </rPr>
          <t xml:space="preserve">
Coeficiente de prorrata a aplicar hasta la siguiente regularización en el 4T</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Miguel Martínez</author>
  </authors>
  <commentList>
    <comment ref="C11" authorId="0" shapeId="0" xr:uid="{E4B41324-CF3C-4855-A6F9-B0043B733CD9}">
      <text>
        <r>
          <rPr>
            <b/>
            <sz val="9"/>
            <color indexed="81"/>
            <rFont val="Tahoma"/>
            <family val="2"/>
          </rPr>
          <t>Miguel Martínez:</t>
        </r>
        <r>
          <rPr>
            <sz val="9"/>
            <color indexed="81"/>
            <rFont val="Tahoma"/>
            <family val="2"/>
          </rPr>
          <t xml:space="preserve">
Coeficiente de prorrata a aplicar hasta la siguiente regularización en el 4T</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Miguel Martínez</author>
  </authors>
  <commentList>
    <comment ref="C11" authorId="0" shapeId="0" xr:uid="{0F56B147-4013-4B41-BE24-00A30EC42449}">
      <text>
        <r>
          <rPr>
            <b/>
            <sz val="9"/>
            <color indexed="81"/>
            <rFont val="Tahoma"/>
            <family val="2"/>
          </rPr>
          <t>Miguel Martínez:</t>
        </r>
        <r>
          <rPr>
            <sz val="9"/>
            <color indexed="81"/>
            <rFont val="Tahoma"/>
            <family val="2"/>
          </rPr>
          <t xml:space="preserve">
Coeficiente de prorrata a aplicar hasta la siguiente regularización en el 4T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Abderraman 6.327</author>
    <author>Miguel Martínez</author>
    <author>Miguel</author>
    <author>Miguel Martinez</author>
    <author>Autor</author>
  </authors>
  <commentList>
    <comment ref="H6" authorId="0" shapeId="0" xr:uid="{00000000-0006-0000-0300-000001000000}">
      <text>
        <r>
          <rPr>
            <b/>
            <sz val="8"/>
            <color indexed="81"/>
            <rFont val="Tahoma"/>
            <family val="2"/>
          </rPr>
          <t xml:space="preserve">Miguel Martínez:
</t>
        </r>
        <r>
          <rPr>
            <sz val="10"/>
            <color indexed="81"/>
            <rFont val="Tahoma"/>
            <family val="2"/>
          </rPr>
          <t xml:space="preserve">   Porcentaje de las ventas que no se cobra en su fecha de vencimiento y que por tanto hay que reclamar, etc.</t>
        </r>
      </text>
    </comment>
    <comment ref="I6" authorId="0" shapeId="0" xr:uid="{00000000-0006-0000-0300-000002000000}">
      <text>
        <r>
          <rPr>
            <b/>
            <sz val="8"/>
            <color indexed="81"/>
            <rFont val="Tahoma"/>
            <family val="2"/>
          </rPr>
          <t xml:space="preserve">Miguel Martínez:
</t>
        </r>
        <r>
          <rPr>
            <sz val="10"/>
            <color indexed="81"/>
            <rFont val="Tahoma"/>
            <family val="2"/>
          </rPr>
          <t xml:space="preserve">   Porcentaje de las ventas que no se cobra en su fecha de vencimiento y que por tanto hay que reclamar, etc.</t>
        </r>
      </text>
    </comment>
    <comment ref="H8" authorId="0" shapeId="0" xr:uid="{00000000-0006-0000-0300-000003000000}">
      <text>
        <r>
          <rPr>
            <b/>
            <sz val="11"/>
            <color indexed="81"/>
            <rFont val="Tahoma"/>
            <family val="2"/>
          </rPr>
          <t xml:space="preserve">Miguel Martínez:
</t>
        </r>
        <r>
          <rPr>
            <sz val="11"/>
            <color indexed="81"/>
            <rFont val="Tahoma"/>
            <family val="2"/>
          </rPr>
          <t xml:space="preserve">   Porcentaje de la cifra de impagados que se recupera antes de 1 año.
    El porcentaje se entiende sobre el total de impagados del año anterior; NO sobre las ventas.
    La recuperación de morosidad se supone promediada (distribuida uniformemente) en los meses del año siguiente al que se produce.</t>
        </r>
      </text>
    </comment>
    <comment ref="I8" authorId="0" shapeId="0" xr:uid="{00000000-0006-0000-0300-000004000000}">
      <text>
        <r>
          <rPr>
            <b/>
            <sz val="11"/>
            <color indexed="81"/>
            <rFont val="Tahoma"/>
            <family val="2"/>
          </rPr>
          <t xml:space="preserve">Miguel Martínez:
</t>
        </r>
        <r>
          <rPr>
            <sz val="11"/>
            <color indexed="81"/>
            <rFont val="Tahoma"/>
            <family val="2"/>
          </rPr>
          <t xml:space="preserve">   Porcentaje de la cifra de impagados que se recupera antes de 1 año.
    El porcentaje se entiende sobre el total de impagados del año anterior; NO sobre las ventas.
    La recuperación de morosidad se supone promediada (distribuida uniformemente) en los meses del año siguiente al que se produce.</t>
        </r>
      </text>
    </comment>
    <comment ref="C9" authorId="1" shapeId="0" xr:uid="{00000000-0006-0000-0300-000005000000}">
      <text>
        <r>
          <rPr>
            <b/>
            <sz val="11"/>
            <color indexed="81"/>
            <rFont val="Tahoma"/>
            <family val="2"/>
          </rPr>
          <t>Miguel Martínez:</t>
        </r>
        <r>
          <rPr>
            <sz val="11"/>
            <color indexed="81"/>
            <rFont val="Tahoma"/>
            <family val="2"/>
          </rPr>
          <t xml:space="preserve">
Es el nivel de seguridad para la tesorería. Solo afecta a la póliza de crédito para cubrir este nivel mínimo de tesoerería en cualquiera de los meses.</t>
        </r>
      </text>
    </comment>
    <comment ref="C11" authorId="2" shapeId="0" xr:uid="{00000000-0006-0000-0300-000006000000}">
      <text>
        <r>
          <rPr>
            <sz val="11"/>
            <color indexed="81"/>
            <rFont val="Tahoma"/>
            <family val="2"/>
          </rPr>
          <t>Tasa de inflacción prevista.
Esta tasa se usa para calcular VAN, TIR, etc.</t>
        </r>
      </text>
    </comment>
    <comment ref="G11" authorId="2" shapeId="0" xr:uid="{00000000-0006-0000-0300-000007000000}">
      <text>
        <r>
          <rPr>
            <sz val="12"/>
            <color indexed="81"/>
            <rFont val="Tahoma"/>
            <family val="2"/>
          </rPr>
          <t>Moneda en que se realizan las previsiones.
NO CONVIERTE CANTIDADES, 
solo cambia los rótulos.
Las previsiones en cualquier caso se hacen siguiendo la normativa vigente en España: Seguros Sociales, Impuestos, IVA (o impuesto indirecto)</t>
        </r>
        <r>
          <rPr>
            <sz val="8"/>
            <color indexed="81"/>
            <rFont val="Tahoma"/>
            <family val="2"/>
          </rPr>
          <t xml:space="preserve">
</t>
        </r>
      </text>
    </comment>
    <comment ref="A18" authorId="2" shapeId="0" xr:uid="{00000000-0006-0000-0300-000008000000}">
      <text>
        <r>
          <rPr>
            <sz val="11"/>
            <color indexed="81"/>
            <rFont val="Tahoma"/>
            <family val="2"/>
          </rPr>
          <t xml:space="preserve"> Cada % se aplica sobre los gastos fijos del año anterior.
Este parámetro NO se usa para calcular VAN, TIR, etc.</t>
        </r>
      </text>
    </comment>
    <comment ref="E20" authorId="2" shapeId="0" xr:uid="{00000000-0006-0000-0300-000009000000}">
      <text>
        <r>
          <rPr>
            <sz val="11"/>
            <color indexed="81"/>
            <rFont val="Tahoma"/>
            <family val="2"/>
          </rPr>
          <t>Es la amplitud de la variabilidad aleatoria que se puede usar para generar unas previsiones de ventas corregidas con un coeficiente aleatorio de
                 1± amplitud/2
Dejar 0,00% para dejar las previsiones de ventas sin cambios aleatorios.</t>
        </r>
      </text>
    </comment>
    <comment ref="A22" authorId="2" shapeId="0" xr:uid="{00000000-0006-0000-0300-00000A000000}">
      <text>
        <r>
          <rPr>
            <sz val="11"/>
            <color indexed="81"/>
            <rFont val="Tahoma"/>
            <family val="2"/>
          </rPr>
          <t xml:space="preserve">
El tipo de impuesto indirecto se elige en la hoja de </t>
        </r>
        <r>
          <rPr>
            <b/>
            <sz val="11"/>
            <color indexed="81"/>
            <rFont val="Tahoma"/>
            <family val="2"/>
          </rPr>
          <t>Datos Básicos, celdas A26 para el tipo de IVA repercutido y A27 para el tipo de IVA soportado</t>
        </r>
      </text>
    </comment>
    <comment ref="A24" authorId="1" shapeId="0" xr:uid="{00000000-0006-0000-0300-00000B000000}">
      <text>
        <r>
          <rPr>
            <b/>
            <sz val="8"/>
            <color indexed="81"/>
            <rFont val="Tahoma"/>
            <family val="2"/>
          </rPr>
          <t>Miguel Martínez:</t>
        </r>
        <r>
          <rPr>
            <sz val="8"/>
            <color indexed="81"/>
            <rFont val="Tahoma"/>
            <family val="2"/>
          </rPr>
          <t xml:space="preserve">
</t>
        </r>
        <r>
          <rPr>
            <sz val="12"/>
            <color indexed="81"/>
            <rFont val="Tahoma"/>
            <family val="2"/>
          </rPr>
          <t>Los nombres de las familias se ponen en la hoja de Precios CV.</t>
        </r>
      </text>
    </comment>
    <comment ref="A36" authorId="0" shapeId="0" xr:uid="{00000000-0006-0000-0300-00000C000000}">
      <text>
        <r>
          <rPr>
            <sz val="11"/>
            <color indexed="81"/>
            <rFont val="Tahoma"/>
            <family val="2"/>
          </rPr>
          <t xml:space="preserve">
   Plazo en años en el que el importe de la subvención se imputará como resultado extraordinario.
   Se refieren a las concedidas cada año que se suponen al inicio del ejercicio correspondiente.</t>
        </r>
      </text>
    </comment>
    <comment ref="C38" authorId="2" shapeId="0" xr:uid="{00000000-0006-0000-0300-00000D000000}">
      <text>
        <r>
          <rPr>
            <sz val="12"/>
            <color indexed="81"/>
            <rFont val="Tahoma"/>
            <family val="2"/>
          </rPr>
          <t xml:space="preserve">MMP:  
     Por defecto se toma el valor típico de 5 años.
</t>
        </r>
      </text>
    </comment>
    <comment ref="B42" authorId="3" shapeId="0" xr:uid="{00000000-0006-0000-0300-00000E000000}">
      <text>
        <r>
          <rPr>
            <b/>
            <sz val="11"/>
            <color indexed="81"/>
            <rFont val="Tahoma"/>
            <family val="2"/>
          </rPr>
          <t>Miguel Martinez:</t>
        </r>
        <r>
          <rPr>
            <sz val="11"/>
            <color indexed="81"/>
            <rFont val="Tahoma"/>
            <family val="2"/>
          </rPr>
          <t xml:space="preserve">
El modelo no permite (de momento) que los beneficios previos se distribuyan como dividendos. 
Se acumulan completamente a reservas.</t>
        </r>
      </text>
    </comment>
    <comment ref="C42" authorId="2" shapeId="0" xr:uid="{00000000-0006-0000-0300-00000F000000}">
      <text>
        <r>
          <rPr>
            <sz val="12"/>
            <color indexed="81"/>
            <rFont val="Tahoma"/>
            <family val="2"/>
          </rPr>
          <t>Solo se distribuirán dividendos si el Beneficio del ejercicio es positivo.
Y además, no hay pérdidas a compensar de ejercicios anteriores.
Se pueden poner distintos % de reparto para cada uno de los 3 años de simulación.</t>
        </r>
      </text>
    </comment>
    <comment ref="C46" authorId="2" shapeId="0" xr:uid="{00000000-0006-0000-0300-000010000000}">
      <text>
        <r>
          <rPr>
            <b/>
            <sz val="11"/>
            <color indexed="81"/>
            <rFont val="Tahoma"/>
            <family val="2"/>
          </rPr>
          <t>Miguel:</t>
        </r>
        <r>
          <rPr>
            <sz val="11"/>
            <color indexed="81"/>
            <rFont val="Tahoma"/>
            <family val="2"/>
          </rPr>
          <t xml:space="preserve">
   Por defecto se tomará como antigüedad para las amortizaciones acumuladas en la inversión inicial.</t>
        </r>
      </text>
    </comment>
    <comment ref="C48" authorId="2" shapeId="0" xr:uid="{00000000-0006-0000-0300-000011000000}">
      <text>
        <r>
          <rPr>
            <b/>
            <sz val="11"/>
            <color indexed="81"/>
            <rFont val="Tahoma"/>
            <family val="2"/>
          </rPr>
          <t>Miguel:</t>
        </r>
        <r>
          <rPr>
            <sz val="11"/>
            <color indexed="81"/>
            <rFont val="Tahoma"/>
            <family val="2"/>
          </rPr>
          <t xml:space="preserve">
   El incremento automático de existencias permite que se calculen automáticamente las inversiones en existencias para mantener la ratio de existencias sobre ventas. Si se deja en NO, se mantendrán las existencias iniciales independientemente de las ventas</t>
        </r>
      </text>
    </comment>
    <comment ref="A53" authorId="3" shapeId="0" xr:uid="{00000000-0006-0000-0300-000012000000}">
      <text>
        <r>
          <rPr>
            <b/>
            <sz val="11"/>
            <color indexed="81"/>
            <rFont val="Tahoma"/>
            <family val="2"/>
          </rPr>
          <t>Miguel Martinez:</t>
        </r>
        <r>
          <rPr>
            <sz val="11"/>
            <color indexed="81"/>
            <rFont val="Tahoma"/>
            <family val="2"/>
          </rPr>
          <t xml:space="preserve">
Si el mes de inicio no es el primer mes del año, todos los cobros de subvenciones de los meses anteriores al mes de inicio se acumulan en el mes de inicio para garantizar que los balances cuadran.</t>
        </r>
      </text>
    </comment>
    <comment ref="B145" authorId="4" shapeId="0" xr:uid="{E7B5BF04-65C4-40A8-87CA-049F007544C4}">
      <text>
        <r>
          <rPr>
            <b/>
            <sz val="9"/>
            <color indexed="81"/>
            <rFont val="Tahoma"/>
            <family val="2"/>
          </rPr>
          <t>Autor:</t>
        </r>
        <r>
          <rPr>
            <sz val="9"/>
            <color indexed="81"/>
            <rFont val="Tahoma"/>
            <family val="2"/>
          </rPr>
          <t xml:space="preserve">
El día de la festividad o el lunes si cae en Domingo</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C7" authorId="0" shapeId="0" xr:uid="{00000000-0006-0000-3E00-000001000000}">
      <text>
        <r>
          <rPr>
            <b/>
            <sz val="11"/>
            <color indexed="81"/>
            <rFont val="Tahoma"/>
            <family val="2"/>
          </rPr>
          <t>Miguel:</t>
        </r>
        <r>
          <rPr>
            <sz val="11"/>
            <color indexed="81"/>
            <rFont val="Tahoma"/>
            <family val="2"/>
          </rPr>
          <t xml:space="preserve">
Los terrenos NO se pueden amortizar legalmente.</t>
        </r>
      </text>
    </comment>
    <comment ref="C8" authorId="0" shapeId="0" xr:uid="{00000000-0006-0000-3E00-000002000000}">
      <text>
        <r>
          <rPr>
            <sz val="11"/>
            <color indexed="81"/>
            <rFont val="Tahoma"/>
            <family val="2"/>
          </rPr>
          <t xml:space="preserve">Si no hay amortación acumulada anterior PONER 0; sino el IVA no funcionará.
</t>
        </r>
      </text>
    </comment>
    <comment ref="B29" authorId="0" shapeId="0" xr:uid="{00000000-0006-0000-3E00-000003000000}">
      <text>
        <r>
          <rPr>
            <b/>
            <sz val="8"/>
            <color indexed="81"/>
            <rFont val="Tahoma"/>
            <family val="2"/>
          </rPr>
          <t>Miguel:</t>
        </r>
        <r>
          <rPr>
            <sz val="8"/>
            <color indexed="81"/>
            <rFont val="Tahoma"/>
            <family val="2"/>
          </rPr>
          <t xml:space="preserve">
Los terrenos NO se pueden amortizar legalmente.</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A9" authorId="0" shapeId="0" xr:uid="{00000000-0006-0000-4000-000001000000}">
      <text>
        <r>
          <rPr>
            <sz val="12"/>
            <color indexed="81"/>
            <rFont val="Tahoma"/>
            <family val="2"/>
          </rPr>
          <t>Solo para empresas en régimen especial de empresas exportadoras.</t>
        </r>
        <r>
          <rPr>
            <sz val="8"/>
            <color indexed="81"/>
            <rFont val="Tahoma"/>
            <family val="2"/>
          </rPr>
          <t xml:space="preserve">
</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A1" authorId="0" shapeId="0" xr:uid="{00000000-0006-0000-4500-000001000000}">
      <text>
        <r>
          <rPr>
            <b/>
            <sz val="8"/>
            <color indexed="81"/>
            <rFont val="Tahoma"/>
            <family val="2"/>
          </rPr>
          <t>Miguel:</t>
        </r>
        <r>
          <rPr>
            <sz val="8"/>
            <color indexed="81"/>
            <rFont val="Tahoma"/>
            <family val="2"/>
          </rPr>
          <t xml:space="preserve">
Todavía no desarrollada</t>
        </r>
      </text>
    </comment>
    <comment ref="M10" authorId="0" shapeId="0" xr:uid="{00000000-0006-0000-4500-000002000000}">
      <text>
        <r>
          <rPr>
            <b/>
            <sz val="10"/>
            <color indexed="81"/>
            <rFont val="Tahoma"/>
            <family val="2"/>
          </rPr>
          <t>Miguel:</t>
        </r>
        <r>
          <rPr>
            <sz val="10"/>
            <color indexed="81"/>
            <rFont val="Tahoma"/>
            <family val="2"/>
          </rPr>
          <t xml:space="preserve">
Si la liquidación del Imp. De Sociedades del año 0 que se presentó en julio del año 1, resultara negativa (exceso de pagos a cuenta), Hacienda devolvería el exceso unos meses más tarde, por ejemplo en diciembre).</t>
        </r>
      </text>
    </comment>
    <comment ref="M20" authorId="0" shapeId="0" xr:uid="{00000000-0006-0000-4500-000003000000}">
      <text>
        <r>
          <rPr>
            <b/>
            <sz val="10"/>
            <color indexed="81"/>
            <rFont val="Tahoma"/>
            <family val="2"/>
          </rPr>
          <t>Miguel:</t>
        </r>
        <r>
          <rPr>
            <sz val="10"/>
            <color indexed="81"/>
            <rFont val="Tahoma"/>
            <family val="2"/>
          </rPr>
          <t xml:space="preserve">
Si la liquidación del Imp. De Sociedades del año 0 que se presentó en julio del año 1, resultara negativa (exceso de pagos a cuenta), Hacienda devolvería el exceso unos meses más tarde, por ejemplo en diciembre).</t>
        </r>
      </text>
    </comment>
    <comment ref="M30" authorId="0" shapeId="0" xr:uid="{00000000-0006-0000-4500-000004000000}">
      <text>
        <r>
          <rPr>
            <b/>
            <sz val="8"/>
            <color indexed="81"/>
            <rFont val="Tahoma"/>
            <family val="2"/>
          </rPr>
          <t>Miguel:</t>
        </r>
        <r>
          <rPr>
            <sz val="8"/>
            <color indexed="81"/>
            <rFont val="Tahoma"/>
            <family val="2"/>
          </rPr>
          <t xml:space="preserve">
Si la liquidación del Imp. De Sociedades del año 1 que se presentó en julio del año 2, resultara negativa (exceso de pagos a cuenta), Hacienda devolvería el exceso unos meses más tarde, por ejemplo en diciembre).</t>
        </r>
      </text>
    </comment>
    <comment ref="M41" authorId="0" shapeId="0" xr:uid="{00000000-0006-0000-4500-000005000000}">
      <text>
        <r>
          <rPr>
            <b/>
            <sz val="10"/>
            <color indexed="81"/>
            <rFont val="Tahoma"/>
            <family val="2"/>
          </rPr>
          <t>Miguel:</t>
        </r>
        <r>
          <rPr>
            <sz val="10"/>
            <color indexed="81"/>
            <rFont val="Tahoma"/>
            <family val="2"/>
          </rPr>
          <t xml:space="preserve">
Si la liquidación del Imp. De Sociedades del año 1 que se presentó en julio del año 2, resultara negativa (exceso de pagos a cuenta), Hacienda devolvería el exceso unos meses más tarde, por ejemplo en diciembre).</t>
        </r>
      </text>
    </comment>
    <comment ref="M52" authorId="0" shapeId="0" xr:uid="{00000000-0006-0000-4500-000006000000}">
      <text>
        <r>
          <rPr>
            <b/>
            <sz val="8"/>
            <color indexed="81"/>
            <rFont val="Tahoma"/>
            <family val="2"/>
          </rPr>
          <t>Miguel:</t>
        </r>
        <r>
          <rPr>
            <sz val="8"/>
            <color indexed="81"/>
            <rFont val="Tahoma"/>
            <family val="2"/>
          </rPr>
          <t xml:space="preserve">
Si la liquidación del Imp. De Sociedades del año 1 que se presentó en julio del año 2, resultara negativa (exceso de pagos a cuenta), Hacienda devolvería el exceso unos meses más tarde, por ejemplo en diciembre).</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C16" authorId="0" shapeId="0" xr:uid="{00000000-0006-0000-4800-000001000000}">
      <text>
        <r>
          <rPr>
            <b/>
            <sz val="8"/>
            <color indexed="81"/>
            <rFont val="Tahoma"/>
            <family val="2"/>
          </rPr>
          <t>Pendiente de incluir las existencias (compras distintas de costes variables)</t>
        </r>
        <r>
          <rPr>
            <sz val="8"/>
            <color indexed="81"/>
            <rFont val="Tahoma"/>
            <family val="2"/>
          </rPr>
          <t xml:space="preserve">
</t>
        </r>
      </text>
    </comment>
    <comment ref="C18" authorId="0" shapeId="0" xr:uid="{00000000-0006-0000-4800-000002000000}">
      <text>
        <r>
          <rPr>
            <b/>
            <sz val="8"/>
            <color indexed="81"/>
            <rFont val="Tahoma"/>
            <family val="2"/>
          </rPr>
          <t>Pendiente de incluir las existencias (compras distintas de costes variables)</t>
        </r>
        <r>
          <rPr>
            <sz val="8"/>
            <color indexed="81"/>
            <rFont val="Tahoma"/>
            <family val="2"/>
          </rPr>
          <t xml:space="preserve">
</t>
        </r>
      </text>
    </comment>
    <comment ref="C33" authorId="0" shapeId="0" xr:uid="{00000000-0006-0000-4800-000003000000}">
      <text>
        <r>
          <rPr>
            <b/>
            <sz val="8"/>
            <color indexed="81"/>
            <rFont val="Tahoma"/>
            <family val="2"/>
          </rPr>
          <t>No se tienen en cuenta los gastos financieros. Solo Fijos y amortizaciones.</t>
        </r>
        <r>
          <rPr>
            <sz val="8"/>
            <color indexed="81"/>
            <rFont val="Tahoma"/>
            <family val="2"/>
          </rPr>
          <t xml:space="preserve">
</t>
        </r>
      </text>
    </comment>
    <comment ref="Q62" authorId="0" shapeId="0" xr:uid="{00000000-0006-0000-4800-000004000000}">
      <text>
        <r>
          <rPr>
            <b/>
            <sz val="10"/>
            <color indexed="81"/>
            <rFont val="Tahoma"/>
            <family val="2"/>
          </rPr>
          <t>Miguel:</t>
        </r>
        <r>
          <rPr>
            <sz val="10"/>
            <color indexed="81"/>
            <rFont val="Tahoma"/>
            <family val="2"/>
          </rPr>
          <t xml:space="preserve">
Inversiones actualizadas al año 0</t>
        </r>
      </text>
    </comment>
    <comment ref="R62" authorId="0" shapeId="0" xr:uid="{00000000-0006-0000-4800-000005000000}">
      <text>
        <r>
          <rPr>
            <sz val="12"/>
            <color indexed="81"/>
            <rFont val="Tahoma"/>
            <family val="2"/>
          </rPr>
          <t xml:space="preserve">
Los flujos de caja de los 5 primeros años se toman de los cálculos detallados del modelo, el resto de años se calculan con incrementos aleatorios en lugar de suponerlos iguales al último año simulado del modelo (el 5º).
       Aunque se calculen para 30 años, solo se toman los correspondientes a la vida útil estimada de la inversión redondeada al alza.</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B20" authorId="0" shapeId="0" xr:uid="{00000000-0006-0000-4900-000001000000}">
      <text>
        <r>
          <rPr>
            <b/>
            <sz val="10"/>
            <color indexed="81"/>
            <rFont val="Tahoma"/>
            <family val="2"/>
          </rPr>
          <t>MMP:</t>
        </r>
        <r>
          <rPr>
            <sz val="10"/>
            <color indexed="81"/>
            <rFont val="Tahoma"/>
            <family val="2"/>
          </rPr>
          <t xml:space="preserve"> Sería la tasa para una inversión sin riesgo.
 Típicamente la rentabilidad de la deuda pública que se suele usar de referencia.</t>
        </r>
        <r>
          <rPr>
            <sz val="8"/>
            <color indexed="81"/>
            <rFont val="Tahoma"/>
            <family val="2"/>
          </rPr>
          <t xml:space="preserve">
</t>
        </r>
      </text>
    </comment>
    <comment ref="B23" authorId="0" shapeId="0" xr:uid="{00000000-0006-0000-4900-000002000000}">
      <text>
        <r>
          <rPr>
            <b/>
            <sz val="10"/>
            <color indexed="81"/>
            <rFont val="Tahoma"/>
            <family val="2"/>
          </rPr>
          <t xml:space="preserve">MMP: </t>
        </r>
        <r>
          <rPr>
            <sz val="10"/>
            <color indexed="81"/>
            <rFont val="Tahoma"/>
            <family val="2"/>
          </rPr>
          <t xml:space="preserve"> Por defecto el 50% de la tasa de Riesgo General de la Empresa.
Mide el riesgo relativo de la empresa dentro de su sector de actividad.</t>
        </r>
        <r>
          <rPr>
            <sz val="8"/>
            <color indexed="81"/>
            <rFont val="Tahoma"/>
            <family val="2"/>
          </rPr>
          <t xml:space="preserve">
</t>
        </r>
      </text>
    </comment>
    <comment ref="B24" authorId="0" shapeId="0" xr:uid="{00000000-0006-0000-4900-000003000000}">
      <text>
        <r>
          <rPr>
            <b/>
            <sz val="10"/>
            <color indexed="81"/>
            <rFont val="Tahoma"/>
            <family val="2"/>
          </rPr>
          <t xml:space="preserve">Miguel: </t>
        </r>
        <r>
          <rPr>
            <sz val="10"/>
            <color indexed="81"/>
            <rFont val="Tahoma"/>
            <family val="2"/>
          </rPr>
          <t>Un criterio es añadir un 1% de tasa de riesgo por cada factor de amenaza del proyecto, hasta un 15% máximo.</t>
        </r>
        <r>
          <rPr>
            <sz val="8"/>
            <color indexed="81"/>
            <rFont val="Tahoma"/>
            <family val="2"/>
          </rPr>
          <t xml:space="preserve">
</t>
        </r>
      </text>
    </comment>
    <comment ref="G25" authorId="0" shapeId="0" xr:uid="{00000000-0006-0000-4900-000004000000}">
      <text>
        <r>
          <rPr>
            <b/>
            <sz val="10"/>
            <color indexed="81"/>
            <rFont val="Tahoma"/>
            <family val="2"/>
          </rPr>
          <t xml:space="preserve">MMP: </t>
        </r>
        <r>
          <rPr>
            <sz val="10"/>
            <color indexed="81"/>
            <rFont val="Tahoma"/>
            <family val="2"/>
          </rPr>
          <t>Coste financiero de los flujos de caja negativos.
Por defecto el máximo coste financiero medio de la empresa.</t>
        </r>
        <r>
          <rPr>
            <sz val="8"/>
            <color indexed="81"/>
            <rFont val="Tahoma"/>
            <family val="2"/>
          </rPr>
          <t xml:space="preserve">
</t>
        </r>
      </text>
    </comment>
    <comment ref="G26" authorId="0" shapeId="0" xr:uid="{00000000-0006-0000-4900-000005000000}">
      <text>
        <r>
          <rPr>
            <b/>
            <sz val="10"/>
            <color indexed="81"/>
            <rFont val="Tahoma"/>
            <family val="2"/>
          </rPr>
          <t xml:space="preserve">MMP: </t>
        </r>
        <r>
          <rPr>
            <sz val="10"/>
            <color indexed="81"/>
            <rFont val="Tahoma"/>
            <family val="2"/>
          </rPr>
          <t>tipo de interés o rentabilidad de los flujos de efectivo obtenidos.
Por defecto tipo de interés en cuenta corriente.</t>
        </r>
        <r>
          <rPr>
            <sz val="8"/>
            <color indexed="81"/>
            <rFont val="Tahoma"/>
            <family val="2"/>
          </rPr>
          <t xml:space="preserve">
</t>
        </r>
      </text>
    </comment>
    <comment ref="B27" authorId="0" shapeId="0" xr:uid="{00000000-0006-0000-4900-000006000000}">
      <text>
        <r>
          <rPr>
            <b/>
            <sz val="10"/>
            <color indexed="81"/>
            <rFont val="Tahoma"/>
            <family val="2"/>
          </rPr>
          <t xml:space="preserve">MMP: </t>
        </r>
        <r>
          <rPr>
            <sz val="10"/>
            <color indexed="81"/>
            <rFont val="Tahoma"/>
            <family val="2"/>
          </rPr>
          <t>Suma de la tasa de riesgo libre más las componentes de la tasa de riesgo empresa.</t>
        </r>
        <r>
          <rPr>
            <sz val="8"/>
            <color indexed="81"/>
            <rFont val="Tahoma"/>
            <family val="2"/>
          </rPr>
          <t xml:space="preserve">
 </t>
        </r>
      </text>
    </comment>
    <comment ref="B31" authorId="0" shapeId="0" xr:uid="{00000000-0006-0000-4900-000007000000}">
      <text>
        <r>
          <rPr>
            <b/>
            <sz val="10"/>
            <color indexed="81"/>
            <rFont val="Tahoma"/>
            <family val="2"/>
          </rPr>
          <t xml:space="preserve">MMP: </t>
        </r>
        <r>
          <rPr>
            <sz val="10"/>
            <color indexed="81"/>
            <rFont val="Tahoma"/>
            <family val="2"/>
          </rPr>
          <t xml:space="preserve"> Por defecto el 50% de la tasa de Riesgo General de la Empresa.
Mide el riesgo relativo de la empresa dentro de su sector de actividad.</t>
        </r>
        <r>
          <rPr>
            <sz val="8"/>
            <color indexed="81"/>
            <rFont val="Tahoma"/>
            <family val="2"/>
          </rPr>
          <t xml:space="preserve">
</t>
        </r>
      </text>
    </comment>
    <comment ref="B32" authorId="0" shapeId="0" xr:uid="{00000000-0006-0000-4900-000008000000}">
      <text>
        <r>
          <rPr>
            <b/>
            <sz val="10"/>
            <color indexed="81"/>
            <rFont val="Tahoma"/>
            <family val="2"/>
          </rPr>
          <t xml:space="preserve">MMP: </t>
        </r>
        <r>
          <rPr>
            <sz val="10"/>
            <color indexed="81"/>
            <rFont val="Tahoma"/>
            <family val="2"/>
          </rPr>
          <t xml:space="preserve"> Por defecto el 50% de la tasa de Riesgo General de la Empresa.
Mide el riesgo relativo de la empresa dentro de su sector de actividad.</t>
        </r>
        <r>
          <rPr>
            <sz val="8"/>
            <color indexed="81"/>
            <rFont val="Tahoma"/>
            <family val="2"/>
          </rPr>
          <t xml:space="preserve">
</t>
        </r>
      </text>
    </comment>
    <comment ref="G32" authorId="0" shapeId="0" xr:uid="{00000000-0006-0000-4900-000009000000}">
      <text>
        <r>
          <rPr>
            <b/>
            <sz val="10"/>
            <color indexed="81"/>
            <rFont val="Tahoma"/>
            <family val="2"/>
          </rPr>
          <t xml:space="preserve">Miguel: </t>
        </r>
        <r>
          <rPr>
            <sz val="10"/>
            <color indexed="81"/>
            <rFont val="Tahoma"/>
            <family val="2"/>
          </rPr>
          <t xml:space="preserve"> Valoración respecto al EBITDA del año 4.</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A28" authorId="0" shapeId="0" xr:uid="{00000000-0006-0000-4A00-000001000000}">
      <text>
        <r>
          <rPr>
            <b/>
            <sz val="8"/>
            <color indexed="81"/>
            <rFont val="Tahoma"/>
            <family val="2"/>
          </rPr>
          <t>Miguel:</t>
        </r>
        <r>
          <rPr>
            <sz val="8"/>
            <color indexed="81"/>
            <rFont val="Tahoma"/>
            <family val="2"/>
          </rPr>
          <t xml:space="preserve">
  Recuperación de las inversiones propias en capital.</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Miguel Martinez</author>
  </authors>
  <commentList>
    <comment ref="B70" authorId="0" shapeId="0" xr:uid="{00000000-0006-0000-4B00-000001000000}">
      <text>
        <r>
          <rPr>
            <b/>
            <sz val="9"/>
            <color indexed="81"/>
            <rFont val="Tahoma"/>
            <family val="2"/>
          </rPr>
          <t>Miguel Martinez:</t>
        </r>
        <r>
          <rPr>
            <sz val="9"/>
            <color indexed="81"/>
            <rFont val="Tahoma"/>
            <family val="2"/>
          </rPr>
          <t xml:space="preserve">
Patrimonio Neto del Balance Inicial Previo</t>
        </r>
      </text>
    </comment>
    <comment ref="B72" authorId="0" shapeId="0" xr:uid="{00000000-0006-0000-4B00-000002000000}">
      <text>
        <r>
          <rPr>
            <b/>
            <sz val="9"/>
            <color indexed="81"/>
            <rFont val="Tahoma"/>
            <family val="2"/>
          </rPr>
          <t>Miguel Martinez:</t>
        </r>
        <r>
          <rPr>
            <sz val="9"/>
            <color indexed="81"/>
            <rFont val="Tahoma"/>
            <family val="2"/>
          </rPr>
          <t xml:space="preserve">
Ampliación de Capital al inicio (NO en el Previo)</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B55" authorId="0" shapeId="0" xr:uid="{00000000-0006-0000-4C00-000001000000}">
      <text>
        <r>
          <rPr>
            <b/>
            <sz val="8"/>
            <color indexed="81"/>
            <rFont val="Tahoma"/>
            <family val="2"/>
          </rPr>
          <t>Miguel:</t>
        </r>
        <r>
          <rPr>
            <sz val="8"/>
            <color indexed="81"/>
            <rFont val="Tahoma"/>
            <family val="2"/>
          </rPr>
          <t xml:space="preserve">
</t>
        </r>
        <r>
          <rPr>
            <sz val="10"/>
            <color indexed="81"/>
            <rFont val="Tahoma"/>
            <family val="2"/>
          </rPr>
          <t>La columna de datos se puede usar cuando los precios no tienen estacionalidad y son los mismos para todos los meses del año.
Si se desea hacer las previsiones de ventas directamente en Euros, habría que poner aquí directamente 1 ( o 1000 si se quisieran hacer en miles de euros) en TODAS las familias cuyas ventas se vaya a especificar en la siguiente hoja (Ventas) en Euros y no en Unidades.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Miguel Martinez</author>
  </authors>
  <commentList>
    <comment ref="D19" authorId="0" shapeId="0" xr:uid="{00000000-0006-0000-0400-000001000000}">
      <text>
        <r>
          <rPr>
            <b/>
            <sz val="11"/>
            <color indexed="81"/>
            <rFont val="Tahoma"/>
            <family val="2"/>
          </rPr>
          <t>Miguel Martinez:</t>
        </r>
        <r>
          <rPr>
            <sz val="11"/>
            <color indexed="81"/>
            <rFont val="Tahoma"/>
            <family val="2"/>
          </rPr>
          <t xml:space="preserve">
NO CAMBIAR  Esta cifra proviene de los gastos fijos (alquiler) y es necesario para que no descuadre.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D6" authorId="0" shapeId="0" xr:uid="{00000000-0006-0000-0500-000001000000}">
      <text>
        <r>
          <rPr>
            <b/>
            <sz val="8"/>
            <color indexed="81"/>
            <rFont val="Tahoma"/>
            <family val="2"/>
          </rPr>
          <t>Miguel:</t>
        </r>
        <r>
          <rPr>
            <sz val="8"/>
            <color indexed="81"/>
            <rFont val="Tahoma"/>
            <family val="2"/>
          </rPr>
          <t xml:space="preserve">
Los terrenos NO se pueden amortizar legalmente.</t>
        </r>
      </text>
    </comment>
    <comment ref="E6" authorId="0" shapeId="0" xr:uid="{00000000-0006-0000-0500-000002000000}">
      <text>
        <r>
          <rPr>
            <b/>
            <sz val="8"/>
            <color indexed="81"/>
            <rFont val="Tahoma"/>
            <family val="2"/>
          </rPr>
          <t>Miguel:</t>
        </r>
        <r>
          <rPr>
            <sz val="8"/>
            <color indexed="81"/>
            <rFont val="Tahoma"/>
            <family val="2"/>
          </rPr>
          <t xml:space="preserve">
Los terrenos NO se pueden amortizar legalmente.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Miguel Martínez</author>
    <author>Miguel</author>
  </authors>
  <commentList>
    <comment ref="A7" authorId="0" shapeId="0" xr:uid="{00000000-0006-0000-0700-000001000000}">
      <text>
        <r>
          <rPr>
            <b/>
            <sz val="10"/>
            <color indexed="81"/>
            <rFont val="Tahoma"/>
            <family val="2"/>
          </rPr>
          <t>Miguel Martínez:</t>
        </r>
        <r>
          <rPr>
            <sz val="10"/>
            <color indexed="81"/>
            <rFont val="Tahoma"/>
            <family val="2"/>
          </rPr>
          <t xml:space="preserve">
Los gastos de Constitución NO son amortizables y aparecerán con signo negativo en el Patrimonio Neto de la empresa, minusvalorándo las reservas.</t>
        </r>
      </text>
    </comment>
    <comment ref="B8" authorId="1" shapeId="0" xr:uid="{00000000-0006-0000-0700-000002000000}">
      <text>
        <r>
          <rPr>
            <b/>
            <sz val="8"/>
            <color indexed="81"/>
            <rFont val="Tahoma"/>
            <family val="2"/>
          </rPr>
          <t xml:space="preserve">MMP: </t>
        </r>
        <r>
          <rPr>
            <sz val="8"/>
            <color indexed="81"/>
            <rFont val="Tahoma"/>
            <family val="2"/>
          </rPr>
          <t xml:space="preserve"> Valores por defecto para sociedades mercantiles. Se pueden modificar.</t>
        </r>
        <r>
          <rPr>
            <sz val="8"/>
            <color indexed="81"/>
            <rFont val="Tahoma"/>
            <family val="2"/>
          </rPr>
          <t xml:space="preserve">
</t>
        </r>
      </text>
    </comment>
    <comment ref="C11" authorId="1" shapeId="0" xr:uid="{00000000-0006-0000-0700-000003000000}">
      <text>
        <r>
          <rPr>
            <b/>
            <sz val="8"/>
            <color indexed="81"/>
            <rFont val="Tahoma"/>
            <family val="2"/>
          </rPr>
          <t>Miguel:</t>
        </r>
        <r>
          <rPr>
            <sz val="8"/>
            <color indexed="81"/>
            <rFont val="Tahoma"/>
            <family val="2"/>
          </rPr>
          <t xml:space="preserve">
En función de las inversiones (dependiendo de las que sean) y de cómo se financien</t>
        </r>
      </text>
    </comment>
    <comment ref="A14" authorId="0" shapeId="0" xr:uid="{00000000-0006-0000-0700-000004000000}">
      <text>
        <r>
          <rPr>
            <b/>
            <sz val="10"/>
            <color indexed="81"/>
            <rFont val="Tahoma"/>
            <family val="2"/>
          </rPr>
          <t>Miguel Martínez:</t>
        </r>
        <r>
          <rPr>
            <sz val="10"/>
            <color indexed="81"/>
            <rFont val="Tahoma"/>
            <family val="2"/>
          </rPr>
          <t xml:space="preserve">
Los gastos de establecimiento (primero o sucesivas ampliaciones) se imputarán en el año en el que se produzcan sin necesidad de ser amortizados (PGC Pymes)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Miguel Martinez</author>
    <author>Miguel</author>
  </authors>
  <commentList>
    <comment ref="D7" authorId="0" shapeId="0" xr:uid="{00000000-0006-0000-0800-000001000000}">
      <text>
        <r>
          <rPr>
            <b/>
            <sz val="9"/>
            <color indexed="81"/>
            <rFont val="Tahoma"/>
            <family val="2"/>
          </rPr>
          <t>Miguel Martinez:</t>
        </r>
        <r>
          <rPr>
            <sz val="9"/>
            <color indexed="81"/>
            <rFont val="Tahoma"/>
            <family val="2"/>
          </rPr>
          <t xml:space="preserve">
Esta celda calcula la corrección de la caja que es necesaria hacer para que el Balance Previo no descuadre, y se puedan hacer modificaciones al inicio sobre el Bal. Previo y queden reflejadas en el  Balance Inicial .</t>
        </r>
      </text>
    </comment>
    <comment ref="A12" authorId="1" shapeId="0" xr:uid="{00000000-0006-0000-0800-000002000000}">
      <text>
        <r>
          <rPr>
            <b/>
            <sz val="8"/>
            <color indexed="81"/>
            <rFont val="Tahoma"/>
            <family val="2"/>
          </rPr>
          <t>Miguel:</t>
        </r>
        <r>
          <rPr>
            <sz val="8"/>
            <color indexed="81"/>
            <rFont val="Tahoma"/>
            <family val="2"/>
          </rPr>
          <t xml:space="preserve">
</t>
        </r>
        <r>
          <rPr>
            <sz val="11"/>
            <color indexed="81"/>
            <rFont val="Tahoma"/>
            <family val="2"/>
          </rPr>
          <t>Los nombres de los aprovisionamientos se pueden modificar si se quiere.</t>
        </r>
      </text>
    </comment>
    <comment ref="E12" authorId="1" shapeId="0" xr:uid="{00000000-0006-0000-0800-000003000000}">
      <text>
        <r>
          <rPr>
            <sz val="10"/>
            <color indexed="81"/>
            <rFont val="Tahoma"/>
            <family val="2"/>
          </rPr>
          <t xml:space="preserve">Porcentaje que se aporta en especie, y por tanto NO sujeto a IVA.
 El resto se considera comprado, y por tanto sujeto a IVA
</t>
        </r>
      </text>
    </comment>
    <comment ref="E13" authorId="1" shapeId="0" xr:uid="{00000000-0006-0000-0800-000004000000}">
      <text>
        <r>
          <rPr>
            <sz val="10"/>
            <color indexed="81"/>
            <rFont val="Tahoma"/>
            <family val="2"/>
          </rPr>
          <t xml:space="preserve">Porcentaje que se aporta en especie, y por tanto NO sujeto a IVA.
 El resto se considera comprado, y por tanto sujeto a IVA
</t>
        </r>
      </text>
    </comment>
    <comment ref="E14" authorId="1" shapeId="0" xr:uid="{00000000-0006-0000-0800-000005000000}">
      <text>
        <r>
          <rPr>
            <sz val="10"/>
            <color indexed="81"/>
            <rFont val="Tahoma"/>
            <family val="2"/>
          </rPr>
          <t xml:space="preserve">Porcentaje que se aporta en especie, y por tanto NO sujeto a IVA.
 El resto se considera comprado, y por tanto sujeto a IVA
</t>
        </r>
      </text>
    </comment>
    <comment ref="C39" authorId="1" shapeId="0" xr:uid="{00000000-0006-0000-0800-000006000000}">
      <text>
        <r>
          <rPr>
            <b/>
            <sz val="11"/>
            <color indexed="81"/>
            <rFont val="Tahoma"/>
            <family val="2"/>
          </rPr>
          <t>Miguel:</t>
        </r>
        <r>
          <rPr>
            <sz val="11"/>
            <color indexed="81"/>
            <rFont val="Tahoma"/>
            <family val="2"/>
          </rPr>
          <t xml:space="preserve">
   Los incrementos de almacén están por defecto prorrateados de forma proporcional a los incrementos de ventas interanuales, y dentro de cada año a la composición del almacén inicial.
    En el caso del primer año (año 1) se calculan en función de las ventas mensuales medias del año anterior (año 0) en el caso de que el mes de inicio no sea enero del primer año.</t>
        </r>
      </text>
    </comment>
    <comment ref="B46" authorId="1" shapeId="0" xr:uid="{00000000-0006-0000-0800-000007000000}">
      <text>
        <r>
          <rPr>
            <b/>
            <sz val="11"/>
            <color indexed="81"/>
            <rFont val="Tahoma"/>
            <family val="2"/>
          </rPr>
          <t>Miguel:</t>
        </r>
        <r>
          <rPr>
            <sz val="11"/>
            <color indexed="81"/>
            <rFont val="Tahoma"/>
            <family val="2"/>
          </rPr>
          <t xml:space="preserve">
   Las inversiones en tesorería no se consideran porque se utilizan para cuadrar los balances calculándose por diferencia, es decir, los excesos de financiación se colocan en la tesorería inicial del ejercicio correspondiente.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Miguel Martinez</author>
    <author>Miguel</author>
    <author>MMP</author>
  </authors>
  <commentList>
    <comment ref="D14" authorId="0" shapeId="0" xr:uid="{00000000-0006-0000-0900-000001000000}">
      <text>
        <r>
          <rPr>
            <b/>
            <sz val="11"/>
            <color indexed="81"/>
            <rFont val="Tahoma"/>
            <family val="2"/>
          </rPr>
          <t>Miguel Martinez:</t>
        </r>
        <r>
          <rPr>
            <sz val="11"/>
            <color indexed="81"/>
            <rFont val="Tahoma"/>
            <family val="2"/>
          </rPr>
          <t xml:space="preserve">
Si se parte de un balance inicial previo, la cantidad aquí puesta se considerará ampliación de capital</t>
        </r>
      </text>
    </comment>
    <comment ref="A19" authorId="1" shapeId="0" xr:uid="{00000000-0006-0000-0900-000002000000}">
      <text>
        <r>
          <rPr>
            <b/>
            <sz val="12"/>
            <color indexed="81"/>
            <rFont val="Tahoma"/>
            <family val="2"/>
          </rPr>
          <t>Miguel:</t>
        </r>
        <r>
          <rPr>
            <sz val="12"/>
            <color indexed="81"/>
            <rFont val="Tahoma"/>
            <family val="2"/>
          </rPr>
          <t xml:space="preserve">
Solo se deberían incluir las subvenciones en la financiación si se tienen confirmados los cobro con fechas.
Solo se consideran subvenciones a fondo perdido, puesto que las subvenciones reintegrables son en realidad préstamos temporales.</t>
        </r>
      </text>
    </comment>
    <comment ref="C32" authorId="1" shapeId="0" xr:uid="{00000000-0006-0000-0900-000003000000}">
      <text>
        <r>
          <rPr>
            <sz val="11"/>
            <color indexed="81"/>
            <rFont val="Tahoma"/>
            <family val="2"/>
          </rPr>
          <t xml:space="preserve">
El % de interés dependerá del tipo de préstamo que se solicite.
</t>
        </r>
      </text>
    </comment>
    <comment ref="A33" authorId="1" shapeId="0" xr:uid="{00000000-0006-0000-0900-000004000000}">
      <text>
        <r>
          <rPr>
            <b/>
            <sz val="11"/>
            <color indexed="81"/>
            <rFont val="Tahoma"/>
            <family val="2"/>
          </rPr>
          <t>Miguel:</t>
        </r>
        <r>
          <rPr>
            <sz val="11"/>
            <color indexed="81"/>
            <rFont val="Tahoma"/>
            <family val="2"/>
          </rPr>
          <t xml:space="preserve">
    Los gastos iniiciales se cargan conjuntamente con la primera cuota del préstamo (del año correspondiente)</t>
        </r>
      </text>
    </comment>
    <comment ref="C33" authorId="1" shapeId="0" xr:uid="{00000000-0006-0000-0900-000005000000}">
      <text>
        <r>
          <rPr>
            <sz val="10"/>
            <color indexed="81"/>
            <rFont val="Tahoma"/>
            <family val="2"/>
          </rPr>
          <t xml:space="preserve">
Los gastos iniciales se estiman sobre el principal en %. Deben incluir TODOS los costes de apertura y constitución del préstamo.
</t>
        </r>
        <r>
          <rPr>
            <b/>
            <sz val="10"/>
            <color indexed="81"/>
            <rFont val="Tahoma"/>
            <family val="2"/>
          </rPr>
          <t>Debe ser un % entre 0% y 5%</t>
        </r>
        <r>
          <rPr>
            <sz val="10"/>
            <color indexed="81"/>
            <rFont val="Tahoma"/>
            <family val="2"/>
          </rPr>
          <t xml:space="preserve">
Se pagan de una sola vez conjuntamente con la primera mensualidad (o pago de intereses en el caso de que haya carencia).</t>
        </r>
      </text>
    </comment>
    <comment ref="A34" authorId="2" shapeId="0" xr:uid="{00000000-0006-0000-0900-000006000000}">
      <text>
        <r>
          <rPr>
            <b/>
            <sz val="10"/>
            <color indexed="81"/>
            <rFont val="Tahoma"/>
            <family val="2"/>
          </rPr>
          <t>MMP:</t>
        </r>
        <r>
          <rPr>
            <sz val="10"/>
            <color indexed="81"/>
            <rFont val="Tahoma"/>
            <family val="2"/>
          </rPr>
          <t xml:space="preserve">
En el número total de plazos no se tienen en cuenta los periodos de carencia que se "añaden" al principio de forma que el número total de pagos sería:
</t>
        </r>
        <r>
          <rPr>
            <b/>
            <sz val="10"/>
            <color indexed="81"/>
            <rFont val="Tahoma"/>
            <family val="2"/>
          </rPr>
          <t xml:space="preserve">
nº total de plazos + peridos de carencia</t>
        </r>
      </text>
    </comment>
    <comment ref="C36" authorId="2" shapeId="0" xr:uid="{00000000-0006-0000-0900-000007000000}">
      <text>
        <r>
          <rPr>
            <b/>
            <sz val="10"/>
            <color indexed="81"/>
            <rFont val="Tahoma"/>
            <family val="2"/>
          </rPr>
          <t>MMP:</t>
        </r>
        <r>
          <rPr>
            <sz val="10"/>
            <color indexed="81"/>
            <rFont val="Tahoma"/>
            <family val="2"/>
          </rPr>
          <t xml:space="preserve">
El periodo de carencia no se incluye en el número total de pagos por lo que la duración total del préstamo sería:
</t>
        </r>
        <r>
          <rPr>
            <b/>
            <sz val="10"/>
            <color indexed="81"/>
            <rFont val="Tahoma"/>
            <family val="2"/>
          </rPr>
          <t>nº total de plazos + periodos de carencia</t>
        </r>
      </text>
    </comment>
    <comment ref="D36" authorId="2" shapeId="0" xr:uid="{00000000-0006-0000-0900-000008000000}">
      <text>
        <r>
          <rPr>
            <b/>
            <sz val="10"/>
            <color indexed="81"/>
            <rFont val="Tahoma"/>
            <family val="2"/>
          </rPr>
          <t>MMP:</t>
        </r>
        <r>
          <rPr>
            <sz val="10"/>
            <color indexed="81"/>
            <rFont val="Tahoma"/>
            <family val="2"/>
          </rPr>
          <t xml:space="preserve">
El periodo de carencia no se incluye en el número total de pagos por lo que la duración total del préstamo sería:
</t>
        </r>
        <r>
          <rPr>
            <b/>
            <sz val="10"/>
            <color indexed="81"/>
            <rFont val="Tahoma"/>
            <family val="2"/>
          </rPr>
          <t>nº total de plazos + periodos de carencia</t>
        </r>
      </text>
    </comment>
    <comment ref="D49" authorId="1" shapeId="0" xr:uid="{00000000-0006-0000-0900-000009000000}">
      <text>
        <r>
          <rPr>
            <b/>
            <sz val="12"/>
            <color indexed="81"/>
            <rFont val="Tahoma"/>
            <family val="2"/>
          </rPr>
          <t xml:space="preserve">Miguel: 
</t>
        </r>
        <r>
          <rPr>
            <sz val="12"/>
            <color indexed="81"/>
            <rFont val="Tahoma"/>
            <family val="2"/>
          </rPr>
          <t xml:space="preserve">Se supone una única póliza de crédito cuyas condiciones pueden variar anualmente.
</t>
        </r>
      </text>
    </comment>
    <comment ref="D51" authorId="1" shapeId="0" xr:uid="{00000000-0006-0000-0900-00000A000000}">
      <text>
        <r>
          <rPr>
            <sz val="11"/>
            <color indexed="81"/>
            <rFont val="Tahoma"/>
            <family val="2"/>
          </rPr>
          <t xml:space="preserve">
El % de interés dependerá del tipo de préstamo que se solicite.
</t>
        </r>
      </text>
    </comment>
    <comment ref="D52" authorId="1" shapeId="0" xr:uid="{00000000-0006-0000-0900-00000B000000}">
      <text>
        <r>
          <rPr>
            <sz val="11"/>
            <color indexed="81"/>
            <rFont val="Tahoma"/>
            <family val="2"/>
          </rPr>
          <t xml:space="preserve">
El % de interés dependerá del tipo de préstamo que se solicite.
</t>
        </r>
      </text>
    </comment>
    <comment ref="A58" authorId="1" shapeId="0" xr:uid="{00000000-0006-0000-0900-00000C000000}">
      <text>
        <r>
          <rPr>
            <sz val="12"/>
            <color indexed="81"/>
            <rFont val="Tahoma"/>
            <family val="2"/>
          </rPr>
          <t xml:space="preserve">    En este tipo se deben incluir todos los costes del arrendamiento.
    Debería ser el TAE o una tasa cercana.</t>
        </r>
      </text>
    </comment>
    <comment ref="C60" authorId="1" shapeId="0" xr:uid="{00000000-0006-0000-0900-00000D000000}">
      <text>
        <r>
          <rPr>
            <sz val="10"/>
            <color indexed="81"/>
            <rFont val="Tahoma"/>
            <family val="2"/>
          </rPr>
          <t xml:space="preserve">
Los gastos iniciales se estiman sobre el principal en %. Deben incluir TODOS los costes de apertura y constitución del préstamo.
</t>
        </r>
        <r>
          <rPr>
            <b/>
            <sz val="10"/>
            <color indexed="81"/>
            <rFont val="Tahoma"/>
            <family val="2"/>
          </rPr>
          <t>Debe ser un % entre 0% y 5%</t>
        </r>
        <r>
          <rPr>
            <sz val="10"/>
            <color indexed="81"/>
            <rFont val="Tahoma"/>
            <family val="2"/>
          </rPr>
          <t xml:space="preserve">
Se pagan de una sola vez conjuntamente con la primera mensualidad (o pago de intereses en el caso de que haya carencia).</t>
        </r>
      </text>
    </comment>
    <comment ref="A69" authorId="1" shapeId="0" xr:uid="{00000000-0006-0000-0900-00000E000000}">
      <text>
        <r>
          <rPr>
            <sz val="12"/>
            <color indexed="81"/>
            <rFont val="Tahoma"/>
            <family val="2"/>
          </rPr>
          <t xml:space="preserve">    En este tipo se deben incluir todos los costes del arrendamiento.
    Debería ser el TAE o una tasa cercana.</t>
        </r>
      </text>
    </comment>
    <comment ref="C70" authorId="1" shapeId="0" xr:uid="{00000000-0006-0000-0900-00000F000000}">
      <text>
        <r>
          <rPr>
            <sz val="10"/>
            <color indexed="81"/>
            <rFont val="Tahoma"/>
            <family val="2"/>
          </rPr>
          <t xml:space="preserve">
Los gastos iniciales se estiman sobre el principal en %. Deben incluir TODOS los costes de apertura y constitución del préstamo.
</t>
        </r>
        <r>
          <rPr>
            <b/>
            <sz val="10"/>
            <color indexed="81"/>
            <rFont val="Tahoma"/>
            <family val="2"/>
          </rPr>
          <t>Debe ser un % entre 0% y 5%</t>
        </r>
        <r>
          <rPr>
            <sz val="10"/>
            <color indexed="81"/>
            <rFont val="Tahoma"/>
            <family val="2"/>
          </rPr>
          <t xml:space="preserve">
Se pagan de una sola vez conjuntamente con la primera mensualidad (o pago de intereses en el caso de que haya carencia).</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Miguel</author>
    <author>Abderraman 6.327</author>
    <author>Miguel Martínez</author>
  </authors>
  <commentList>
    <comment ref="D4" authorId="0" shapeId="0" xr:uid="{00000000-0006-0000-0E00-000001000000}">
      <text>
        <r>
          <rPr>
            <b/>
            <sz val="11"/>
            <color indexed="81"/>
            <rFont val="Tahoma"/>
            <family val="2"/>
          </rPr>
          <t>Miguel:</t>
        </r>
        <r>
          <rPr>
            <sz val="11"/>
            <color indexed="81"/>
            <rFont val="Tahoma"/>
            <family val="2"/>
          </rPr>
          <t xml:space="preserve">
El mes inicial de actividad se puede elegir el la hoja de </t>
        </r>
        <r>
          <rPr>
            <b/>
            <sz val="11"/>
            <color indexed="81"/>
            <rFont val="Tahoma"/>
            <family val="2"/>
          </rPr>
          <t>Parametros</t>
        </r>
        <r>
          <rPr>
            <sz val="11"/>
            <color indexed="81"/>
            <rFont val="Tahoma"/>
            <family val="2"/>
          </rPr>
          <t xml:space="preserve"> (NO AQUÍ)</t>
        </r>
      </text>
    </comment>
    <comment ref="A6" authorId="1" shapeId="0" xr:uid="{00000000-0006-0000-0E00-000002000000}">
      <text>
        <r>
          <rPr>
            <b/>
            <sz val="8"/>
            <color indexed="81"/>
            <rFont val="Tahoma"/>
            <family val="2"/>
          </rPr>
          <t xml:space="preserve">MMP:
</t>
        </r>
        <r>
          <rPr>
            <sz val="10"/>
            <color indexed="81"/>
            <rFont val="Tahoma"/>
            <family val="2"/>
          </rPr>
          <t xml:space="preserve">Solo es necesaria esta hoja (la segunda página de esta hoja de cálculo) en el caso de variaciones de plantilla en los meses de cada año bien por estacionalidad del negocio, bien por imcrementos de plantilla en los meses iniciales de actividad.
</t>
        </r>
        <r>
          <rPr>
            <b/>
            <sz val="12"/>
            <color indexed="81"/>
            <rFont val="Tahoma"/>
            <family val="2"/>
          </rPr>
          <t>Si la plantilla de cada año es siempre la inicial de cada año NO es necesario ni modificar ni imprimirla.</t>
        </r>
      </text>
    </comment>
    <comment ref="B8" authorId="2" shapeId="0" xr:uid="{00000000-0006-0000-0E00-000003000000}">
      <text>
        <r>
          <rPr>
            <b/>
            <sz val="10"/>
            <color indexed="81"/>
            <rFont val="Tahoma"/>
            <family val="2"/>
          </rPr>
          <t>Miguel Martínez:</t>
        </r>
        <r>
          <rPr>
            <sz val="10"/>
            <color indexed="81"/>
            <rFont val="Tahoma"/>
            <family val="2"/>
          </rPr>
          <t xml:space="preserve">
  Plantilla inicial del mes 0 del primero año (aunque el mes de inicio no sea enero)</t>
        </r>
      </text>
    </comment>
    <comment ref="A9" authorId="2" shapeId="0" xr:uid="{00000000-0006-0000-0E00-000004000000}">
      <text>
        <r>
          <rPr>
            <b/>
            <sz val="11"/>
            <color indexed="81"/>
            <rFont val="Tahoma"/>
            <family val="2"/>
          </rPr>
          <t>Miguel Martínez:</t>
        </r>
        <r>
          <rPr>
            <sz val="11"/>
            <color indexed="81"/>
            <rFont val="Tahoma"/>
            <family val="2"/>
          </rPr>
          <t xml:space="preserve">
        Socios NO sujetos al Régimen General de la Seguridad Social, bien porque están sujetos al R.E.T.A. (Régimen Especial de los Trabajadores Autónomos), bien porque estuvieran exentos (profesionales con mutualidades sustitutivas por ejemplo)</t>
        </r>
      </text>
    </comment>
    <comment ref="A10" authorId="2" shapeId="0" xr:uid="{00000000-0006-0000-0E00-000005000000}">
      <text>
        <r>
          <rPr>
            <b/>
            <sz val="11"/>
            <color indexed="81"/>
            <rFont val="Tahoma"/>
            <family val="2"/>
          </rPr>
          <t>Miguel Martínez:</t>
        </r>
        <r>
          <rPr>
            <sz val="11"/>
            <color indexed="81"/>
            <rFont val="Tahoma"/>
            <family val="2"/>
          </rPr>
          <t xml:space="preserve">
       Personas que trabajando en el negocio no pudieran (o no quisieran) estar incluidas en el Régimen General de la Seguridad Social, bien por obligación legal (familiares o cónyuges) o bien socios que reciban remuneraciones por motivo distinto al trabajo.
, bien porque están sujetos al R.E.T.A. (Régimen Especial de los Trabajadores Autónomos), bien porque estuvieran exentos (profesionales con mutualidades sustitutivas por ejemplo)</t>
        </r>
      </text>
    </comment>
    <comment ref="A20" authorId="2" shapeId="0" xr:uid="{00000000-0006-0000-0E00-000006000000}">
      <text>
        <r>
          <rPr>
            <b/>
            <sz val="11"/>
            <color indexed="81"/>
            <rFont val="Tahoma"/>
            <family val="2"/>
          </rPr>
          <t>Miguel Martínez:</t>
        </r>
        <r>
          <rPr>
            <sz val="11"/>
            <color indexed="81"/>
            <rFont val="Tahoma"/>
            <family val="2"/>
          </rPr>
          <t xml:space="preserve">
        VARIACIONES en el nº de socios dados de alta en la empresa (Incrementos o disminuciones).
        Pueden ser socios u otros que coticen por el R.E.T.A.( Régimen Especial Trabajadores Autónomos de la Seguridad Social)
        Por regla general como mínimo deberá haber 1 socio en el RETA, salvo casos especiales.
      En los casos en que los socios no tengan obligación de estar en el RETA de la Seg. Social. Habrá que poner que la cuota es 0, NO que el nº de socios sea 0</t>
        </r>
      </text>
    </comment>
    <comment ref="B27" authorId="2" shapeId="0" xr:uid="{00000000-0006-0000-0E00-000007000000}">
      <text>
        <r>
          <rPr>
            <b/>
            <sz val="10"/>
            <color indexed="81"/>
            <rFont val="Tahoma"/>
            <family val="2"/>
          </rPr>
          <t>Miguel Martínez:</t>
        </r>
        <r>
          <rPr>
            <sz val="10"/>
            <color indexed="81"/>
            <rFont val="Tahoma"/>
            <family val="2"/>
          </rPr>
          <t xml:space="preserve">
  Plantilla inicia del año.</t>
        </r>
      </text>
    </comment>
    <comment ref="A39" authorId="2" shapeId="0" xr:uid="{00000000-0006-0000-0E00-000008000000}">
      <text>
        <r>
          <rPr>
            <b/>
            <sz val="11"/>
            <color indexed="81"/>
            <rFont val="Tahoma"/>
            <family val="2"/>
          </rPr>
          <t>Miguel Martínez:</t>
        </r>
        <r>
          <rPr>
            <sz val="11"/>
            <color indexed="81"/>
            <rFont val="Tahoma"/>
            <family val="2"/>
          </rPr>
          <t xml:space="preserve">
        VARIACIONES en el nº de socios dados de alta en la empresa (Incrementos o disminuciones).
        Pueden ser socios u otros que coticen por el R.E.T.A.( Régimen Especial Trabajadores Autónomos de la Seguridad Social)
        Por regla general como mínimo deberá haber 1 socio en el RETA, salvo casos especiales.
      En los casos en que los socios no tengan obligación de estar en el RETA de la Seg. Social. Habrá que poner que la cuota es 0, NO que el nº de socios sea 0</t>
        </r>
      </text>
    </comment>
    <comment ref="B46" authorId="2" shapeId="0" xr:uid="{00000000-0006-0000-0E00-000009000000}">
      <text>
        <r>
          <rPr>
            <b/>
            <sz val="10"/>
            <color indexed="81"/>
            <rFont val="Tahoma"/>
            <family val="2"/>
          </rPr>
          <t>Miguel Martínez:</t>
        </r>
        <r>
          <rPr>
            <sz val="10"/>
            <color indexed="81"/>
            <rFont val="Tahoma"/>
            <family val="2"/>
          </rPr>
          <t xml:space="preserve">
  Plantilla inicia del año.</t>
        </r>
      </text>
    </comment>
    <comment ref="A58" authorId="2" shapeId="0" xr:uid="{00000000-0006-0000-0E00-00000A000000}">
      <text>
        <r>
          <rPr>
            <b/>
            <sz val="11"/>
            <color indexed="81"/>
            <rFont val="Tahoma"/>
            <family val="2"/>
          </rPr>
          <t>Miguel Martínez:</t>
        </r>
        <r>
          <rPr>
            <sz val="11"/>
            <color indexed="81"/>
            <rFont val="Tahoma"/>
            <family val="2"/>
          </rPr>
          <t xml:space="preserve">
        VARIACIONES en el nº de socios dados de alta en la empresa (Incrementos o disminuciones).
        Pueden ser socios u otros que coticen por el R.E.T.A.( Régimen Especial Trabajadores Autónomos de la Seguridad Social)
        Por regla general como mínimo deberá haber 1 socio en el RETA, salvo casos especiales.
      En los casos en que los socios no tengan obligación de estar en el RETA de la Seg. Social. Habrá que poner que la cuota es 0, NO que el nº de socios sea 0</t>
        </r>
      </text>
    </comment>
    <comment ref="B65" authorId="2" shapeId="0" xr:uid="{00000000-0006-0000-0E00-00000B000000}">
      <text>
        <r>
          <rPr>
            <b/>
            <sz val="10"/>
            <color indexed="81"/>
            <rFont val="Tahoma"/>
            <family val="2"/>
          </rPr>
          <t>Miguel Martínez:</t>
        </r>
        <r>
          <rPr>
            <sz val="10"/>
            <color indexed="81"/>
            <rFont val="Tahoma"/>
            <family val="2"/>
          </rPr>
          <t xml:space="preserve">
  Plantilla inicia del año.</t>
        </r>
      </text>
    </comment>
    <comment ref="A77" authorId="2" shapeId="0" xr:uid="{00000000-0006-0000-0E00-00000C000000}">
      <text>
        <r>
          <rPr>
            <b/>
            <sz val="11"/>
            <color indexed="81"/>
            <rFont val="Tahoma"/>
            <family val="2"/>
          </rPr>
          <t>Miguel Martínez:</t>
        </r>
        <r>
          <rPr>
            <sz val="11"/>
            <color indexed="81"/>
            <rFont val="Tahoma"/>
            <family val="2"/>
          </rPr>
          <t xml:space="preserve">
        VARIACIONES en el nº de socios dados de alta en la empresa (Incrementos o disminuciones).
        Pueden ser socios u otros que coticen por el R.E.T.A.( Régimen Especial Trabajadores Autónomos de la Seguridad Social)
        Por regla general como mínimo deberá haber 1 socio en el RETA, salvo casos especiales.
      En los casos en que los socios no tengan obligación de estar en el RETA de la Seg. Social. Habrá que poner que la cuota es 0, NO que el nº de socios sea 0</t>
        </r>
      </text>
    </comment>
    <comment ref="B84" authorId="2" shapeId="0" xr:uid="{00000000-0006-0000-0E00-00000D000000}">
      <text>
        <r>
          <rPr>
            <b/>
            <sz val="10"/>
            <color indexed="81"/>
            <rFont val="Tahoma"/>
            <family val="2"/>
          </rPr>
          <t>Miguel Martínez:</t>
        </r>
        <r>
          <rPr>
            <sz val="10"/>
            <color indexed="81"/>
            <rFont val="Tahoma"/>
            <family val="2"/>
          </rPr>
          <t xml:space="preserve">
  Plantilla inicia del año.</t>
        </r>
      </text>
    </comment>
    <comment ref="A96" authorId="2" shapeId="0" xr:uid="{00000000-0006-0000-0E00-00000E000000}">
      <text>
        <r>
          <rPr>
            <b/>
            <sz val="11"/>
            <color indexed="81"/>
            <rFont val="Tahoma"/>
            <family val="2"/>
          </rPr>
          <t>Miguel Martínez:</t>
        </r>
        <r>
          <rPr>
            <sz val="11"/>
            <color indexed="81"/>
            <rFont val="Tahoma"/>
            <family val="2"/>
          </rPr>
          <t xml:space="preserve">
        VARIACIONES en el nº de socios dados de alta en la empresa (Incrementos o disminuciones).
        Pueden ser socios u otros que coticen por el R.E.T.A.( Régimen Especial Trabajadores Autónomos de la Seguridad Social)
        Por regla general como mínimo deberá haber 1 socio en el RETA, salvo casos especiales.
      En los casos en que los socios no tengan obligación de estar en el RETA de la Seg. Social. Habrá que poner que la cuota es 0, NO que el nº de socios sea 0</t>
        </r>
      </text>
    </comment>
  </commentList>
</comments>
</file>

<file path=xl/sharedStrings.xml><?xml version="1.0" encoding="utf-8"?>
<sst xmlns="http://schemas.openxmlformats.org/spreadsheetml/2006/main" count="2141" uniqueCount="1300">
  <si>
    <t>Concepto</t>
  </si>
  <si>
    <t>Inmovilizado Material</t>
  </si>
  <si>
    <t>Maquinaria</t>
  </si>
  <si>
    <t>Mobiliario</t>
  </si>
  <si>
    <t>Equipos informáticos</t>
  </si>
  <si>
    <t>Realizable</t>
  </si>
  <si>
    <t>Total Activo</t>
  </si>
  <si>
    <t>Crédito de accionistas</t>
  </si>
  <si>
    <t>Subvenciones</t>
  </si>
  <si>
    <t>Recursos Ajenos</t>
  </si>
  <si>
    <t>Créditos a Corto Plazo</t>
  </si>
  <si>
    <t>Total</t>
  </si>
  <si>
    <t>Inmovilizado Inmaterial</t>
  </si>
  <si>
    <t>Intereses</t>
  </si>
  <si>
    <t>Ventas</t>
  </si>
  <si>
    <t>Totales</t>
  </si>
  <si>
    <t>Margen Bruto s/Ventas</t>
  </si>
  <si>
    <t>Dotación Amortizaciones</t>
  </si>
  <si>
    <t>Ingresos Financieros</t>
  </si>
  <si>
    <t>Gastos Financieros</t>
  </si>
  <si>
    <t>Resultado Financiero</t>
  </si>
  <si>
    <t>Res. Acumulado Ejercicio</t>
  </si>
  <si>
    <t>Cobro de ventas</t>
  </si>
  <si>
    <t>Otras entradas</t>
  </si>
  <si>
    <t>Producto</t>
  </si>
  <si>
    <t>% / Vtas</t>
  </si>
  <si>
    <t>Coste</t>
  </si>
  <si>
    <t>% / Ctes</t>
  </si>
  <si>
    <t xml:space="preserve">% contribución </t>
  </si>
  <si>
    <t>Fecha de realización:</t>
  </si>
  <si>
    <t>Edificios y construcciones</t>
  </si>
  <si>
    <t>Créditos Largo Plazo</t>
  </si>
  <si>
    <t>%</t>
  </si>
  <si>
    <t>Tributos: IAE, IBI, ...</t>
  </si>
  <si>
    <t>Conceptos</t>
  </si>
  <si>
    <t>Total Fuentes de Financiación</t>
  </si>
  <si>
    <t>Mes</t>
  </si>
  <si>
    <t>Porcentaje</t>
  </si>
  <si>
    <t>Variación</t>
  </si>
  <si>
    <t>Total Recursos Permanentes</t>
  </si>
  <si>
    <t>Total Recursos Ajenos</t>
  </si>
  <si>
    <t>Los % de Fondo de Maniobra son sobre el Activo Total.</t>
  </si>
  <si>
    <t>Ratios Básicos</t>
  </si>
  <si>
    <t>Ratios de Rentabilidad</t>
  </si>
  <si>
    <t>Fórmulas</t>
  </si>
  <si>
    <t>1. (Retorno sobre Inversión)</t>
  </si>
  <si>
    <t xml:space="preserve">    ROE (Return On Equity)</t>
  </si>
  <si>
    <t>3. Margen sobre Ventas</t>
  </si>
  <si>
    <t xml:space="preserve">    ROS (Return On Sales)</t>
  </si>
  <si>
    <t>Ratios de Eficiencia</t>
  </si>
  <si>
    <t>1. Rotación del Activo</t>
  </si>
  <si>
    <t>Ingresos de Explotación / Activo Total</t>
  </si>
  <si>
    <t>2. Rotación del Circulante</t>
  </si>
  <si>
    <t>3. Rotación de Existencias</t>
  </si>
  <si>
    <t>Ingresos de Explotación / Existencias</t>
  </si>
  <si>
    <t>Ratios Financieros</t>
  </si>
  <si>
    <t>1. Liquidez</t>
  </si>
  <si>
    <t>2. Disponibilidad</t>
  </si>
  <si>
    <t>3. Endeudamiento o Apalancamiento</t>
  </si>
  <si>
    <t>(Clientes / Ingresos de Explotación) x 365</t>
  </si>
  <si>
    <t>(Acreedores Comerciales / Coste de Ventas) x 365</t>
  </si>
  <si>
    <t>Plazo de Recuperación de la Inversión:</t>
  </si>
  <si>
    <t>Volumen de Ventas a partir del cual se genera Beneficio</t>
  </si>
  <si>
    <t>Otro Inmovilizado Material</t>
  </si>
  <si>
    <t>Tesorería inicial / Disponible</t>
  </si>
  <si>
    <t>Utillaje, Herramientas, ...</t>
  </si>
  <si>
    <t>Los precios son precios medios unitarios de venta.</t>
  </si>
  <si>
    <t>Primas de Seguros</t>
  </si>
  <si>
    <t>Ventas del periodo</t>
  </si>
  <si>
    <t>Plazos de cobro</t>
  </si>
  <si>
    <t>Contado</t>
  </si>
  <si>
    <t>Compras del periodo</t>
  </si>
  <si>
    <t>Plazos de pago</t>
  </si>
  <si>
    <t>Nombre de la empresa:</t>
  </si>
  <si>
    <t>Margen</t>
  </si>
  <si>
    <t>% de margen</t>
  </si>
  <si>
    <t>Total pagos</t>
  </si>
  <si>
    <t>Productos</t>
  </si>
  <si>
    <t>% contado</t>
  </si>
  <si>
    <t>Intereses del préstamo</t>
  </si>
  <si>
    <t>Datos</t>
  </si>
  <si>
    <t>Seg. Social Empleados</t>
  </si>
  <si>
    <t>Inicial</t>
  </si>
  <si>
    <t>plazo</t>
  </si>
  <si>
    <t>amortización</t>
  </si>
  <si>
    <t>Vehículos</t>
  </si>
  <si>
    <t>COBROS</t>
  </si>
  <si>
    <t>PAGOS</t>
  </si>
  <si>
    <t>Tesorería acumulada</t>
  </si>
  <si>
    <t>Total COBROS</t>
  </si>
  <si>
    <t>Otros gastos fijos</t>
  </si>
  <si>
    <t>Cobros por Ventas del año</t>
  </si>
  <si>
    <t>Amortizaciones</t>
  </si>
  <si>
    <t>Margen Medio de Contribución</t>
  </si>
  <si>
    <t>Estimación del Punto de Equilibrio</t>
  </si>
  <si>
    <t>Coeficiente de seguridad</t>
  </si>
  <si>
    <t>Otras salidas de caja</t>
  </si>
  <si>
    <t>Terrenos y solares</t>
  </si>
  <si>
    <t>Nº pagos por año</t>
  </si>
  <si>
    <t>nº total de pagos</t>
  </si>
  <si>
    <t>Pagos</t>
  </si>
  <si>
    <t>Datos Básicos</t>
  </si>
  <si>
    <t>Otros cobros y pagos</t>
  </si>
  <si>
    <t>Balance previsional año 0</t>
  </si>
  <si>
    <t>Balance previsional año 1</t>
  </si>
  <si>
    <t>Balance previsional año 2</t>
  </si>
  <si>
    <t>Cobros y de Pagos de la Empresa</t>
  </si>
  <si>
    <t>Índice</t>
  </si>
  <si>
    <t>Pagos de inversiones</t>
  </si>
  <si>
    <t>Pago de dividendos</t>
  </si>
  <si>
    <t>Dotación de reservas</t>
  </si>
  <si>
    <t>Dividendos</t>
  </si>
  <si>
    <t>Resultados del ejercicio</t>
  </si>
  <si>
    <t>dotación a reservas</t>
  </si>
  <si>
    <t>Dividendo a distribuir</t>
  </si>
  <si>
    <t>% / Beneficio</t>
  </si>
  <si>
    <t>Pérdidas a compensar</t>
  </si>
  <si>
    <t>1P (abril)</t>
  </si>
  <si>
    <t>2P (octubre)</t>
  </si>
  <si>
    <t>3P (diciembre)</t>
  </si>
  <si>
    <t xml:space="preserve">% </t>
  </si>
  <si>
    <t>Beneficio Neto</t>
  </si>
  <si>
    <t>Resultado aplicable</t>
  </si>
  <si>
    <t>Pagos de Gastos Financieros</t>
  </si>
  <si>
    <t>Créditos de los socios</t>
  </si>
  <si>
    <t>% ingresos a cuenta
     Imp. Sociedades</t>
  </si>
  <si>
    <t>Inicio de la actividad:</t>
  </si>
  <si>
    <t>Intereses póliza de crédito</t>
  </si>
  <si>
    <t>Cobros de clientes</t>
  </si>
  <si>
    <t>Pagos pend. proveedores</t>
  </si>
  <si>
    <t>Cobros pendientes clientes</t>
  </si>
  <si>
    <t>Pagos pend. A proveedores</t>
  </si>
  <si>
    <t>Capital desembolsado</t>
  </si>
  <si>
    <t>Amortización Acumulada</t>
  </si>
  <si>
    <t>Previa</t>
  </si>
  <si>
    <t>Almacén final del ejercicio anterior</t>
  </si>
  <si>
    <t>Compensación de pérdidas</t>
  </si>
  <si>
    <t>Familias de Productos
(productos o servicios)</t>
  </si>
  <si>
    <t>Balance Inicial Previo</t>
  </si>
  <si>
    <t>nº total de páginas</t>
  </si>
  <si>
    <t>Otros ingresos financieros</t>
  </si>
  <si>
    <t>Intereses Cuenta Corriente</t>
  </si>
  <si>
    <t>Ingresos financieros</t>
  </si>
  <si>
    <t>Datos generales del Proyecto</t>
  </si>
  <si>
    <t>Ptas.</t>
  </si>
  <si>
    <t>Impuesto de Sociedades</t>
  </si>
  <si>
    <t>Ventas previstas / Punto de equilibrio</t>
  </si>
  <si>
    <t>Coef. Seguridad</t>
  </si>
  <si>
    <t>Plazo recuperación inversión</t>
  </si>
  <si>
    <t>Nombre de la empresa(proyecto):</t>
  </si>
  <si>
    <t>Puestos de trabajo</t>
  </si>
  <si>
    <t>Gastos de personal</t>
  </si>
  <si>
    <t>Total Gastos de Personal</t>
  </si>
  <si>
    <t>Total Otros Gastos Fijos</t>
  </si>
  <si>
    <t>Nº medio de puestos de trabajo</t>
  </si>
  <si>
    <t>(Empleados + socios)</t>
  </si>
  <si>
    <t>Seg. Social Socios (R.E.T.A.)</t>
  </si>
  <si>
    <t>1 € =</t>
  </si>
  <si>
    <t>MONEDA :</t>
  </si>
  <si>
    <t>Pagos a preveedores</t>
  </si>
  <si>
    <t>Valor residual</t>
  </si>
  <si>
    <t>Principal</t>
  </si>
  <si>
    <t>Tipo de cambio</t>
  </si>
  <si>
    <t>Euros</t>
  </si>
  <si>
    <t>Media</t>
  </si>
  <si>
    <t>mes de inicio de actividad</t>
  </si>
  <si>
    <t>Ventas (unidades)</t>
  </si>
  <si>
    <t>Ventas (Unidades)</t>
  </si>
  <si>
    <t>Gastos iniciales</t>
  </si>
  <si>
    <t>Coste Total</t>
  </si>
  <si>
    <t>Altas y Bajas de personal</t>
  </si>
  <si>
    <t>Plantilla por meses</t>
  </si>
  <si>
    <t>Recursos Humanos de la empresa</t>
  </si>
  <si>
    <t>Datos de Evaluación</t>
  </si>
  <si>
    <t>Descuadres</t>
  </si>
  <si>
    <t>PP. Y GG.</t>
  </si>
  <si>
    <t>Tesorerías</t>
  </si>
  <si>
    <t>F. Maniobra</t>
  </si>
  <si>
    <t>BALANCES</t>
  </si>
  <si>
    <t>Coef. Seg.</t>
  </si>
  <si>
    <t>Resultado</t>
  </si>
  <si>
    <t>Max. Rojo</t>
  </si>
  <si>
    <t>Liquidez</t>
  </si>
  <si>
    <t>Tipo hoja</t>
  </si>
  <si>
    <t>Auxiliar</t>
  </si>
  <si>
    <t>Resultados</t>
  </si>
  <si>
    <t>I.R.P.F. Profesionales y Empresarios Individuales</t>
  </si>
  <si>
    <t>% Retención en Facturas</t>
  </si>
  <si>
    <t>% cuota IRPF (Ing-Gastos)</t>
  </si>
  <si>
    <t>Retenciones IRPF</t>
  </si>
  <si>
    <t>Gastos Deducibles</t>
  </si>
  <si>
    <t>Cuotas IRPF</t>
  </si>
  <si>
    <t>Liquidaciones Trimestrales</t>
  </si>
  <si>
    <t>Rendimientos del trabajo</t>
  </si>
  <si>
    <t>Costes Variables</t>
  </si>
  <si>
    <t>Costes de Personal</t>
  </si>
  <si>
    <t>Otros Gastos Fijos</t>
  </si>
  <si>
    <t>Gastos de Personal</t>
  </si>
  <si>
    <t>Total Gastos Deducibles</t>
  </si>
  <si>
    <t>Retenciones y pagos a cuenta</t>
  </si>
  <si>
    <t>Retenciones a cuenta</t>
  </si>
  <si>
    <t>Total ventas (Ingresos Brutos)</t>
  </si>
  <si>
    <t>Dotación para amortizaciones</t>
  </si>
  <si>
    <t>Pagos a cuenta del Impuesto</t>
  </si>
  <si>
    <t>hasta</t>
  </si>
  <si>
    <t>estatal</t>
  </si>
  <si>
    <t>autonómico</t>
  </si>
  <si>
    <t>desde</t>
  </si>
  <si>
    <t>Nº de socios</t>
  </si>
  <si>
    <t>Base Imponible por socio</t>
  </si>
  <si>
    <t>Previsión cuota íntegra</t>
  </si>
  <si>
    <t>Previsión cuota diferencial</t>
  </si>
  <si>
    <t>Total Retenciones y Pagos a cuenta</t>
  </si>
  <si>
    <t>Ejercicios Fiscales</t>
  </si>
  <si>
    <t>Intereses de la cuenta corriente</t>
  </si>
  <si>
    <t>Gastos - Ingresos Financieros</t>
  </si>
  <si>
    <t>Otros Costes fijos</t>
  </si>
  <si>
    <t>Otros cobros atípicos</t>
  </si>
  <si>
    <t>Seguridad Social</t>
  </si>
  <si>
    <t>Condiciones de Uso</t>
  </si>
  <si>
    <t>Resultado Negativo a devolver</t>
  </si>
  <si>
    <t>Fecha de realización del Plan:</t>
  </si>
  <si>
    <t>Otras ratios y parámetros</t>
  </si>
  <si>
    <t>Estimación del Umbral de Rentabilidad o Punto Muerto</t>
  </si>
  <si>
    <t>Ventas anuales previstas</t>
  </si>
  <si>
    <t>Venta mensual media prevista</t>
  </si>
  <si>
    <t>P.E. Mensual medio</t>
  </si>
  <si>
    <t>Beneficio Bruto Estimado (B.A.I.I.)</t>
  </si>
  <si>
    <t>Acreedores L.P. Financieros</t>
  </si>
  <si>
    <t>Otros Acreedores L.P.</t>
  </si>
  <si>
    <t>Acreedores C.P. Financieros</t>
  </si>
  <si>
    <t>Crédito financiero C.P.</t>
  </si>
  <si>
    <t>Proveedores</t>
  </si>
  <si>
    <t>Otros Acreedores C.P.</t>
  </si>
  <si>
    <t>Forma Jurídica / Fiscal:</t>
  </si>
  <si>
    <t>Tipo marginal</t>
  </si>
  <si>
    <t>Importe</t>
  </si>
  <si>
    <t>Ingresos extraordinarios</t>
  </si>
  <si>
    <t>Total Ingresos imputables</t>
  </si>
  <si>
    <t>Márgenes y Costes Variables Unitarios</t>
  </si>
  <si>
    <t>C.V.
Unitario</t>
  </si>
  <si>
    <t>margen</t>
  </si>
  <si>
    <t>Precios de Venta y Costes Variables</t>
  </si>
  <si>
    <t>por Familias de Productos o Servicios</t>
  </si>
  <si>
    <t>Precios de Coste o Costes Variables</t>
  </si>
  <si>
    <t>Pendiente para el año siguiente:</t>
  </si>
  <si>
    <t xml:space="preserve">Fondo de Maniobra </t>
  </si>
  <si>
    <t>Punto Muerto o Punto de Equilibrio</t>
  </si>
  <si>
    <t>Previsiones de ventas</t>
  </si>
  <si>
    <t>nº socios R.E.T.A. (altas y bajas)</t>
  </si>
  <si>
    <t>Dev. Otros Acreedores LP</t>
  </si>
  <si>
    <t>Impresión de hojas</t>
  </si>
  <si>
    <t>Estudio 
Preliminar</t>
  </si>
  <si>
    <t>Proyecto
Final</t>
  </si>
  <si>
    <t>NO</t>
  </si>
  <si>
    <t>SÍ</t>
  </si>
  <si>
    <t>folios</t>
  </si>
  <si>
    <t xml:space="preserve">meses sin alquiler al inicio por reformas     </t>
  </si>
  <si>
    <t>Máximo plazo cobro</t>
  </si>
  <si>
    <t>Máximo plazo pago</t>
  </si>
  <si>
    <t>Nombre de la Hoja de Cálculo</t>
  </si>
  <si>
    <t>nº</t>
  </si>
  <si>
    <t>% facturación con retención</t>
  </si>
  <si>
    <t>Tipos interés saldos deudores y acreedores</t>
  </si>
  <si>
    <t xml:space="preserve">Lugar de realización:     </t>
  </si>
  <si>
    <t>No</t>
  </si>
  <si>
    <t xml:space="preserve">Inicio de actividad    </t>
  </si>
  <si>
    <t>margen medio contribución</t>
  </si>
  <si>
    <t>Cuadros de alarmas</t>
  </si>
  <si>
    <t>Flujo de caja del periodo  (Cash Flow)</t>
  </si>
  <si>
    <t>Flujos de caja previstos  (Cash Flow)</t>
  </si>
  <si>
    <t>(Incr. Tesorería + Decr. Póliza credito)</t>
  </si>
  <si>
    <t>Total Facturación</t>
  </si>
  <si>
    <t>Coeficiente para la prorrata</t>
  </si>
  <si>
    <t>materias primas</t>
  </si>
  <si>
    <t>mercaderías</t>
  </si>
  <si>
    <t>Gastos laborales</t>
  </si>
  <si>
    <t>Otros Gastos</t>
  </si>
  <si>
    <t>4. Apalancamiento Financiero</t>
  </si>
  <si>
    <t>5. Cobertura del Inmovilizado</t>
  </si>
  <si>
    <t>6. Plazo Medio de Cobro (días)</t>
  </si>
  <si>
    <t>7. Plazo Medio de Pago (días)</t>
  </si>
  <si>
    <t>8. Capacidad máxima de crecimiento</t>
  </si>
  <si>
    <t>Mínimo Vital</t>
  </si>
  <si>
    <t>S.L.L.</t>
  </si>
  <si>
    <t>S.A.L.</t>
  </si>
  <si>
    <t>Fundación</t>
  </si>
  <si>
    <t>Soc.
t. Med</t>
  </si>
  <si>
    <t>IRPF
cuota</t>
  </si>
  <si>
    <t>IRPF
retención</t>
  </si>
  <si>
    <t>S.L.N.E. (SL Nueva Empresa)</t>
  </si>
  <si>
    <t>Cuentas de Resultados: Comparativa</t>
  </si>
  <si>
    <t>Total PAGOS</t>
  </si>
  <si>
    <t>Inmovilizado financiero Corto Plazo</t>
  </si>
  <si>
    <t>Instalaciones</t>
  </si>
  <si>
    <t>Parámetros</t>
  </si>
  <si>
    <t>Políticas de dividendos y reservas</t>
  </si>
  <si>
    <t>Otros parámetros de la simulación</t>
  </si>
  <si>
    <t>Datos NO fundamentales</t>
  </si>
  <si>
    <t>Previsiones de Ventas de la empresa</t>
  </si>
  <si>
    <t>antigüedad</t>
  </si>
  <si>
    <t>Política de Pagos por Compras y Costes Variables</t>
  </si>
  <si>
    <t>Política de Cobros por Ventas</t>
  </si>
  <si>
    <t>Total Gastos Fijos</t>
  </si>
  <si>
    <t>Resultados Financieros</t>
  </si>
  <si>
    <t>Beneficio Estimado (B.A.I.)</t>
  </si>
  <si>
    <t>Coef. de seguridad (con gastos financ.)</t>
  </si>
  <si>
    <t>Coef. de seguridad (sin gastos financ.)</t>
  </si>
  <si>
    <t>"</t>
  </si>
  <si>
    <t xml:space="preserve">meses de fianza del alquiler  </t>
  </si>
  <si>
    <t xml:space="preserve"> = Prev. Ventas / Pto. Equilibrio</t>
  </si>
  <si>
    <t>Previsión de Cuota diferencial para cada uno de los socios</t>
  </si>
  <si>
    <t>Valor Actualizado Neto  (VAN)</t>
  </si>
  <si>
    <t>Tasa Interna de Retorno (TIR)</t>
  </si>
  <si>
    <t>Valor Actualizado de la inversión</t>
  </si>
  <si>
    <t>% inflación que hace 0 el VAN</t>
  </si>
  <si>
    <t>Vida útil promedia prevista de la Inversión</t>
  </si>
  <si>
    <t>Número de años de vida útil prevista de la inversión</t>
  </si>
  <si>
    <t>TIR corregida con coste financiación e intereses de saldos positivos</t>
  </si>
  <si>
    <t xml:space="preserve">Total Gastos Fijos  </t>
  </si>
  <si>
    <t>Gastos Fijos anuales</t>
  </si>
  <si>
    <t>Resumen de Tesorerías mensuales</t>
  </si>
  <si>
    <t>Máxima tesorería mensual</t>
  </si>
  <si>
    <t>Estacionalidad de las Ventas</t>
  </si>
  <si>
    <t>incr. %</t>
  </si>
  <si>
    <t>Costes Var.</t>
  </si>
  <si>
    <t>Costes variables anuales</t>
  </si>
  <si>
    <t>Precios de Venta y Costes Variables por familias</t>
  </si>
  <si>
    <t>Gastos Fijos Anuales: Resumen</t>
  </si>
  <si>
    <t>Ingresos y Gastos Financieros</t>
  </si>
  <si>
    <t>Ratios Básicos de la Empresa</t>
  </si>
  <si>
    <t>Año 0</t>
  </si>
  <si>
    <t>Datos para las previsiones de ventas en unidades</t>
  </si>
  <si>
    <t>Agua y saneamiento</t>
  </si>
  <si>
    <t>Mobiliario oficina</t>
  </si>
  <si>
    <t>Herramientas de mano</t>
  </si>
  <si>
    <t>Total valor obra construida</t>
  </si>
  <si>
    <t>Obras de Reforma / Adecuación local</t>
  </si>
  <si>
    <t>Otro mobiliario</t>
  </si>
  <si>
    <t>Elementos de Transporte</t>
  </si>
  <si>
    <t>Otros vehículos</t>
  </si>
  <si>
    <t>Ordenadores</t>
  </si>
  <si>
    <t>Impresoras y fotocopiadoras</t>
  </si>
  <si>
    <t>Centralitas, enrutadores, red local</t>
  </si>
  <si>
    <t>Años
antigüedad</t>
  </si>
  <si>
    <t>plazo
amort.</t>
  </si>
  <si>
    <t>amort.
previa</t>
  </si>
  <si>
    <t>Aportado en Especie</t>
  </si>
  <si>
    <t>% Aport. especie</t>
  </si>
  <si>
    <t>Vehículos industriales</t>
  </si>
  <si>
    <t>Terminales Punto de Venta</t>
  </si>
  <si>
    <t>Telecomunicaciones</t>
  </si>
  <si>
    <t>Estanterías almacén, expositores</t>
  </si>
  <si>
    <t>% especie</t>
  </si>
  <si>
    <t>Ap. Especie</t>
  </si>
  <si>
    <t>Inversiones I+D+I</t>
  </si>
  <si>
    <t>Patentes, marcas o similares</t>
  </si>
  <si>
    <t>Certificaciones, homologac¡ones</t>
  </si>
  <si>
    <t>Proyectos, visados, Licencias</t>
  </si>
  <si>
    <t>ITP (Imp. Transmisiones Patrimoniales)</t>
  </si>
  <si>
    <t>Inmovilizado Financiero L. P.</t>
  </si>
  <si>
    <t>otras fianzas</t>
  </si>
  <si>
    <t>Impuesto Indirecto</t>
  </si>
  <si>
    <t>IPSI</t>
  </si>
  <si>
    <t>Tipo superreducido</t>
  </si>
  <si>
    <t>Tipo reducido</t>
  </si>
  <si>
    <t>Tipo normal</t>
  </si>
  <si>
    <t>Tipo especial</t>
  </si>
  <si>
    <t>Recargos de equivalencia</t>
  </si>
  <si>
    <t>IGIC</t>
  </si>
  <si>
    <t>(Territorio común)</t>
  </si>
  <si>
    <t>Canarias</t>
  </si>
  <si>
    <t>Ceuta y Melilla</t>
  </si>
  <si>
    <t>Exento</t>
  </si>
  <si>
    <t>Tipos</t>
  </si>
  <si>
    <t>Regla de prorrata</t>
  </si>
  <si>
    <t>Cuotas anuales de amortización</t>
  </si>
  <si>
    <t>Total plantilla</t>
  </si>
  <si>
    <t>Total Plantilla</t>
  </si>
  <si>
    <t>nº pagos
anuales</t>
  </si>
  <si>
    <t>Totales
anuales</t>
  </si>
  <si>
    <t>Arrendamiento de local</t>
  </si>
  <si>
    <t>Sueldos y salarios</t>
  </si>
  <si>
    <t>Total Sueldos y Salarios</t>
  </si>
  <si>
    <t>Total Seguros Sociales</t>
  </si>
  <si>
    <t>Altas y bajas de personal</t>
  </si>
  <si>
    <t>Costes de altas y bajas</t>
  </si>
  <si>
    <t>Altas y bajas de socios</t>
  </si>
  <si>
    <t>Altas de empleados</t>
  </si>
  <si>
    <t>Previsión de Gastos Fijos de la empresa</t>
  </si>
  <si>
    <t>Seguros Sociales</t>
  </si>
  <si>
    <t>meses</t>
  </si>
  <si>
    <t>periodos carencia</t>
  </si>
  <si>
    <t>Tot. Intereses</t>
  </si>
  <si>
    <t>Totales mensuales</t>
  </si>
  <si>
    <t>Otros pagos</t>
  </si>
  <si>
    <t>Previsiones de Cobros y Pagos: Previsiones de Tesorería</t>
  </si>
  <si>
    <t>mes</t>
  </si>
  <si>
    <t>Resúmen de tesorería</t>
  </si>
  <si>
    <t>Previsiones de pagos por meses</t>
  </si>
  <si>
    <t>Previsiones de cobros por meses</t>
  </si>
  <si>
    <t>Tesorerías mensuales previstas</t>
  </si>
  <si>
    <t>mes máxima tesorería mensual en el año</t>
  </si>
  <si>
    <t>Flujos de caja anuales (Cash Flow)</t>
  </si>
  <si>
    <t>Precios de Venta</t>
  </si>
  <si>
    <t>Datos para las previsiones de Gastos Fijos de la empresa</t>
  </si>
  <si>
    <t>% nominal</t>
  </si>
  <si>
    <t>Análisis de las Cuentas de Pérdidas y Ganancias</t>
  </si>
  <si>
    <t>Base Imponible Bruta</t>
  </si>
  <si>
    <t>Tipo reducido:</t>
  </si>
  <si>
    <t>Tipo general:</t>
  </si>
  <si>
    <t>Límite tramo reducido Imp. Soc.</t>
  </si>
  <si>
    <t>nº socios a efectos de IRPF</t>
  </si>
  <si>
    <t>altas/bajas de trabajadores</t>
  </si>
  <si>
    <t>Política de Cobros de Clientes Pendientes de ejercicios anteriores</t>
  </si>
  <si>
    <t>Política de Pagos pendientes a proveedores de ejercicios anteriores</t>
  </si>
  <si>
    <t>Tasa de morosidad de clientes</t>
  </si>
  <si>
    <t>Tasa de recuperación de impagados</t>
  </si>
  <si>
    <t>Impagados y recuperación de impagados</t>
  </si>
  <si>
    <t>Impagados</t>
  </si>
  <si>
    <t xml:space="preserve">Impagados producidos durante el año </t>
  </si>
  <si>
    <t>Generación de los nombres de los meses para que pueda funcionar en ordenadores con otra configuración de idioma</t>
  </si>
  <si>
    <t>Lista de formas jurídicas y datos para los impuestos</t>
  </si>
  <si>
    <t>Siglas</t>
  </si>
  <si>
    <t>S.L.U.</t>
  </si>
  <si>
    <t>C.B.</t>
  </si>
  <si>
    <t>S.C.</t>
  </si>
  <si>
    <t>S.C.A.</t>
  </si>
  <si>
    <t>S.A.</t>
  </si>
  <si>
    <t>S.L.N.E.</t>
  </si>
  <si>
    <t>al Inicio</t>
  </si>
  <si>
    <t>tasa % anual</t>
  </si>
  <si>
    <t>Amortizaciones anuales</t>
  </si>
  <si>
    <t>cobros pendientes de clientes</t>
  </si>
  <si>
    <t>Almacén - Existencias</t>
  </si>
  <si>
    <t>Amortizaciones Contables de Activos</t>
  </si>
  <si>
    <t>Vida útil media prevista (años)</t>
  </si>
  <si>
    <t>Créditos / Préstamos de los socios</t>
  </si>
  <si>
    <t>% Total</t>
  </si>
  <si>
    <t>Importe a financiar</t>
  </si>
  <si>
    <t>Financiaciones previstas</t>
  </si>
  <si>
    <t>Descuadres en balances</t>
  </si>
  <si>
    <t>Período de imputación de subvenciones</t>
  </si>
  <si>
    <t>Plazo ( años )</t>
  </si>
  <si>
    <t>ITP</t>
  </si>
  <si>
    <t>páginas</t>
  </si>
  <si>
    <t>hojas de cálculo en total</t>
  </si>
  <si>
    <t>Fianzas constituidas a Corto Plazo</t>
  </si>
  <si>
    <t>Ventas previstas</t>
  </si>
  <si>
    <t>NECESIDADES DE FINANCIACIÓN DE INVERSIONES</t>
  </si>
  <si>
    <t>FUENTES DE FINANCIACIÓN DE INVERSIONES</t>
  </si>
  <si>
    <t>Fuentes de Financiación de Inversiones</t>
  </si>
  <si>
    <t>Cuotas</t>
  </si>
  <si>
    <t>Financiación de la Inversión Inicial</t>
  </si>
  <si>
    <t>Fuentes de Financiación Iniciales</t>
  </si>
  <si>
    <t>Intereses periodo de carencia</t>
  </si>
  <si>
    <t>Nº de años</t>
  </si>
  <si>
    <t>meses carencia</t>
  </si>
  <si>
    <t>meses préstamo</t>
  </si>
  <si>
    <t>1er mes carencia</t>
  </si>
  <si>
    <t>1er mes préstamo</t>
  </si>
  <si>
    <t>mes final préstamo</t>
  </si>
  <si>
    <t>Pago periódico</t>
  </si>
  <si>
    <t>Cuadro de Amortizaciones e intereses de préstamos solicitados en años sucesivos</t>
  </si>
  <si>
    <t>Tipos nominales</t>
  </si>
  <si>
    <t>Principales</t>
  </si>
  <si>
    <t>Recursos Ajenos  ( préstamos )</t>
  </si>
  <si>
    <t>Forma Jurídico / Fiscal:</t>
  </si>
  <si>
    <t>Número de años que se tarda en recuperar la Inversión</t>
  </si>
  <si>
    <t>TOTALES</t>
  </si>
  <si>
    <t>Finazas constituidas corto plazo</t>
  </si>
  <si>
    <t>Inversión Bruta</t>
  </si>
  <si>
    <t>Tesorerías / (Déficits)</t>
  </si>
  <si>
    <t>FINANCIACIÓN AJENA : PRÉSTAMOS</t>
  </si>
  <si>
    <t>Los arrendamientos financieros se suponen formalizados al inicio de cada ejercicio excepto en el año inicial que se suponen en el mes de inicio.</t>
  </si>
  <si>
    <t>Alarma / Compañía de seguridad</t>
  </si>
  <si>
    <t>Transporte y desplazamientos</t>
  </si>
  <si>
    <t>Previsiones de plantilla detalladas por meses</t>
  </si>
  <si>
    <t>Fondo de Maniobra</t>
  </si>
  <si>
    <t>Ventas Anuales</t>
  </si>
  <si>
    <t xml:space="preserve">Ventas </t>
  </si>
  <si>
    <t>(Unidades)</t>
  </si>
  <si>
    <t>TIR (%)</t>
  </si>
  <si>
    <t>TIR Corregida (%)</t>
  </si>
  <si>
    <t>ROE (%)</t>
  </si>
  <si>
    <t>Programa de:</t>
  </si>
  <si>
    <t>Otros Cobros de la empresa</t>
  </si>
  <si>
    <t>Otros Pagos de la empresa</t>
  </si>
  <si>
    <t>Financiación</t>
  </si>
  <si>
    <t>Financiación Inicial</t>
  </si>
  <si>
    <t>Préstamos</t>
  </si>
  <si>
    <t>Recursos Humanos (RR.HH.)</t>
  </si>
  <si>
    <t>Gastos Fijos Datos</t>
  </si>
  <si>
    <t>Políticicas Cobros y Pagos</t>
  </si>
  <si>
    <t>Balances Anuales</t>
  </si>
  <si>
    <t>Bal. Inicial Previo</t>
  </si>
  <si>
    <t>Prev. Ventas 0</t>
  </si>
  <si>
    <t>Prev. Ventas 1</t>
  </si>
  <si>
    <t>Prev. Ventas 2</t>
  </si>
  <si>
    <t>Prev. Ventas 3</t>
  </si>
  <si>
    <t>Prev. Ventas 4</t>
  </si>
  <si>
    <t>Resumen Ventas 5 años</t>
  </si>
  <si>
    <t>PyG 0</t>
  </si>
  <si>
    <t>PyG 1</t>
  </si>
  <si>
    <t>PyG 2</t>
  </si>
  <si>
    <t>PyG 3</t>
  </si>
  <si>
    <t>PyG 4</t>
  </si>
  <si>
    <t>Cobros y pagos 0</t>
  </si>
  <si>
    <t>Cobros y pagos 1</t>
  </si>
  <si>
    <t>Cobros y pagos 2</t>
  </si>
  <si>
    <t>Cobros y pagos 3</t>
  </si>
  <si>
    <t>Cobros y pagos 4</t>
  </si>
  <si>
    <t>Ret IRPF</t>
  </si>
  <si>
    <t>G.F. 0</t>
  </si>
  <si>
    <t>G.F. 1</t>
  </si>
  <si>
    <t>G.F. 2</t>
  </si>
  <si>
    <t>G.F. 3</t>
  </si>
  <si>
    <t>G.F. 4</t>
  </si>
  <si>
    <t>IVA 0</t>
  </si>
  <si>
    <t>IVA 1</t>
  </si>
  <si>
    <t>IVA 2</t>
  </si>
  <si>
    <t>IVA 3</t>
  </si>
  <si>
    <t>IVA 4</t>
  </si>
  <si>
    <t>Tesorería 0</t>
  </si>
  <si>
    <t>Tesorería 1</t>
  </si>
  <si>
    <t>Tesorería 2</t>
  </si>
  <si>
    <t>Tesorería 3</t>
  </si>
  <si>
    <t>Tesorería 4</t>
  </si>
  <si>
    <t>Resumen Tesoerías Mensuales</t>
  </si>
  <si>
    <t>Oculta</t>
  </si>
  <si>
    <t>Opcional</t>
  </si>
  <si>
    <t>Cálculos</t>
  </si>
  <si>
    <t>coste por alta / baja empleado</t>
  </si>
  <si>
    <t>coste por alta / baja socio</t>
  </si>
  <si>
    <t>Plan Económico y Financiero Previsional a 5 años</t>
  </si>
  <si>
    <t>Índice de Hojas del Plan Económico Financiero</t>
  </si>
  <si>
    <t>Años de antigüedad en el mercado</t>
  </si>
  <si>
    <t xml:space="preserve">  mes</t>
  </si>
  <si>
    <t>Utiles de fabricación</t>
  </si>
  <si>
    <t>Máquina</t>
  </si>
  <si>
    <t>Alarmas e instalaciones de seguridad</t>
  </si>
  <si>
    <t>Instalación contraincendios</t>
  </si>
  <si>
    <t>amort. previa</t>
  </si>
  <si>
    <t>Otros personas en RETA</t>
  </si>
  <si>
    <t>Aplicación de resultados: Dotación de reservas y reparto de dividendos</t>
  </si>
  <si>
    <t xml:space="preserve"> años</t>
  </si>
  <si>
    <t>Beneficio antes Intereses e Impuestos / Activo Total x 100</t>
  </si>
  <si>
    <t>Beneficio antes de Intereses e Impuestos / Ingresos de Explotación x 100</t>
  </si>
  <si>
    <t>Incremento Gastos Fijos</t>
  </si>
  <si>
    <t>Incrementos de ventas necesarios</t>
  </si>
  <si>
    <t>Estimaciones de Ventas: Datos</t>
  </si>
  <si>
    <t>Soc.
% Normal</t>
  </si>
  <si>
    <t xml:space="preserve"> Incr. min</t>
  </si>
  <si>
    <t>Incr.  max</t>
  </si>
  <si>
    <t>parámetros de alisamiento de los Cash Flow</t>
  </si>
  <si>
    <t>Flujos de caja estimados para los cálculos de VAN, TIR, TIRc  Constantes a partir del 6º año</t>
  </si>
  <si>
    <t>Profesional Libre</t>
  </si>
  <si>
    <t>Incr. Medio</t>
  </si>
  <si>
    <t>Resúmen de Datos de Evaluación del Proyecto</t>
  </si>
  <si>
    <t>Salarios brutos mensuales por categorías laborales</t>
  </si>
  <si>
    <t>Tesorerías anuales iniciales / ( Déficits )</t>
  </si>
  <si>
    <t>Beneficio o pérdida brutos previstos (B.A.I.I.)</t>
  </si>
  <si>
    <t>Tasa Interna de Retorno Corregida (TIRc)</t>
  </si>
  <si>
    <t>Los costes variables deben estar calculados para las mismas unidades en que se estimen los precios de venta.</t>
  </si>
  <si>
    <t>Otros gastos Imprevistos</t>
  </si>
  <si>
    <t>Colegio / asociación profesional</t>
  </si>
  <si>
    <t>Retenciones y pagos a cuenta del I.R.P.F.</t>
  </si>
  <si>
    <t>Terrenos y Edificaciones</t>
  </si>
  <si>
    <t>Nivel mínimo de tesorería</t>
  </si>
  <si>
    <t>Publicidad de lanzamiento</t>
  </si>
  <si>
    <t>Arrendamientos / alquileres</t>
  </si>
  <si>
    <t>Material de oficina / papelería</t>
  </si>
  <si>
    <t>Agua, saneamiento y basura</t>
  </si>
  <si>
    <t>Otros suministros (gas, etc.)</t>
  </si>
  <si>
    <t>Inversiones Iniciales en Activos No Corrientes</t>
  </si>
  <si>
    <t>Elementos de Activo No Corriente</t>
  </si>
  <si>
    <t>Activos No Corrientes</t>
  </si>
  <si>
    <t>Inversiones en Activos No Corrientes posteriores al Inicio</t>
  </si>
  <si>
    <t>INVERSIONES INICIALES EN ACTIVOS CORRIENTES</t>
  </si>
  <si>
    <t>INVERSIONES ADICIONALES EN ACTIVOS CORRIENTES</t>
  </si>
  <si>
    <t>Inversiones en Activos No Corrientes</t>
  </si>
  <si>
    <t>Inversiones en Activos Corrientes</t>
  </si>
  <si>
    <t>Recursos Humanos de la Empresa. Costes Laborales.</t>
  </si>
  <si>
    <t>Activos Corrientes</t>
  </si>
  <si>
    <t>Patrimonio Neto</t>
  </si>
  <si>
    <t>Pasivos a Largo Plazo</t>
  </si>
  <si>
    <t>Pasivos a Corto Plazo</t>
  </si>
  <si>
    <t>Patrimonio Neto y Pasivos</t>
  </si>
  <si>
    <t>Ingresos de Explotación / Activo Corriente</t>
  </si>
  <si>
    <t>(Activo Corriente - Existencias) / Pasivo Exigible a Corto</t>
  </si>
  <si>
    <t>Activo Corriente  / Pasivo Exigible a Corto</t>
  </si>
  <si>
    <t>Activo Corriente - Pasivo Exigible a Corto Plazo</t>
  </si>
  <si>
    <t>Total Inv. Inicial Act. Corrientes</t>
  </si>
  <si>
    <t>Otros activos corrientes</t>
  </si>
  <si>
    <t>otros activos No Corrientes necesarios</t>
  </si>
  <si>
    <t>INVERSIONES EN ACTIVOS 
NO CORRIENTES</t>
  </si>
  <si>
    <t>Beneficio Neto / Patrimonio Neto x 100</t>
  </si>
  <si>
    <t>Pasivo Exigible Total / Patrimonio Neto</t>
  </si>
  <si>
    <t>(Patrimonio Neto + Pasivo Exigible a Largo) / Activo No Corriente</t>
  </si>
  <si>
    <t>(Patrimonio Neto + Pasivo Exigible a Largo Plazo) - Activo No Corriente</t>
  </si>
  <si>
    <t>PATRIMONIO NETO Y PASIVO</t>
  </si>
  <si>
    <t xml:space="preserve">ACTIVO </t>
  </si>
  <si>
    <t>Patrimonio Neto y Pasivo</t>
  </si>
  <si>
    <t>Ingresos por ventas</t>
  </si>
  <si>
    <t>Imputación de subvenciones</t>
  </si>
  <si>
    <t>Impagados / Cobros fallidos</t>
  </si>
  <si>
    <t>Cuenta de Resultados, o de Pérdidas y Ganancias por meses</t>
  </si>
  <si>
    <t>Costes Directos y Comerciales</t>
  </si>
  <si>
    <t>( B.A.I. / B.A.I.I. ) x ( Activo Total / Patrimonio Neto )</t>
  </si>
  <si>
    <t>Costes variables / Directos</t>
  </si>
  <si>
    <t>Resultado Neto del Periodo</t>
  </si>
  <si>
    <t>Gastos de Constitución</t>
  </si>
  <si>
    <t>Gastos de Establecimiento</t>
  </si>
  <si>
    <t>Gastos Iniciales y de Establecimiento</t>
  </si>
  <si>
    <t xml:space="preserve">   Gastos de constitución</t>
  </si>
  <si>
    <t>Gastos de establecimeinto</t>
  </si>
  <si>
    <t>Notaría</t>
  </si>
  <si>
    <t>Certificado Negativo del nombre</t>
  </si>
  <si>
    <t>Registro Mercantil, Publicación BORME</t>
  </si>
  <si>
    <t>Tasas de apertura</t>
  </si>
  <si>
    <t>Fianzas de locales alquilados</t>
  </si>
  <si>
    <t>Aport. Capital</t>
  </si>
  <si>
    <t>Inmovilizados Financieros Largo Plazo</t>
  </si>
  <si>
    <t>Inmov. Financiero Corto Plazo</t>
  </si>
  <si>
    <t>Existencias</t>
  </si>
  <si>
    <t>Clientes</t>
  </si>
  <si>
    <t>Tesorería</t>
  </si>
  <si>
    <t>Amort. Acum. Inm Material</t>
  </si>
  <si>
    <t>Amort. Acum. Inm inmaterial</t>
  </si>
  <si>
    <t>Inmov. Financiero Largo Plazo</t>
  </si>
  <si>
    <t>Gastos Amortizables</t>
  </si>
  <si>
    <t>Amort. Acum. Gastos amort.</t>
  </si>
  <si>
    <t>Amortizaciones acumuladas</t>
  </si>
  <si>
    <t>Cobros pendientes de clientes</t>
  </si>
  <si>
    <t>Clientes impagados</t>
  </si>
  <si>
    <t>H.P. Retenciones a cuenta IRPF</t>
  </si>
  <si>
    <t>Resultados pend. aplicación</t>
  </si>
  <si>
    <t>Otras aportaciones de socios/as</t>
  </si>
  <si>
    <t>Balances Anuales Previsionales</t>
  </si>
  <si>
    <t>Cuota líquida (a pagar)</t>
  </si>
  <si>
    <t>Cuota liquidable (imputable)</t>
  </si>
  <si>
    <t>Otros Cobros y Pagos de la Empresa</t>
  </si>
  <si>
    <t>Gastos Iniciales</t>
  </si>
  <si>
    <t>Inversiones Iniciales Act. No Corrientes (Fijos)</t>
  </si>
  <si>
    <t>Inversiones Adicionales Act. No Corrientes</t>
  </si>
  <si>
    <t>Inversiones Activos Corrientes</t>
  </si>
  <si>
    <t>Las cuotas de Renting se contabilizan íntegramente como gastos.</t>
  </si>
  <si>
    <t>Valores residuales</t>
  </si>
  <si>
    <t>Nº pagos / año</t>
  </si>
  <si>
    <t xml:space="preserve">Nº pagos / año </t>
  </si>
  <si>
    <t>meses de Renting</t>
  </si>
  <si>
    <t>1er mes Renting</t>
  </si>
  <si>
    <t>Operaciones de Renting</t>
  </si>
  <si>
    <t>Operaciones de Leasing</t>
  </si>
  <si>
    <t>Arrendamientos por Renting</t>
  </si>
  <si>
    <t>Intereses de Leasing</t>
  </si>
  <si>
    <t>Las intereses del Leasing se computan como gastos, mientras que las amortizaciones se detraen del pasivo correspondiente.</t>
  </si>
  <si>
    <t>meses Leasing</t>
  </si>
  <si>
    <t>1er mes Leasing</t>
  </si>
  <si>
    <t>mes final Leasing</t>
  </si>
  <si>
    <t>mes final Renting</t>
  </si>
  <si>
    <t>Cuota Leasing</t>
  </si>
  <si>
    <t>Cuota Renting</t>
  </si>
  <si>
    <t>Préstamos: Cálculo detallado.</t>
  </si>
  <si>
    <t>Leasing: Cálculo detallado de cuotas.</t>
  </si>
  <si>
    <t>Renting: Cálculo detallado.</t>
  </si>
  <si>
    <t>Previsión de Ingresos y Gastos Financieros de la empresa</t>
  </si>
  <si>
    <t>Notas Arrendamientos Financieros:</t>
  </si>
  <si>
    <t>Recursos Ajenos: Pasivos</t>
  </si>
  <si>
    <t>Vida útil promedio inversiones (años)</t>
  </si>
  <si>
    <t>Cálculo detallado de Amortizaciones e intereses de Leasing solicitados en años sucesivos</t>
  </si>
  <si>
    <t>Cálculo detallado de cuotas de Renting solicitados en años sucesivos</t>
  </si>
  <si>
    <t>Resultado antes Impuestos (B.A.I.)</t>
  </si>
  <si>
    <t>Total Ingresos de Explotación</t>
  </si>
  <si>
    <t>Devolución de principal de préstamos / Leasing</t>
  </si>
  <si>
    <t>Cobros pendientes / Cobros en mora</t>
  </si>
  <si>
    <t>NO USAR</t>
  </si>
  <si>
    <t>Derechos de traspaso</t>
  </si>
  <si>
    <t>Tasa de Inflación prevista</t>
  </si>
  <si>
    <t>Gasto Bruto sueldos mensual</t>
  </si>
  <si>
    <t>Gasto Bruto Seg. Social mensual</t>
  </si>
  <si>
    <t>máquina</t>
  </si>
  <si>
    <t>Programa de Creación de Empresas</t>
  </si>
  <si>
    <t>Desarrollo de página / portal Web</t>
  </si>
  <si>
    <t>Capital</t>
  </si>
  <si>
    <t>Congresos / Ferias / Viajes</t>
  </si>
  <si>
    <t>Instalación Eléctrica e Iluminación</t>
  </si>
  <si>
    <t>Instalaciones generales</t>
  </si>
  <si>
    <t>Software y Desarrollos Web</t>
  </si>
  <si>
    <t>ARRENDAMIENTOS FINANCIEROS ( LEASING )</t>
  </si>
  <si>
    <t>Inmovilizado Intangible</t>
  </si>
  <si>
    <t>Arrendamientos Financieros ( Leasing )</t>
  </si>
  <si>
    <t>Gastos
notaría</t>
  </si>
  <si>
    <t>Registro
Mercantil</t>
  </si>
  <si>
    <r>
      <t xml:space="preserve">Otros gastos de </t>
    </r>
    <r>
      <rPr>
        <sz val="10"/>
        <rFont val="Tahoma"/>
        <family val="2"/>
      </rPr>
      <t>establecimiento</t>
    </r>
  </si>
  <si>
    <t>Gastos Constitución</t>
  </si>
  <si>
    <t>Registro Mercantil</t>
  </si>
  <si>
    <t>nº total de plazos</t>
  </si>
  <si>
    <t>periodicidad para préstamos, leasing, etc.</t>
  </si>
  <si>
    <t>Variabilidad aleatoria</t>
  </si>
  <si>
    <t>coef. Corrector Mínimo</t>
  </si>
  <si>
    <t>coef. Corrector Máximo</t>
  </si>
  <si>
    <t>coeficientes correctores
mensuales aleatorios</t>
  </si>
  <si>
    <t>% Amplitud de la variabilidad de la previsión de ventas</t>
  </si>
  <si>
    <t>Asesoría y profesionales independientes</t>
  </si>
  <si>
    <t>Incertidumbre en tasas de impagados</t>
  </si>
  <si>
    <t>Tipo de Interés nominal</t>
  </si>
  <si>
    <t>FINANCIACIÓN AJENA : PÓLIZAS DE CRÉDITO</t>
  </si>
  <si>
    <t>Tipo de Interés anual sobre el dispuesto</t>
  </si>
  <si>
    <t>Tipo de interés anual sobre el remanente</t>
  </si>
  <si>
    <t>Cuantía máxima de la póliza (Límite de disponibilidad)</t>
  </si>
  <si>
    <t>Tipo de interés de los desfases de tesorería</t>
  </si>
  <si>
    <t>Intereses póliza no dispuesta</t>
  </si>
  <si>
    <t>Intereses por descubierto en cc.</t>
  </si>
  <si>
    <t>Diposicones póliza crédito</t>
  </si>
  <si>
    <t>Remanentes póliza crédito</t>
  </si>
  <si>
    <t>Descubiertos de tesorería</t>
  </si>
  <si>
    <t>Media anual</t>
  </si>
  <si>
    <t>tipos</t>
  </si>
  <si>
    <t>previos</t>
  </si>
  <si>
    <t>Dispuesto Póliza Crédito</t>
  </si>
  <si>
    <t>Máximo dispuesto de póliza de crédito</t>
  </si>
  <si>
    <t>Máximo descubierto en el año</t>
  </si>
  <si>
    <t>Límites crédito</t>
  </si>
  <si>
    <t>Pólizas de crédito y descubiertos</t>
  </si>
  <si>
    <t>Mes de máximo Descubierto</t>
  </si>
  <si>
    <t xml:space="preserve"> Déficits de tesorería al inicio de cada año</t>
  </si>
  <si>
    <t xml:space="preserve">Totales mensuales  </t>
  </si>
  <si>
    <t>Cooperativa Especialmente Protegida</t>
  </si>
  <si>
    <t>Empresario Individual (Reg. General)</t>
  </si>
  <si>
    <t>Empresario Individual (Rec. Equiv.)</t>
  </si>
  <si>
    <t>Sociedad Civil de profesionales</t>
  </si>
  <si>
    <t>Sociedad Civil  ( S.C. )</t>
  </si>
  <si>
    <t>Soc.Limitada Unipersonal  ( S.L.U. )</t>
  </si>
  <si>
    <t>Comunidad Bienes  ( C.B. )</t>
  </si>
  <si>
    <t>Sociedad Limitada Laboral  ( S.L.L. )</t>
  </si>
  <si>
    <t>Sociedad Anónima Laboral  ( S.A.L. )</t>
  </si>
  <si>
    <t>Sociedad Anónima  ( S.A. )</t>
  </si>
  <si>
    <t xml:space="preserve">BENEFICIO NETO </t>
  </si>
  <si>
    <t xml:space="preserve">Gastos financieros </t>
  </si>
  <si>
    <t>Amortizaciones y provisiones</t>
  </si>
  <si>
    <t xml:space="preserve">Inversiones NOF </t>
  </si>
  <si>
    <t>Tasa libre de riesgo</t>
  </si>
  <si>
    <t>TIR</t>
  </si>
  <si>
    <t>Necesidad Operativa Fondos (NOF)</t>
  </si>
  <si>
    <t>Tasa de descuento para VAN</t>
  </si>
  <si>
    <r>
      <t>CF</t>
    </r>
    <r>
      <rPr>
        <b/>
        <vertAlign val="subscript"/>
        <sz val="10"/>
        <rFont val="Tahoma"/>
        <family val="2"/>
      </rPr>
      <t>0</t>
    </r>
  </si>
  <si>
    <r>
      <t>CF</t>
    </r>
    <r>
      <rPr>
        <b/>
        <vertAlign val="subscript"/>
        <sz val="10"/>
        <rFont val="Tahoma"/>
        <family val="2"/>
      </rPr>
      <t>1</t>
    </r>
    <r>
      <rPr>
        <b/>
        <sz val="10"/>
        <rFont val="Arial"/>
        <family val="2"/>
      </rPr>
      <t/>
    </r>
  </si>
  <si>
    <r>
      <t>CF</t>
    </r>
    <r>
      <rPr>
        <b/>
        <vertAlign val="subscript"/>
        <sz val="10"/>
        <rFont val="Tahoma"/>
        <family val="2"/>
      </rPr>
      <t>2</t>
    </r>
    <r>
      <rPr>
        <b/>
        <sz val="10"/>
        <rFont val="Arial"/>
        <family val="2"/>
      </rPr>
      <t/>
    </r>
  </si>
  <si>
    <r>
      <t>CF</t>
    </r>
    <r>
      <rPr>
        <b/>
        <vertAlign val="subscript"/>
        <sz val="10"/>
        <rFont val="Tahoma"/>
        <family val="2"/>
      </rPr>
      <t>3</t>
    </r>
    <r>
      <rPr>
        <b/>
        <sz val="10"/>
        <rFont val="Arial"/>
        <family val="2"/>
      </rPr>
      <t/>
    </r>
  </si>
  <si>
    <r>
      <t>CF</t>
    </r>
    <r>
      <rPr>
        <b/>
        <vertAlign val="subscript"/>
        <sz val="10"/>
        <rFont val="Tahoma"/>
        <family val="2"/>
      </rPr>
      <t>4</t>
    </r>
    <r>
      <rPr>
        <b/>
        <sz val="10"/>
        <rFont val="Arial"/>
        <family val="2"/>
      </rPr>
      <t/>
    </r>
  </si>
  <si>
    <r>
      <t>CF</t>
    </r>
    <r>
      <rPr>
        <b/>
        <vertAlign val="subscript"/>
        <sz val="10"/>
        <rFont val="Tahoma"/>
        <family val="2"/>
      </rPr>
      <t>5</t>
    </r>
    <r>
      <rPr>
        <b/>
        <sz val="10"/>
        <rFont val="Arial"/>
        <family val="2"/>
      </rPr>
      <t/>
    </r>
  </si>
  <si>
    <t>Flujos de Caja Libres</t>
  </si>
  <si>
    <t>Riesgo empresa</t>
  </si>
  <si>
    <t>4%  -  6%</t>
  </si>
  <si>
    <t>3% por defecto</t>
  </si>
  <si>
    <t>riesgo sectorial</t>
  </si>
  <si>
    <t>riesgo específico</t>
  </si>
  <si>
    <t>1%  -  15%</t>
  </si>
  <si>
    <t>riesgo general de la empresa</t>
  </si>
  <si>
    <t>2%  -  9%</t>
  </si>
  <si>
    <t>Total riesgo empresa</t>
  </si>
  <si>
    <t>TIRc</t>
  </si>
  <si>
    <t>Gastos Financieros / RR.AA.</t>
  </si>
  <si>
    <t>dividendos / ( Capital + Reservas + otras aportaciones de los socios )</t>
  </si>
  <si>
    <t>Coste Financiero medio RR.PP.</t>
  </si>
  <si>
    <t>Coste Financiero medio RR.AA.</t>
  </si>
  <si>
    <t>Coste Financiero Ponderado medio</t>
  </si>
  <si>
    <t>Tasa de reinversión</t>
  </si>
  <si>
    <t>Tasa de financiación</t>
  </si>
  <si>
    <t>Tasas para cálculo de TIRc</t>
  </si>
  <si>
    <t>% descuento.  Coste de los recursos</t>
  </si>
  <si>
    <t>Valoración de la empresa.  VAN y TIR</t>
  </si>
  <si>
    <t>Valoración de la empresa.</t>
  </si>
  <si>
    <t>Pay Back</t>
  </si>
  <si>
    <t>Valor Flujos años 0 a 5</t>
  </si>
  <si>
    <t>Valoración de la empresa</t>
  </si>
  <si>
    <t>PER estimado</t>
  </si>
  <si>
    <t>% crecimiento Flujos Caja año 5 en adelante</t>
  </si>
  <si>
    <r>
      <t>(6%)</t>
    </r>
    <r>
      <rPr>
        <i/>
        <sz val="10"/>
        <rFont val="Tahoma"/>
        <family val="2"/>
      </rPr>
      <t xml:space="preserve"> - 6%</t>
    </r>
  </si>
  <si>
    <t>Inversiones netas inmovilizado material</t>
  </si>
  <si>
    <t>Inversiones netas inmovilizado inmaterial</t>
  </si>
  <si>
    <t xml:space="preserve">Flujo de Caja Libre acumulado </t>
  </si>
  <si>
    <t>Tasa de inflacción considerada</t>
  </si>
  <si>
    <t>interanual</t>
  </si>
  <si>
    <t>Personal por cuenta propia</t>
  </si>
  <si>
    <t>Personal por cuenta ajena</t>
  </si>
  <si>
    <t>Plantilla ( nº de personas)</t>
  </si>
  <si>
    <t>perpetuidad</t>
  </si>
  <si>
    <t>Comprobación Flujos de caja</t>
  </si>
  <si>
    <t>CF0</t>
  </si>
  <si>
    <t>CF1</t>
  </si>
  <si>
    <t>CF2</t>
  </si>
  <si>
    <t>CF3</t>
  </si>
  <si>
    <t>CF4</t>
  </si>
  <si>
    <t>CF5</t>
  </si>
  <si>
    <t>CF6</t>
  </si>
  <si>
    <t>CF7</t>
  </si>
  <si>
    <t>CF8</t>
  </si>
  <si>
    <t>CF9</t>
  </si>
  <si>
    <t>CF10</t>
  </si>
  <si>
    <t>CF11</t>
  </si>
  <si>
    <t>CF12</t>
  </si>
  <si>
    <t>CF13</t>
  </si>
  <si>
    <t>CF14</t>
  </si>
  <si>
    <t>CF15</t>
  </si>
  <si>
    <t>CF16</t>
  </si>
  <si>
    <t>CF17</t>
  </si>
  <si>
    <t>CF18</t>
  </si>
  <si>
    <t>CF19</t>
  </si>
  <si>
    <t>CF20</t>
  </si>
  <si>
    <t>CF21</t>
  </si>
  <si>
    <t>CF22</t>
  </si>
  <si>
    <t>CF23</t>
  </si>
  <si>
    <t>CF24</t>
  </si>
  <si>
    <t>CF25</t>
  </si>
  <si>
    <t>€ corrientes</t>
  </si>
  <si>
    <t>€ ctes</t>
  </si>
  <si>
    <t>VAN5 =</t>
  </si>
  <si>
    <t>VANr =</t>
  </si>
  <si>
    <t>Plazo de la empresa, nº de flujos de caja</t>
  </si>
  <si>
    <t>% descuento para el VAN</t>
  </si>
  <si>
    <t>Plazo cálculo del VAN</t>
  </si>
  <si>
    <t>variación relativa de beneficios/ variación relativa de ventas
=1 + Coste Fijo / Beneficio</t>
  </si>
  <si>
    <t>Cálculo de Amortizaciones de Inversiones en Activos No Corrientes</t>
  </si>
  <si>
    <t>Programa de Consolidación de Empresas</t>
  </si>
  <si>
    <t>Concurso de Emprendedores Universitarios</t>
  </si>
  <si>
    <t>Otros pagos acreedores L/P</t>
  </si>
  <si>
    <t>Sociedad Cooperativa Andaluza ( S.C.A. )</t>
  </si>
  <si>
    <t>Sociedad Cooperativa  ( S.Coop. )</t>
  </si>
  <si>
    <t>S.Coop.</t>
  </si>
  <si>
    <t>CF26</t>
  </si>
  <si>
    <t>CF27</t>
  </si>
  <si>
    <t>CF28</t>
  </si>
  <si>
    <t>CF29</t>
  </si>
  <si>
    <t>CF30</t>
  </si>
  <si>
    <t>CF31</t>
  </si>
  <si>
    <t>CF32</t>
  </si>
  <si>
    <t>CF33</t>
  </si>
  <si>
    <t>CF34</t>
  </si>
  <si>
    <t>CF35</t>
  </si>
  <si>
    <t>CF36</t>
  </si>
  <si>
    <t>CF37</t>
  </si>
  <si>
    <t>CF38</t>
  </si>
  <si>
    <t>CF39</t>
  </si>
  <si>
    <t>CF40</t>
  </si>
  <si>
    <t>CF41</t>
  </si>
  <si>
    <t>CF42</t>
  </si>
  <si>
    <t>CF43</t>
  </si>
  <si>
    <t>CF44</t>
  </si>
  <si>
    <t>CF45</t>
  </si>
  <si>
    <t>CF46</t>
  </si>
  <si>
    <t>CF47</t>
  </si>
  <si>
    <t>CF48</t>
  </si>
  <si>
    <t>CF49</t>
  </si>
  <si>
    <t>CF50</t>
  </si>
  <si>
    <t>VAN</t>
  </si>
  <si>
    <t>Costes producción</t>
  </si>
  <si>
    <t>nº meses anticipación</t>
  </si>
  <si>
    <t>plazos fabricación (días)</t>
  </si>
  <si>
    <t>media</t>
  </si>
  <si>
    <t>Distribución de los costes variables en el plazo de producción respecto a la fecha de venta</t>
  </si>
  <si>
    <t>mismo mes</t>
  </si>
  <si>
    <t>Previsión de unidades vendidas</t>
  </si>
  <si>
    <t>1 mes antes</t>
  </si>
  <si>
    <t>2 meses antes</t>
  </si>
  <si>
    <t>3 meses antes</t>
  </si>
  <si>
    <t>4 meses antes</t>
  </si>
  <si>
    <t>5 meses antes</t>
  </si>
  <si>
    <t>6 meses antes</t>
  </si>
  <si>
    <t>7 meses antes</t>
  </si>
  <si>
    <t>8 meses antes</t>
  </si>
  <si>
    <t>9 meses antes</t>
  </si>
  <si>
    <t>10 meses antes</t>
  </si>
  <si>
    <t>11 meses antes</t>
  </si>
  <si>
    <t>12 meses antes</t>
  </si>
  <si>
    <t>Previsiones de producción: Distribución de los costes variables de las unidades vendidas en el</t>
  </si>
  <si>
    <t>Distribución de los costes de producción por meses de las unidades vendidas en el año</t>
  </si>
  <si>
    <t>Plan de producción: Distribución de los costes variables en los meses anteriores a la venta</t>
  </si>
  <si>
    <t>días media</t>
  </si>
  <si>
    <t>Financiación adicional incluyendo circulante del año 0</t>
  </si>
  <si>
    <t>Nota:   Los gastos de Constitución NO afectan a la cuenta de resultados; van con signo negativo al pasivo del Balance</t>
  </si>
  <si>
    <t>Nota:   Los gastos de Establecimiento se imputan totalmente a la cuenta de resultados del año correspondiente.</t>
  </si>
  <si>
    <t>Productos en curso al inicio del año 0</t>
  </si>
  <si>
    <t>IVA Costes producción</t>
  </si>
  <si>
    <t>(PARA CALCULAR LOS PAGOS EN LOS MESES APROPIADOS)</t>
  </si>
  <si>
    <t>mes de compra / coste</t>
  </si>
  <si>
    <t>Totales costes / compras para la producción del producto 1 por los meses en los que se producen los costes</t>
  </si>
  <si>
    <t>Costes de producción en el año</t>
  </si>
  <si>
    <t>Productos en curso</t>
  </si>
  <si>
    <t>Proveedores CV productos en curso</t>
  </si>
  <si>
    <t>Pendiente anterior</t>
  </si>
  <si>
    <t>IVA del pendiente anterior</t>
  </si>
  <si>
    <t>EBITDA</t>
  </si>
  <si>
    <t>E.B.I.T.D.A.</t>
  </si>
  <si>
    <t>Gastos Explotación</t>
  </si>
  <si>
    <t>margen medio x (Ventas - Punto Muerto)   (EBITDA)</t>
  </si>
  <si>
    <t>Amort. Nuevo prestamo</t>
  </si>
  <si>
    <t>Amort. Nuevo Leasing</t>
  </si>
  <si>
    <t>Creación y Gestión de Empresas: Autoempleo</t>
  </si>
  <si>
    <t>Previsiones de Costes Variables de la empresa</t>
  </si>
  <si>
    <t>Tesorerías mensuales</t>
  </si>
  <si>
    <t>Remanente ejercicios anteriores</t>
  </si>
  <si>
    <t>Socios/as gestores/as</t>
  </si>
  <si>
    <t>Pesetas</t>
  </si>
  <si>
    <t>Ptas</t>
  </si>
  <si>
    <t>€</t>
  </si>
  <si>
    <t>$</t>
  </si>
  <si>
    <t>£</t>
  </si>
  <si>
    <t>Divisa</t>
  </si>
  <si>
    <t>Símblo</t>
  </si>
  <si>
    <t>=SI(G11="Euros";"€";SI(G11="Pesetas";"Ptas.";SI(G11="Dólares";"US $";"UK £")))</t>
  </si>
  <si>
    <r>
      <t xml:space="preserve">ARRENDAMIENTOS OPERATIVOS ( RENTING ) </t>
    </r>
    <r>
      <rPr>
        <sz val="10"/>
        <rFont val="Tahoma"/>
        <family val="2"/>
      </rPr>
      <t/>
    </r>
  </si>
  <si>
    <t>* No afecta a la financiación necesaria.</t>
  </si>
  <si>
    <t>Temporada</t>
  </si>
  <si>
    <t>Inicio</t>
  </si>
  <si>
    <t>Fin</t>
  </si>
  <si>
    <t>Temporada gastos fijos</t>
  </si>
  <si>
    <t>3 6</t>
  </si>
  <si>
    <t>2 4 6</t>
  </si>
  <si>
    <t>2 3 4 6</t>
  </si>
  <si>
    <t>Sí</t>
  </si>
  <si>
    <t>Cert. Negativo del nombre</t>
  </si>
  <si>
    <t>Tipo ITP aportaciones capital</t>
  </si>
  <si>
    <t>Asociación / ONG sin ánimo de lucro</t>
  </si>
  <si>
    <t>CAPACITACIÓN DE EMPRENDEDORES</t>
  </si>
  <si>
    <t>Soc.
% retenc. Año previo</t>
  </si>
  <si>
    <t>Soc.
% retenc. Año corriente</t>
  </si>
  <si>
    <t>Pagos a cuenta en base al …</t>
  </si>
  <si>
    <t>Alojamiento y servicios web</t>
  </si>
  <si>
    <t>Tipos de IVA (IGIC, IPSI) inversiones en activos fijos</t>
  </si>
  <si>
    <t>Años:</t>
  </si>
  <si>
    <t>Previsiones económicas
Cuadro Resumen</t>
  </si>
  <si>
    <t>Gastos de personal: 
Sueldos y salarios</t>
  </si>
  <si>
    <t>Creación de Empresas Audiovisuales</t>
  </si>
  <si>
    <t>Creación de Empresas Turísticas</t>
  </si>
  <si>
    <t>Base Ingresos a cuenta</t>
  </si>
  <si>
    <t>A) Activo No Corriente</t>
  </si>
  <si>
    <t>A) Patrimonio Neto</t>
  </si>
  <si>
    <t>I.</t>
  </si>
  <si>
    <t>III/V.</t>
  </si>
  <si>
    <t>II.</t>
  </si>
  <si>
    <t>VII.</t>
  </si>
  <si>
    <t>VI.</t>
  </si>
  <si>
    <t>Otras aportaciones de los socios</t>
  </si>
  <si>
    <t>III.</t>
  </si>
  <si>
    <t>Inversiones inmobiliarias</t>
  </si>
  <si>
    <t>A-2)</t>
  </si>
  <si>
    <t>IV.</t>
  </si>
  <si>
    <t>Inv. Emp. Grupo y asociadas</t>
  </si>
  <si>
    <t>Activos por impuesto diferido</t>
  </si>
  <si>
    <t>V.</t>
  </si>
  <si>
    <t>B) Pasivos a Largo Plazo</t>
  </si>
  <si>
    <t>II.1.</t>
  </si>
  <si>
    <t>II.3.</t>
  </si>
  <si>
    <t>B) Activo Corriente</t>
  </si>
  <si>
    <t>Ingresos a distribuir varios ejerc.</t>
  </si>
  <si>
    <t>C) Pasivos a Corto Plazo</t>
  </si>
  <si>
    <t>II.2.</t>
  </si>
  <si>
    <t>IV.1.</t>
  </si>
  <si>
    <t>Ajustes por periodificación</t>
  </si>
  <si>
    <t>IV.2.</t>
  </si>
  <si>
    <t>Préstamos LP</t>
  </si>
  <si>
    <t>Ventas Periodo anterior</t>
  </si>
  <si>
    <t>Préstamos CP</t>
  </si>
  <si>
    <t>Aprovisionamientos periodo anterior</t>
  </si>
  <si>
    <t>Pago mensual</t>
  </si>
  <si>
    <t>Si se conoce el pago, podemos estimar el plazo</t>
  </si>
  <si>
    <t>Importe del pago</t>
  </si>
  <si>
    <t>Inversiones inmobiliarias (Bal. Previo)</t>
  </si>
  <si>
    <t>Inmovilizado Material (Bal. Previo)</t>
  </si>
  <si>
    <t>Inmovilizado Inmaterial (Bal. Previo)</t>
  </si>
  <si>
    <t>Inv. Empresas grupo e Inmov. Financiero LP</t>
  </si>
  <si>
    <t>Inmov. Financiero C. Plazo (Bal. Previo)</t>
  </si>
  <si>
    <t>Plazo medio amortización activos Materiales</t>
  </si>
  <si>
    <t>Tipo interés medio</t>
  </si>
  <si>
    <t>periodicidad de los pagos</t>
  </si>
  <si>
    <t>Previo al inicio
(Bal. Previo)</t>
  </si>
  <si>
    <t>Aplicación de Beneficios</t>
  </si>
  <si>
    <t>Balance Previo</t>
  </si>
  <si>
    <t>Fianzas de alquileres</t>
  </si>
  <si>
    <t>periodo medio cobro clientes  (días)</t>
  </si>
  <si>
    <t>periodo medio pago proveedores (días)</t>
  </si>
  <si>
    <t xml:space="preserve"> </t>
  </si>
  <si>
    <t>Años antigüedad de los activos  (media)</t>
  </si>
  <si>
    <t>Plazo medio amortización activos Inmateriales</t>
  </si>
  <si>
    <r>
      <t xml:space="preserve">Meses </t>
    </r>
    <r>
      <rPr>
        <b/>
        <u/>
        <sz val="12"/>
        <rFont val="Tahoma"/>
        <family val="2"/>
      </rPr>
      <t>restantes</t>
    </r>
    <r>
      <rPr>
        <sz val="12"/>
        <rFont val="Tahoma"/>
        <family val="2"/>
      </rPr>
      <t xml:space="preserve"> imputación subvenciones</t>
    </r>
  </si>
  <si>
    <t>Acreedores L.P. Financieros (préstamos)</t>
  </si>
  <si>
    <t>Acreedores C.P. Financieros (préstamos)</t>
  </si>
  <si>
    <t>Acreedores L.P. Financieros (Leasing)</t>
  </si>
  <si>
    <t>Acreedores C.P. Financieros (Leasing)</t>
  </si>
  <si>
    <t>Acreedores financieros (Préstamos)</t>
  </si>
  <si>
    <t>Acreedores financieros (Leasing)</t>
  </si>
  <si>
    <t>Leasing CP (Arrend. financieros)</t>
  </si>
  <si>
    <t>Leasing LP (Arrend. financieros)</t>
  </si>
  <si>
    <t>Acreedores L.P. Financieros (Préstamos)</t>
  </si>
  <si>
    <t>Acreedores C.P. Financieros (Préstamos)</t>
  </si>
  <si>
    <t>Tipo interés medio (TAE % anual)</t>
  </si>
  <si>
    <t>nº total de pagos restantes</t>
  </si>
  <si>
    <t>nº de pagos anuales (periodicidad)</t>
  </si>
  <si>
    <t>Arrendamientos operativos previos (Renting)</t>
  </si>
  <si>
    <t>Préstamos en vigor</t>
  </si>
  <si>
    <t>Arrendamientos financieros en vigor (Leasing)</t>
  </si>
  <si>
    <t>Importe pendiente</t>
  </si>
  <si>
    <t>Importe de las cuotas</t>
  </si>
  <si>
    <t>Antigüedad de los activos y amortizaciones</t>
  </si>
  <si>
    <t>Imputación de subvenciones preexistentes</t>
  </si>
  <si>
    <t>Inversiones sin contar con el Bal. Previo</t>
  </si>
  <si>
    <t>=SI(isoc&lt;&gt;0;'Datos Básicos'!C58;0)*SI(Parametros!$C$49&gt;0;0;1)</t>
  </si>
  <si>
    <t>=SI(isoc&lt;&gt;0;'Datos Básicos'!C59;0)*SI(Parametros!$C$49&gt;0;0;1)</t>
  </si>
  <si>
    <t>=SI(isoc&lt;&gt;0;'Datos Básicos'!C60;0)*SI(Parametros!$C$49&gt;0;0;1)</t>
  </si>
  <si>
    <t>=SI(O(irpf&lt;&gt;0;MAX('Inv. Iniciales ANC'!C1:C63)&gt;0);0;ITP*('Financiación Inicial'!B8+'Financiación Inicial'!B7))*SI(Parametros!$C$49&gt;0;0;1)</t>
  </si>
  <si>
    <t>Dejar tal cual si no se está seguro</t>
  </si>
  <si>
    <t>Crédito financiero C.P. (pólizas)</t>
  </si>
  <si>
    <t>Créditos comerciales a clientes y de proveedores</t>
  </si>
  <si>
    <t>Herramientas de Mano</t>
  </si>
  <si>
    <t>Ajuar: Ropa de cama, toallas, etc.</t>
  </si>
  <si>
    <t>Accesorios</t>
  </si>
  <si>
    <t>Menaje: Loza, cristalería, cubertería</t>
  </si>
  <si>
    <t>otros aprovisionamientos (embalajes, etc.)</t>
  </si>
  <si>
    <t>Los activos en LEASING se incluyen en los activos (Balance) de la empresa, puesto que se presume que finalmente serán adquiridos.</t>
  </si>
  <si>
    <t>Los activos en Renting NO aparecen de ningún modo en el Balance de Situación.</t>
  </si>
  <si>
    <t>Punto de Equilibrio (con gastos fin.)</t>
  </si>
  <si>
    <t>Punto de Equilibrio (sin gastos fin.)</t>
  </si>
  <si>
    <t>( Ventas - Costes DIrectos ) / Ventas</t>
  </si>
  <si>
    <t>Liquidaciones</t>
  </si>
  <si>
    <t>Año anterior</t>
  </si>
  <si>
    <t>Trimestrales</t>
  </si>
  <si>
    <t>Proyecto / Nueva Empresa</t>
  </si>
  <si>
    <t>ITBIS</t>
  </si>
  <si>
    <t>S.R.L.</t>
  </si>
  <si>
    <t>Pesos RD</t>
  </si>
  <si>
    <t>RD $</t>
  </si>
  <si>
    <t>IVA</t>
  </si>
  <si>
    <t>Rep. Dominicana</t>
  </si>
  <si>
    <t>Master Global Entrepeneurship</t>
  </si>
  <si>
    <t>Sociedad Limitada  ( S.L. )</t>
  </si>
  <si>
    <t>Promotores:</t>
  </si>
  <si>
    <t>Sevilla Emprendedora</t>
  </si>
  <si>
    <t>CelerAEmprende</t>
  </si>
  <si>
    <t>Previsto</t>
  </si>
  <si>
    <t>Gastos iniciales / constitución</t>
  </si>
  <si>
    <t>MBA Global Entrepeneurship</t>
  </si>
  <si>
    <t>Sociedad Responsabilidad Limitada  ( S.R.L. )</t>
  </si>
  <si>
    <t>Libras UK</t>
  </si>
  <si>
    <t>US $</t>
  </si>
  <si>
    <t>% incr. interanual</t>
  </si>
  <si>
    <t>JPY</t>
  </si>
  <si>
    <t>¥</t>
  </si>
  <si>
    <t>Dev. Anuales</t>
  </si>
  <si>
    <t>Devolución</t>
  </si>
  <si>
    <t>Sueldo mensual máximo socios</t>
  </si>
  <si>
    <t>SS Autonomos Societarios</t>
  </si>
  <si>
    <t>SS RETA mínima</t>
  </si>
  <si>
    <t>Orden Anglosajón</t>
  </si>
  <si>
    <t>9. Capacidad para devolver deuda financiera</t>
  </si>
  <si>
    <t>(Beneficio Neto + Amortizaciones)  / Acreedores Financieros</t>
  </si>
  <si>
    <t>Años</t>
  </si>
  <si>
    <t>Ingresos</t>
  </si>
  <si>
    <t>Cash-Flow</t>
  </si>
  <si>
    <t>Recursos Propios</t>
  </si>
  <si>
    <t>Admon. Acreedora subvenciones</t>
  </si>
  <si>
    <t>Admón. deudora Subvenciones</t>
  </si>
  <si>
    <t>Políticas de cobros de subvenciones</t>
  </si>
  <si>
    <t>Año de concesión</t>
  </si>
  <si>
    <t>Administración deudora subvenciones</t>
  </si>
  <si>
    <t>Años iniciales</t>
  </si>
  <si>
    <t>Previsión de costes de producción de las unidades vendidas</t>
  </si>
  <si>
    <t>Incrementos de precios
interanuales</t>
  </si>
  <si>
    <t>Año Inicial simulación</t>
  </si>
  <si>
    <t>Ejercicios:</t>
  </si>
  <si>
    <t>Mes inicio ejercicios:</t>
  </si>
  <si>
    <t>mes de inicio del primer trimestre de los ejercicios económicos</t>
  </si>
  <si>
    <t>Incremento automático de existencias</t>
  </si>
  <si>
    <t>Instrumental</t>
  </si>
  <si>
    <t>Previsión Ventas</t>
  </si>
  <si>
    <t>6.2 Objetivos de Ventas:   cualitativos y cuantitativos</t>
  </si>
  <si>
    <t>6.3 Objetivos de Rentabilidad:   Punto Muerto</t>
  </si>
  <si>
    <t>Previsiones Beneficios</t>
  </si>
  <si>
    <t>8.3   Política de Precios</t>
  </si>
  <si>
    <r>
      <t>12.</t>
    </r>
    <r>
      <rPr>
        <b/>
        <sz val="7"/>
        <rFont val="Times New Roman"/>
        <family val="1"/>
      </rPr>
      <t xml:space="preserve">   </t>
    </r>
    <r>
      <rPr>
        <b/>
        <sz val="11"/>
        <rFont val="Tahoma"/>
        <family val="2"/>
      </rPr>
      <t xml:space="preserve">   PLAN DE ACTUACIÓN (V): ÁREA FINANCIERA</t>
    </r>
  </si>
  <si>
    <t>12.1 Gastos Fijos del Negocio</t>
  </si>
  <si>
    <t>Altas y bajas personal</t>
  </si>
  <si>
    <t xml:space="preserve">12.2 Gastos Variables </t>
  </si>
  <si>
    <t>Resultados del Plan Económico y Financiero a incluir en el PLAN DE NEGOCIO EOI</t>
  </si>
  <si>
    <t>Mantenimiento y reparaciones</t>
  </si>
  <si>
    <t>Suministro de Electricidad</t>
  </si>
  <si>
    <t>Telefonía / Internet / Comunicaciones</t>
  </si>
  <si>
    <t>Gastos Fijos años siguientes</t>
  </si>
  <si>
    <t>BRL</t>
  </si>
  <si>
    <t>R$</t>
  </si>
  <si>
    <t>Gastos de Seguridad Social</t>
  </si>
  <si>
    <t>Res. antes Int. e Imp. (BAII / EBIT)</t>
  </si>
  <si>
    <t>(margen x (1-%dividendos)xActivo/Patrimonio Neto) /
 1/rotación-margen*(1-%dividendos)xActivo/Patrimonio Neto)</t>
  </si>
  <si>
    <t>I.R.P.F.</t>
  </si>
  <si>
    <t>Impusto de la Renta de las Personas Físicas</t>
  </si>
  <si>
    <t>I.S.</t>
  </si>
  <si>
    <t>Impuesto Sociedades</t>
  </si>
  <si>
    <t>Impuesto de la Renta</t>
  </si>
  <si>
    <t>Previsiones de Márgenes de Contribución Brutos</t>
  </si>
  <si>
    <t>Margen Contr.</t>
  </si>
  <si>
    <t>Márgenes contrib. anuales</t>
  </si>
  <si>
    <t>Inversiones Anuales Previstas</t>
  </si>
  <si>
    <t>Total Inversiones Activos No Corrientes</t>
  </si>
  <si>
    <t>Inversiones Anuales Activos Corrientes</t>
  </si>
  <si>
    <t>Total Inversiones Anuales</t>
  </si>
  <si>
    <t>Tesorería de seguridad</t>
  </si>
  <si>
    <t>Bal. Previo</t>
  </si>
  <si>
    <t>Previo</t>
  </si>
  <si>
    <t>-</t>
  </si>
  <si>
    <t>CP Préstamo previo</t>
  </si>
  <si>
    <t>Amort CP Leasing Previo</t>
  </si>
  <si>
    <t>Total Inicial</t>
  </si>
  <si>
    <t>Inicial Previo</t>
  </si>
  <si>
    <t>Coworking</t>
  </si>
  <si>
    <t>ROI / ROA (%)</t>
  </si>
  <si>
    <t>2. (Retorno sobre Activo) (ROI / ROA)</t>
  </si>
  <si>
    <t xml:space="preserve">    ROI (Return On Investment/Assets)</t>
  </si>
  <si>
    <t>años</t>
  </si>
  <si>
    <t>Gastos de cobro de ventas</t>
  </si>
  <si>
    <t>% gastos por cobros de ventas</t>
  </si>
  <si>
    <t>10. Coste medio ponderado de financiación</t>
  </si>
  <si>
    <t>Intereses y gastos financieros / importe financiado</t>
  </si>
  <si>
    <t>Gastos de Marketing</t>
  </si>
  <si>
    <t>Gastos Fijos Marketing online</t>
  </si>
  <si>
    <t>Gastos Fijos Marketing off-line</t>
  </si>
  <si>
    <r>
      <t xml:space="preserve">Marketing Digital </t>
    </r>
    <r>
      <rPr>
        <sz val="10"/>
        <rFont val="Tahoma"/>
        <family val="2"/>
      </rPr>
      <t xml:space="preserve">(SEO, SEM, etc) </t>
    </r>
  </si>
  <si>
    <r>
      <t xml:space="preserve">Marketing Offline </t>
    </r>
    <r>
      <rPr>
        <sz val="10"/>
        <rFont val="Tahoma"/>
        <family val="2"/>
      </rPr>
      <t xml:space="preserve">(Publicidad, RRPP, Promociones, etc) </t>
    </r>
  </si>
  <si>
    <t>% ventas</t>
  </si>
  <si>
    <t>Importe anual</t>
  </si>
  <si>
    <t>Dato</t>
  </si>
  <si>
    <t>Importe
anual</t>
  </si>
  <si>
    <t>% incr.
anual</t>
  </si>
  <si>
    <t>Total Gastos Marketing por años</t>
  </si>
  <si>
    <t>CAC</t>
  </si>
  <si>
    <t/>
  </si>
  <si>
    <t>Valoración Post-Money</t>
  </si>
  <si>
    <t>Valoración Pre-Money</t>
  </si>
  <si>
    <t>Valoración PreMoney y PostMoney</t>
  </si>
  <si>
    <t>Inversión prevista</t>
  </si>
  <si>
    <t>% capital a cambio de la inversión</t>
  </si>
  <si>
    <t>Valor del cliente en la vida útil: LTV (Life Time Value)</t>
  </si>
  <si>
    <t>Coste de Adquisición de nuevos clientes</t>
  </si>
  <si>
    <t>nuevos clientes captados</t>
  </si>
  <si>
    <t>Gastos de Marketing. Métricas</t>
  </si>
  <si>
    <t>Rentabilidad media de cada cliente captado</t>
  </si>
  <si>
    <t>LTV / CAC=</t>
  </si>
  <si>
    <t>En general el LTV debería ser al menos 3 veces mayor que CAC, aunque depende de cada sector y negocio.</t>
  </si>
  <si>
    <t>RA</t>
  </si>
  <si>
    <t>Años esperados de permanencia del cliente en la empresa</t>
  </si>
  <si>
    <t>VC</t>
  </si>
  <si>
    <t>Fecha de la inversión</t>
  </si>
  <si>
    <t>Serie</t>
  </si>
  <si>
    <t>Número de  acciones emitidas esta vez</t>
  </si>
  <si>
    <t>Número total de acciones emitidas</t>
  </si>
  <si>
    <t>Valoración tras cada ronda</t>
  </si>
  <si>
    <t>Origen de los fondos</t>
  </si>
  <si>
    <t>3.1   Origen de los fondos</t>
  </si>
  <si>
    <t xml:space="preserve">3.2   Valor Pre-Money </t>
  </si>
  <si>
    <t xml:space="preserve">Valoración Pre-Money </t>
  </si>
  <si>
    <t>3.3   Cuadro Financiero del Proyecto</t>
  </si>
  <si>
    <t>Año Descripción</t>
  </si>
  <si>
    <t>Real</t>
  </si>
  <si>
    <t>1. Ingresos por ventas</t>
  </si>
  <si>
    <r>
      <t>2. COGS</t>
    </r>
    <r>
      <rPr>
        <sz val="11"/>
        <rFont val="Calibri"/>
        <family val="2"/>
      </rPr>
      <t xml:space="preserve"> </t>
    </r>
    <r>
      <rPr>
        <sz val="8"/>
        <rFont val="Calibri"/>
        <family val="2"/>
      </rPr>
      <t>(</t>
    </r>
    <r>
      <rPr>
        <sz val="8"/>
        <rFont val="Lucida Sans"/>
        <family val="2"/>
      </rPr>
      <t>costo de los bienes vendidos)</t>
    </r>
  </si>
  <si>
    <t xml:space="preserve">3. Gastos Generales </t>
  </si>
  <si>
    <t>4. Total Costes &amp; Gastos (2 + 3)</t>
  </si>
  <si>
    <t>6. Otros gastos</t>
  </si>
  <si>
    <r>
      <t xml:space="preserve">EBITDA </t>
    </r>
    <r>
      <rPr>
        <sz val="9"/>
        <rFont val="Lucida Sans"/>
        <family val="2"/>
      </rPr>
      <t>(5 – 6)</t>
    </r>
  </si>
  <si>
    <t>Punto de Equilibrio</t>
  </si>
  <si>
    <t>Cash-Flow del final del periodo</t>
  </si>
  <si>
    <r>
      <t xml:space="preserve">3.3.1. Otras métricas financieras de interés: </t>
    </r>
    <r>
      <rPr>
        <sz val="11"/>
        <color indexed="8"/>
        <rFont val="Calibri-Bold"/>
      </rPr>
      <t>(OPCIONALES)</t>
    </r>
  </si>
  <si>
    <t>Rentabilidad ofrecida al accionista (%)</t>
  </si>
  <si>
    <r>
      <t xml:space="preserve">Para destinar a  </t>
    </r>
    <r>
      <rPr>
        <b/>
        <sz val="9"/>
        <rFont val="Wingdings"/>
        <charset val="2"/>
      </rPr>
      <t>à</t>
    </r>
  </si>
  <si>
    <t>Destino:</t>
  </si>
  <si>
    <t>TOTAL</t>
  </si>
  <si>
    <t xml:space="preserve">Capital Solicitado  </t>
  </si>
  <si>
    <r>
      <t>3.5.</t>
    </r>
    <r>
      <rPr>
        <sz val="11"/>
        <rFont val="Calibri"/>
        <family val="2"/>
      </rPr>
      <t xml:space="preserve"> </t>
    </r>
    <r>
      <rPr>
        <b/>
        <sz val="9"/>
        <color indexed="8"/>
        <rFont val="Calibri-Bold"/>
      </rPr>
      <t xml:space="preserve">Porcentaje del capital social en el que se busca inversión </t>
    </r>
    <r>
      <rPr>
        <sz val="9"/>
        <color indexed="8"/>
        <rFont val="Calibri-Bold"/>
      </rPr>
      <t>(expresado en %):</t>
    </r>
  </si>
  <si>
    <t xml:space="preserve">5. Beneficio Bruto   
(1- 4) </t>
  </si>
  <si>
    <t>WACC de la empresa (% tasa descuento)</t>
  </si>
  <si>
    <t>Beneficio Neto Operativo después de impuestos
( NOPAT )</t>
  </si>
  <si>
    <t>Rentabilidad sobre los activos
ROA</t>
  </si>
  <si>
    <t>Rentabilidad sobre el Patrimonio Neto
ROE</t>
  </si>
  <si>
    <t>Gastos de Capital
CAPEX</t>
  </si>
  <si>
    <t>Flujo de Caja libre / Free Cash Flow
F.C.L.  / F.C.F.</t>
  </si>
  <si>
    <t>Flujo de Caja de Operaciones
F.C.O.  / O.C.F.</t>
  </si>
  <si>
    <t>3.3.2. Métricas de valoración de la empresa al final del último periodo</t>
  </si>
  <si>
    <t xml:space="preserve"> (OPCIONALES)</t>
  </si>
  <si>
    <t>Ficha de Datos Día de los Inversores / Investor's Day</t>
  </si>
  <si>
    <t>DATOS CUANTITATIVOS</t>
  </si>
  <si>
    <t>nombre empresa</t>
  </si>
  <si>
    <t>nombre y apellidos</t>
  </si>
  <si>
    <t>Inversiones y fuentes de financiación</t>
  </si>
  <si>
    <t>Repeticiones de compra por cliente: Compras / cliente y año</t>
  </si>
  <si>
    <r>
      <rPr>
        <b/>
        <sz val="11"/>
        <rFont val="Tahoma"/>
        <family val="2"/>
      </rPr>
      <t xml:space="preserve">ROI inversión en marketing  </t>
    </r>
    <r>
      <rPr>
        <sz val="11"/>
        <rFont val="Tahoma"/>
        <family val="2"/>
      </rPr>
      <t xml:space="preserve">  </t>
    </r>
    <r>
      <rPr>
        <sz val="10"/>
        <rFont val="Tahoma"/>
        <family val="2"/>
      </rPr>
      <t>(Margen Bruto - Gasto en MKT)/Gasto MKT</t>
    </r>
  </si>
  <si>
    <t>Flujo de Caja libre sobre Capital/ Free Cash Flow over Capital
CROC</t>
  </si>
  <si>
    <t>Tasa de abandono de clientes</t>
  </si>
  <si>
    <t>% abandono</t>
  </si>
  <si>
    <t>% permanencia</t>
  </si>
  <si>
    <t>Tasa de permanencia de clientes en la empresa</t>
  </si>
  <si>
    <t>Pay Back (años)</t>
  </si>
  <si>
    <t>aa</t>
  </si>
  <si>
    <t>nuevos clientes</t>
  </si>
  <si>
    <t>RETA Bonificado</t>
  </si>
  <si>
    <t>personal de temporada</t>
  </si>
  <si>
    <t>Gastos Marketing online variables</t>
  </si>
  <si>
    <t>Gastos Marketing online fijos</t>
  </si>
  <si>
    <t>Gastos Marketing off-line variables</t>
  </si>
  <si>
    <t>Gastos Marketing off-line fijos</t>
  </si>
  <si>
    <t>4. Retorno sobre el Capital Empleado
    ROCE (Return on Capital Employed)</t>
  </si>
  <si>
    <t>BAII ( EBIT )  / Recursos a Largo Plazo</t>
  </si>
  <si>
    <t>5. Margen Bruto Medio de Contribución</t>
  </si>
  <si>
    <t>6. Grado de Apalancamiento Operativo</t>
  </si>
  <si>
    <t>Días del mes</t>
  </si>
  <si>
    <t>Días laborables</t>
  </si>
  <si>
    <t>Total anual</t>
  </si>
  <si>
    <t>Días festivos / No laborables</t>
  </si>
  <si>
    <t>Ámbito</t>
  </si>
  <si>
    <t>Festividades</t>
  </si>
  <si>
    <t>Nacional</t>
  </si>
  <si>
    <t>Año Nuevo</t>
  </si>
  <si>
    <t>Autonómica</t>
  </si>
  <si>
    <t>Reyes Magos</t>
  </si>
  <si>
    <t>Día Andalucía</t>
  </si>
  <si>
    <t>Día Trabajo</t>
  </si>
  <si>
    <t>Asunción</t>
  </si>
  <si>
    <t>Virgen del Pilar</t>
  </si>
  <si>
    <t>Todos los Santos</t>
  </si>
  <si>
    <t>Costitución</t>
  </si>
  <si>
    <t>Inmaculada</t>
  </si>
  <si>
    <t>Navidad</t>
  </si>
  <si>
    <t>Jueves Santo</t>
  </si>
  <si>
    <t>Viernes Santo</t>
  </si>
  <si>
    <t>año</t>
  </si>
  <si>
    <t>Autonómica Madrid</t>
  </si>
  <si>
    <t xml:space="preserve"> 2 de mayo</t>
  </si>
  <si>
    <t>Cálculo de rendimientos netos</t>
  </si>
  <si>
    <t>=(Ingresos-Gastos) * (1-deducción)</t>
  </si>
  <si>
    <t>deducción</t>
  </si>
  <si>
    <t>Autónomos NO societarios</t>
  </si>
  <si>
    <t>Autónomos societarios</t>
  </si>
  <si>
    <t>Tarifa Plana Autónomos</t>
  </si>
  <si>
    <t>€/mes</t>
  </si>
  <si>
    <t>independientemente de los ingresos</t>
  </si>
  <si>
    <t>coef.</t>
  </si>
  <si>
    <t>Rendimientos (mensuales)</t>
  </si>
  <si>
    <t>Desde (&gt;)</t>
  </si>
  <si>
    <t>Hasta (&lt;=)</t>
  </si>
  <si>
    <t>Base</t>
  </si>
  <si>
    <t>Cuota</t>
  </si>
  <si>
    <t>Ajuste Coeficiente prorrata IVA</t>
  </si>
  <si>
    <t>Rendimiento Neto Previo</t>
  </si>
  <si>
    <t>Estimación Bases para el cálculo del RETA (Seg. Social Autónomo)</t>
  </si>
  <si>
    <t>Promedio mensual</t>
  </si>
  <si>
    <t>Año</t>
  </si>
  <si>
    <t>Base cotización RETA</t>
  </si>
  <si>
    <t>cuota mensual RETA</t>
  </si>
  <si>
    <t>columna</t>
  </si>
  <si>
    <t>SS RETA bonificada</t>
  </si>
  <si>
    <t>Bonificada</t>
  </si>
  <si>
    <t>Regularización RETA /mes / socio</t>
  </si>
  <si>
    <t>Regularización RETA (anual)</t>
  </si>
  <si>
    <t>Análisis de Viabilidad</t>
  </si>
  <si>
    <t>Análisis Unidimensional</t>
  </si>
  <si>
    <t>Fondos Propios / Pasivo Total</t>
  </si>
  <si>
    <t>Bº Neto / Activo</t>
  </si>
  <si>
    <t>Bº Neto / Ventas</t>
  </si>
  <si>
    <t>Bº Neto / Fondos Propios</t>
  </si>
  <si>
    <t>Criterio (&gt;=)</t>
  </si>
  <si>
    <t>Activo Corriente/Pasivo CP</t>
  </si>
  <si>
    <t>Test Multidimensional de Altman</t>
  </si>
  <si>
    <t>La  fórmula Altman Z-score consiste en el siguiente cálculo:</t>
  </si>
  <si>
    <t>Altman Z-score = 1,2 * T1 + 1,4 * T2 + 3,3 * T3 + 0,6 * T4 + 1,0 * T5</t>
  </si>
  <si>
    <t>T1: (Capital Circulante/Activos Totales)</t>
  </si>
  <si>
    <t>T2: (Beneficios no distribuidos/Activos Totales)</t>
  </si>
  <si>
    <t>T3: (EBITDA/Activos Totales)</t>
  </si>
  <si>
    <t>T4: (Capitalización Bursátil/Deuda Total)</t>
  </si>
  <si>
    <t>T5: (Ventas Netas/Activos Totales)</t>
  </si>
  <si>
    <t>Coeficiente</t>
  </si>
  <si>
    <t>Z (Altman)</t>
  </si>
  <si>
    <t>Componente</t>
  </si>
  <si>
    <t>Test Coman y Holman</t>
  </si>
  <si>
    <t>La  fórmula consiste en el siguiente cálculo:</t>
  </si>
  <si>
    <t>A1: (Exigible+Disponible)/Total Activo</t>
  </si>
  <si>
    <t>A2: (Fondos Propios + Pasivo Exigible LP)/Pasivo Total</t>
  </si>
  <si>
    <t>A3: (Gastos Financieros/Ventas)</t>
  </si>
  <si>
    <t>A5: (Flujo Caja explotación)/(Total Pago Exigible)</t>
  </si>
  <si>
    <t>A4: (Gastos Personal/Valor Añadido)</t>
  </si>
  <si>
    <t>Z</t>
  </si>
  <si>
    <t>Probabilidad</t>
  </si>
  <si>
    <t>Probabilidad de quiebra / concurso</t>
  </si>
  <si>
    <t>(Cálculos en pruebas… )</t>
  </si>
  <si>
    <t>empleado</t>
  </si>
  <si>
    <t>encargado</t>
  </si>
  <si>
    <t>producto o servicio</t>
  </si>
  <si>
    <t>Rincón de la Victoria</t>
  </si>
  <si>
    <t>Año actual</t>
  </si>
  <si>
    <t>Meses de rampa inicial</t>
  </si>
  <si>
    <t>Cuotas periódicas de software</t>
  </si>
  <si>
    <t>20260728p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</si>
</sst>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7">
    <numFmt numFmtId="6" formatCode="#,##0\ &quot;€&quot;;[Red]\-#,##0\ &quot;€&quot;"/>
    <numFmt numFmtId="164" formatCode="_-* #,##0\ _P_t_s_-;\-* #,##0\ _P_t_s_-;_-* &quot;-&quot;\ _P_t_s_-;_-@_-"/>
    <numFmt numFmtId="165" formatCode="_-* #,##0.00\ _P_t_s_-;\-* #,##0.00\ _P_t_s_-;_-* &quot;-&quot;??\ _P_t_s_-;_-@_-"/>
    <numFmt numFmtId="166" formatCode="0.0%"/>
    <numFmt numFmtId="167" formatCode="#,##0.0000000000"/>
    <numFmt numFmtId="168" formatCode="#,##0_ ;[Red]\-#,##0\ "/>
    <numFmt numFmtId="169" formatCode="_-* #,##0\ _P_t_s_-;\(\ #,##0\ \)_*;_-* &quot;-&quot;\ _P_t_s_-;_-@_-"/>
    <numFmt numFmtId="170" formatCode="0_ ;[Red]\-0\ "/>
    <numFmt numFmtId="171" formatCode="&quot;a&quot;\ ###\ &quot;días&quot;"/>
    <numFmt numFmtId="172" formatCode="&quot;% a&quot;\ ###\ &quot;días&quot;"/>
    <numFmt numFmtId="173" formatCode="#,##0\ &quot;periodos&quot;"/>
    <numFmt numFmtId="174" formatCode="#,##0\ \€"/>
    <numFmt numFmtId="175" formatCode="0.000"/>
    <numFmt numFmtId="176" formatCode="mmmm\-yyyy"/>
    <numFmt numFmtId="177" formatCode="#,##0.00_ ;[Red]\-#,##0.00\ "/>
    <numFmt numFmtId="178" formatCode="&quot;mes&quot;\ 0"/>
    <numFmt numFmtId="179" formatCode="mmmm"/>
    <numFmt numFmtId="180" formatCode="0.00_ ;[Red]\-0.00\ "/>
    <numFmt numFmtId="181" formatCode="0%;;\-"/>
    <numFmt numFmtId="182" formatCode="_-* #,##0\ _P_t_s_-;\(\ #,##0\ \)_*_*_*;_-* &quot;-&quot;\ _P_t_s_-;_-@_-"/>
    <numFmt numFmtId="183" formatCode="_-* #,##0\ _P_t_s_-;[Red]\(\ #,##0\ \)_*_*_*;_-* &quot;-&quot;\ _P_t_s_-;_-@_-"/>
    <numFmt numFmtId="184" formatCode="0%;\-0%;\-"/>
    <numFmt numFmtId="185" formatCode="#,##0.0"/>
    <numFmt numFmtId="186" formatCode="#,##0\ _€"/>
    <numFmt numFmtId="187" formatCode="\+\ #,##0\ ;[Red]\-\ #,##0;\-"/>
    <numFmt numFmtId="188" formatCode="_-* #,##0\ _P_t_s_-;[Red]\(\ #,##0\ \)\ _*\ \ \ \ ;_-* &quot;-&quot;\ _P_t_s_-;_-@_-"/>
    <numFmt numFmtId="189" formatCode="#,##0.0%_*;[Red]\(\ #,##0.0%\ \)_*"/>
    <numFmt numFmtId="190" formatCode="#,##0_*;[Red]\(\ #,##0\ \)_*"/>
    <numFmt numFmtId="191" formatCode="#,##0;[Red]\ \(\ #,##0\ \)"/>
    <numFmt numFmtId="192" formatCode="#,##0.0%;[Red]\(\ #,##0.0%\ \)"/>
    <numFmt numFmtId="193" formatCode="#,##0;[Red]\(\ #,##0\ \)_*"/>
    <numFmt numFmtId="194" formatCode="#,##0.00_*;[Red]\(\ #,##0.00\ \)_*"/>
    <numFmt numFmtId="195" formatCode="#,##0_*;[Red]\(#,##0\)_*"/>
    <numFmt numFmtId="196" formatCode="0.00%_*;[Red]\(\ 0.00%\ \)_*"/>
    <numFmt numFmtId="197" formatCode="#,##0.00_ ;[Red]\-#,##0.00\ ;;@"/>
    <numFmt numFmtId="198" formatCode="#,##0\ \ _*;[Red]\(\ #,##0\ \)_*"/>
    <numFmt numFmtId="199" formatCode="#,##0\ \ _*;[Red]\(\ #,##0\ \)"/>
    <numFmt numFmtId="200" formatCode="#,##0_*"/>
    <numFmt numFmtId="201" formatCode="0.0%_*"/>
    <numFmt numFmtId="202" formatCode="#,##0_*;[Red]\(\ #,##0\ \)"/>
    <numFmt numFmtId="203" formatCode="dd/mm/yyyy;@"/>
    <numFmt numFmtId="204" formatCode="#,##0_*;[Red]\ \(\ #,##0\ \)_*"/>
    <numFmt numFmtId="205" formatCode="#,##0;;\-"/>
    <numFmt numFmtId="206" formatCode="#,##0_*;;\-\ \ \ _*"/>
    <numFmt numFmtId="207" formatCode="#,##0.00_*"/>
    <numFmt numFmtId="208" formatCode="&quot;Año&quot;\ 0"/>
    <numFmt numFmtId="209" formatCode="&quot;Datos Año&quot;\ 0"/>
    <numFmt numFmtId="210" formatCode="&quot;Año&quot;\ 0\ &quot;:&quot;"/>
    <numFmt numFmtId="211" formatCode="_-* #,##0\ _-;\-* #,##0\ _P_t_s_-;_-* &quot;-&quot;\ _P_t_s_-;_-@_-"/>
    <numFmt numFmtId="212" formatCode="_-* #,##0.00\ [$€]_-;\-* #,##0.00\ [$€]_-;_-* &quot;-&quot;??\ [$€]_-;_-@_-"/>
    <numFmt numFmtId="213" formatCode="#,##0_*;;\-\ \ _*"/>
    <numFmt numFmtId="214" formatCode="#,##0.0;;\-"/>
    <numFmt numFmtId="215" formatCode="0.00%_*"/>
    <numFmt numFmtId="216" formatCode="#,##0_*;;\-\ _*"/>
    <numFmt numFmtId="217" formatCode="0.00%_*;;\-\ _*"/>
    <numFmt numFmtId="218" formatCode="#,##0_*;\-\ _*"/>
    <numFmt numFmtId="219" formatCode="#,##0_*;[Red]\ \(\ #,##0\ \)"/>
    <numFmt numFmtId="220" formatCode="&quot;Año&quot;\ 0&quot;:&quot;"/>
    <numFmt numFmtId="221" formatCode="0.00%_*;;\-\ \ _*"/>
    <numFmt numFmtId="222" formatCode="0.00%_*;;\-\ \ \ _*"/>
    <numFmt numFmtId="223" formatCode="#,##0_*;[Red]\(#,##0\)_*;\-\ \ _*"/>
    <numFmt numFmtId="224" formatCode="#,##0_*;[Red]\(#,##0\)_*;\-\ \ \ _*"/>
    <numFmt numFmtId="225" formatCode="#,##0_*;[Red]\ \(\ #,##0\ \)_*;\-\ \ \ _*"/>
    <numFmt numFmtId="226" formatCode="#,##0_*;[Red]\ \(\ #,##0\ \);\-\ \ \ _*"/>
    <numFmt numFmtId="227" formatCode="#,##0.00_*;;\-\ \ \ _*"/>
    <numFmt numFmtId="228" formatCode="#,##0_*\ ;[Red]\(\ #,##0\ \);\-\ \ \ _*"/>
    <numFmt numFmtId="229" formatCode="#,##0_*;[Red]\(\ #,##0\ \);\-\ \ \ _*"/>
    <numFmt numFmtId="230" formatCode="#,##0_*;[Red]\(\ #,##0\ \)_*;\-\ \ \ _*"/>
    <numFmt numFmtId="231" formatCode="0.00%;;\-\ \ \ _*"/>
    <numFmt numFmtId="232" formatCode="#,##0.00;;\-"/>
    <numFmt numFmtId="233" formatCode="#,##0\ _*;;\-\ \ \ _*"/>
    <numFmt numFmtId="234" formatCode="#,##0.0%\ \ _*;[Red]\(#,##0.0%\)\ \ _*;\-\ \ \ _*"/>
    <numFmt numFmtId="235" formatCode="#,##0\ \ \ \ _*;[Red]\(\ #,##0\ \)\ \ \ _*;\-\ \ \ \ \ _*"/>
    <numFmt numFmtId="236" formatCode="#,##0\ \ \ \ _*;[Red]\(\ #,##0\ \)\ \ \ _*;\-\ \ \ \ _*"/>
    <numFmt numFmtId="237" formatCode="#,##0.0%_*;[Red]\(\ #,##0.0%\ \)_*;\-\ \ \ \ _*"/>
    <numFmt numFmtId="238" formatCode="#,##0\ \ \ \ _*;[Red]\(\ #,##0\ \)\ \ \ _*;\-\ \ \ \ \ _*;_*\ \ \ \ &quot;OK&quot;"/>
    <numFmt numFmtId="239" formatCode="\ #,##0\ \ _*;\(\ #,##0\ \)\ _*;\-\ \ \ \ _*"/>
    <numFmt numFmtId="240" formatCode="#,##0.00\ _*;[Red]\-#,##0.00\ _*;\-\ \ \ \ _*"/>
    <numFmt numFmtId="241" formatCode="#,##0\ \ _*;;\-\ \ \ _*"/>
    <numFmt numFmtId="242" formatCode="#,##0.00\ \ _*;[Red]\(\ #,##0.00\ \)\ \ \ _*;\-\ \ \ \ _*"/>
    <numFmt numFmtId="243" formatCode="#,##0\ \ _*;[Red]\(\ #,##0\ \)\ \ \ _*;\-\ \ \ \ _*"/>
    <numFmt numFmtId="244" formatCode="#,##0_*;;\-_*"/>
    <numFmt numFmtId="245" formatCode="#,##0\ \ _*;[Red]\(\ #,##0\ \)\ \ _*"/>
    <numFmt numFmtId="246" formatCode="#,##0.00_*;[Red]\(#,##0.00\)"/>
    <numFmt numFmtId="247" formatCode="0.00%;[Red]\(\ 0.00%\ \)"/>
    <numFmt numFmtId="248" formatCode="#,##0.0\ \ &quot;años&quot;\ \ _*;;\-\ \ \ _*"/>
    <numFmt numFmtId="249" formatCode="0.0%;;\-\ \ \ _*"/>
    <numFmt numFmtId="250" formatCode="#,##0.00_*;[Red]\(\ #,##0.00\ \)"/>
    <numFmt numFmtId="251" formatCode="\ #,##0.0\ \ _*;\(\ #,##0.0\ \)\ _*;\-\ \ \ \ _*"/>
    <numFmt numFmtId="252" formatCode="0.00%_*;;\-\ 0.00%_*"/>
    <numFmt numFmtId="253" formatCode="#,##0.0%;[Red]\(\ #,##0.0%\ \);\-"/>
    <numFmt numFmtId="254" formatCode="0.00;&quot;N/D&quot;;&quot;N/D&quot;"/>
    <numFmt numFmtId="255" formatCode="0;&quot;N/D&quot;;&quot;N/D&quot;"/>
    <numFmt numFmtId="256" formatCode=";;;&quot;Tipo de &quot;@&quot; repercutido&quot;"/>
    <numFmt numFmtId="257" formatCode="#,##0_*;\(\ #,##0\ \)_*"/>
    <numFmt numFmtId="258" formatCode="0.0%;[Red]\(0.0%\)"/>
    <numFmt numFmtId="259" formatCode="#,##0\ \ _*;[Red]\(#,##0\)_*"/>
    <numFmt numFmtId="260" formatCode="#,##0.00\ \ _*;;\-\ \ \ _*"/>
    <numFmt numFmtId="261" formatCode="#,##0.0000\ _*;[Red]\-#,##0.0000\ _*;\-\ \ \ \ _*"/>
    <numFmt numFmtId="262" formatCode="\-*@"/>
    <numFmt numFmtId="263" formatCode="#,##0.0%_*;[Red]\(\ #,##0.0%\ \)_*;\-\ \ \ \ _*;_ \ \ \ \ \ \ \ @"/>
    <numFmt numFmtId="264" formatCode="#,##0_*;[Red]\(\ #,##0\ \)_*;;_ \ \ \ \ \ \ \ @"/>
    <numFmt numFmtId="265" formatCode="0%;;\-\ _*"/>
    <numFmt numFmtId="266" formatCode="0.0000"/>
    <numFmt numFmtId="267" formatCode="#,##0_*;\ \(\ #,##0\ \)"/>
    <numFmt numFmtId="268" formatCode="0.0"/>
    <numFmt numFmtId="269" formatCode="_-* #,##0\ _P_t_s_-;\-* #,##0\ _P_t_s_-;_-* &quot;-&quot;??\ _P_t_s_-;_-@_-"/>
    <numFmt numFmtId="270" formatCode="0.00%\ \ _*"/>
    <numFmt numFmtId="271" formatCode="0.00\ &quot;años&quot;"/>
    <numFmt numFmtId="272" formatCode="#,##0.0%\ _*;[Red]\(\ #,##0.0%\ \)_*;\-"/>
    <numFmt numFmtId="273" formatCode="0.00%\ \ _*;;;\ \ \ \ \ \ \ \ \ \ \ @"/>
    <numFmt numFmtId="274" formatCode="#,##0_*;\(\ #,##0\ \)_*;\-\ \ \ _*"/>
    <numFmt numFmtId="275" formatCode="#,##0.00;\(\ #,##0.00\ \);\-\ _*"/>
    <numFmt numFmtId="276" formatCode="#,##0.0%;\(\ #,##0.0%\ \);\-"/>
    <numFmt numFmtId="277" formatCode="#,##0_*;[Red]\(\ #,##0\ \)_*;;_ \ \ @"/>
    <numFmt numFmtId="278" formatCode="&quot;mes &quot;0\ "/>
    <numFmt numFmtId="279" formatCode="#,##0\ \ \ \ _*"/>
    <numFmt numFmtId="280" formatCode="#,##0.00%\ \ \ \ _*"/>
    <numFmt numFmtId="281" formatCode="_-* #,##0.00\ _P_t_s_-;\-* #,##0.00\ _P_t_s_-;_-* &quot;-&quot;\ _P_t_s_-;_-@_-"/>
    <numFmt numFmtId="282" formatCode="_-* #,##0.0\ _P_t_s_-;\-* #,##0.0\ _P_t_s_-;_-* &quot;-&quot;\ _P_t_s_-;_-@_-"/>
    <numFmt numFmtId="283" formatCode="#,##0.00\ \ \ \ _*"/>
    <numFmt numFmtId="284" formatCode="0.0%;;\-\ \ _*"/>
    <numFmt numFmtId="285" formatCode="#,##0.00_ ;\-#,##0.00\ "/>
    <numFmt numFmtId="286" formatCode="#,##0_*;[Red]\(\ #,##0\ \)_*;\-\ _*;_*\ \ \ @"/>
    <numFmt numFmtId="287" formatCode="#,##0\ \ _*;[Red]\(\ #,##0\ \)\ \ _*;\-\ _*;_*\ \ \ \ @"/>
    <numFmt numFmtId="288" formatCode="#,##0.0%_*;[Red]\(\ #,##0.0%\ \)_*;\-\ \ _*"/>
    <numFmt numFmtId="289" formatCode="#,##0.00_*;[Red]\(\ #,##0.00\ \)_*;\-\ _*;_*\ \ \ \ @"/>
    <numFmt numFmtId="290" formatCode="#,##0.0%_*;\(\ #,##0.0%\ \)_*;\-\ \ _*"/>
    <numFmt numFmtId="291" formatCode="yyyy"/>
    <numFmt numFmtId="292" formatCode="#,##0_*;\(\ #,##0\ \)_*;\ \-\ _*"/>
    <numFmt numFmtId="293" formatCode="#,##0.00;;\-\ _*"/>
    <numFmt numFmtId="294" formatCode="&quot;Year&quot;\ 0"/>
    <numFmt numFmtId="295" formatCode="#,##0_*;[Red]\(\ #,##0\ \)_*;\-\ _*;_ \ \ \ \ \ \ \ @"/>
    <numFmt numFmtId="296" formatCode="0.0%;[Red]\(0.0%\);\-\ _*"/>
    <numFmt numFmtId="297" formatCode="#,##0.00_*;[Red]\(\ #,##0.00\ \)_*;\-\ _*;_ \ \ \ \ \ \ \ @"/>
    <numFmt numFmtId="298" formatCode="#,##0.00_*;\(\ #,##0.00\ \)_*;\ \-\ _*"/>
    <numFmt numFmtId="299" formatCode="#,##0.0#"/>
    <numFmt numFmtId="300" formatCode="#,##0;[Red]\(\ #,##0\ \);\ \-\ _*"/>
    <numFmt numFmtId="301" formatCode="#,##0.00_*;[Red]\(\ #,##0.00\ \)_*;\-\ \ \ _*"/>
    <numFmt numFmtId="302" formatCode="0.00%;[Red]\(0.00%\);\-\ \ _*"/>
    <numFmt numFmtId="303" formatCode="0.0%;[Red]\(0.0%\);\-\ \ _*"/>
    <numFmt numFmtId="304" formatCode="d\ mmm"/>
    <numFmt numFmtId="305" formatCode="0;[Red]0"/>
    <numFmt numFmtId="306" formatCode="#,##0.00_*;[Red]\(\ #,##0.00\ \)_*;\-\ _*;_*\ \ \ @"/>
    <numFmt numFmtId="307" formatCode="#,##0_*;[Red]\(\ #,##0\ \);\-\ _*"/>
    <numFmt numFmtId="308" formatCode="#,##0.00;[Red]#,##0.00;\-_*"/>
    <numFmt numFmtId="309" formatCode="#,##0.0_*;[Red]\(\ #,##0.0\ \);\-\ _*"/>
  </numFmts>
  <fonts count="131">
    <font>
      <sz val="12"/>
      <name val="Times New Roman"/>
      <family val="1"/>
    </font>
    <font>
      <sz val="11"/>
      <color theme="1"/>
      <name val="Calibri"/>
      <family val="2"/>
      <scheme val="minor"/>
    </font>
    <font>
      <sz val="11"/>
      <color theme="1"/>
      <name val="Calibri"/>
      <family val="2"/>
      <scheme val="minor"/>
    </font>
    <font>
      <b/>
      <sz val="10"/>
      <name val="Arial"/>
      <family val="2"/>
    </font>
    <font>
      <sz val="10"/>
      <name val="Arial"/>
      <family val="2"/>
    </font>
    <font>
      <sz val="12"/>
      <name val="Times New Roman"/>
      <family val="1"/>
    </font>
    <font>
      <sz val="8"/>
      <name val="Times New Roman"/>
      <family val="1"/>
    </font>
    <font>
      <sz val="8"/>
      <color indexed="81"/>
      <name val="Tahoma"/>
      <family val="2"/>
    </font>
    <font>
      <b/>
      <sz val="8"/>
      <color indexed="81"/>
      <name val="Tahoma"/>
      <family val="2"/>
    </font>
    <font>
      <b/>
      <sz val="12"/>
      <color indexed="10"/>
      <name val="Times New Roman"/>
      <family val="1"/>
    </font>
    <font>
      <sz val="10"/>
      <color indexed="81"/>
      <name val="Tahoma"/>
      <family val="2"/>
    </font>
    <font>
      <b/>
      <sz val="10"/>
      <color indexed="81"/>
      <name val="Tahoma"/>
      <family val="2"/>
    </font>
    <font>
      <b/>
      <sz val="12"/>
      <color indexed="81"/>
      <name val="Tahoma"/>
      <family val="2"/>
    </font>
    <font>
      <sz val="12"/>
      <color indexed="81"/>
      <name val="Tahoma"/>
      <family val="2"/>
    </font>
    <font>
      <b/>
      <sz val="14"/>
      <name val="Tahoma"/>
      <family val="2"/>
    </font>
    <font>
      <b/>
      <sz val="18"/>
      <name val="Tahoma"/>
      <family val="2"/>
    </font>
    <font>
      <sz val="11"/>
      <color indexed="81"/>
      <name val="Tahoma"/>
      <family val="2"/>
    </font>
    <font>
      <b/>
      <sz val="12"/>
      <name val="Tahoma"/>
      <family val="2"/>
    </font>
    <font>
      <b/>
      <sz val="11"/>
      <color indexed="81"/>
      <name val="Tahoma"/>
      <family val="2"/>
    </font>
    <font>
      <u/>
      <sz val="10.199999999999999"/>
      <color indexed="12"/>
      <name val="Times New Roman"/>
      <family val="1"/>
    </font>
    <font>
      <b/>
      <sz val="10"/>
      <name val="Tahoma"/>
      <family val="2"/>
    </font>
    <font>
      <sz val="12"/>
      <name val="Tahoma"/>
      <family val="2"/>
    </font>
    <font>
      <b/>
      <sz val="11"/>
      <name val="Tahoma"/>
      <family val="2"/>
    </font>
    <font>
      <sz val="10"/>
      <name val="Tahoma"/>
      <family val="2"/>
    </font>
    <font>
      <b/>
      <sz val="7"/>
      <name val="Tahoma"/>
      <family val="2"/>
    </font>
    <font>
      <b/>
      <sz val="20"/>
      <name val="Tahoma"/>
      <family val="2"/>
    </font>
    <font>
      <sz val="16"/>
      <name val="Tahoma"/>
      <family val="2"/>
    </font>
    <font>
      <sz val="20"/>
      <name val="Tahoma"/>
      <family val="2"/>
    </font>
    <font>
      <sz val="22"/>
      <name val="Tahoma"/>
      <family val="2"/>
    </font>
    <font>
      <b/>
      <sz val="16"/>
      <name val="Tahoma"/>
      <family val="2"/>
    </font>
    <font>
      <b/>
      <sz val="14"/>
      <color indexed="10"/>
      <name val="Tahoma"/>
      <family val="2"/>
    </font>
    <font>
      <b/>
      <sz val="14"/>
      <color indexed="9"/>
      <name val="Tahoma"/>
      <family val="2"/>
    </font>
    <font>
      <b/>
      <sz val="12"/>
      <color indexed="9"/>
      <name val="Tahoma"/>
      <family val="2"/>
    </font>
    <font>
      <b/>
      <sz val="10"/>
      <color indexed="9"/>
      <name val="Tahoma"/>
      <family val="2"/>
    </font>
    <font>
      <b/>
      <sz val="8"/>
      <name val="Tahoma"/>
      <family val="2"/>
    </font>
    <font>
      <sz val="18"/>
      <name val="Tahoma"/>
      <family val="2"/>
    </font>
    <font>
      <sz val="12"/>
      <color indexed="9"/>
      <name val="Tahoma"/>
      <family val="2"/>
    </font>
    <font>
      <u/>
      <sz val="12"/>
      <color indexed="12"/>
      <name val="Tahoma"/>
      <family val="2"/>
    </font>
    <font>
      <sz val="11"/>
      <name val="Tahoma"/>
      <family val="2"/>
    </font>
    <font>
      <i/>
      <sz val="10"/>
      <name val="Arial"/>
      <family val="2"/>
    </font>
    <font>
      <i/>
      <sz val="12"/>
      <name val="Arial"/>
      <family val="2"/>
    </font>
    <font>
      <i/>
      <sz val="12"/>
      <name val="Tahoma"/>
      <family val="2"/>
    </font>
    <font>
      <sz val="18"/>
      <color indexed="10"/>
      <name val="Tahoma"/>
      <family val="2"/>
    </font>
    <font>
      <sz val="8"/>
      <name val="Tahoma"/>
      <family val="2"/>
    </font>
    <font>
      <b/>
      <sz val="9"/>
      <name val="Tahoma"/>
      <family val="2"/>
    </font>
    <font>
      <b/>
      <sz val="12"/>
      <color indexed="10"/>
      <name val="Tahoma"/>
      <family val="2"/>
    </font>
    <font>
      <sz val="14"/>
      <name val="Tahoma"/>
      <family val="2"/>
    </font>
    <font>
      <sz val="24"/>
      <name val="Tahoma"/>
      <family val="2"/>
    </font>
    <font>
      <b/>
      <i/>
      <sz val="14"/>
      <name val="Tahoma"/>
      <family val="2"/>
    </font>
    <font>
      <b/>
      <i/>
      <sz val="12"/>
      <name val="Tahoma"/>
      <family val="2"/>
    </font>
    <font>
      <sz val="12"/>
      <color indexed="10"/>
      <name val="Tahoma"/>
      <family val="2"/>
    </font>
    <font>
      <b/>
      <sz val="10"/>
      <color indexed="10"/>
      <name val="Tahoma"/>
      <family val="2"/>
    </font>
    <font>
      <sz val="14"/>
      <color indexed="9"/>
      <name val="Tahoma"/>
      <family val="2"/>
    </font>
    <font>
      <b/>
      <sz val="11"/>
      <color indexed="9"/>
      <name val="Tahoma"/>
      <family val="2"/>
    </font>
    <font>
      <b/>
      <sz val="15"/>
      <color indexed="9"/>
      <name val="Tahoma"/>
      <family val="2"/>
    </font>
    <font>
      <u/>
      <sz val="12"/>
      <color indexed="9"/>
      <name val="Tahoma"/>
      <family val="2"/>
    </font>
    <font>
      <sz val="10"/>
      <color indexed="9"/>
      <name val="Tahoma"/>
      <family val="2"/>
    </font>
    <font>
      <b/>
      <sz val="19"/>
      <color indexed="10"/>
      <name val="Tahoma"/>
      <family val="2"/>
    </font>
    <font>
      <b/>
      <sz val="19"/>
      <name val="Tahoma"/>
      <family val="2"/>
    </font>
    <font>
      <sz val="19"/>
      <color indexed="10"/>
      <name val="Tahoma"/>
      <family val="2"/>
    </font>
    <font>
      <b/>
      <i/>
      <sz val="11"/>
      <name val="Tahoma"/>
      <family val="2"/>
    </font>
    <font>
      <sz val="9"/>
      <name val="Tahoma"/>
      <family val="2"/>
    </font>
    <font>
      <sz val="11"/>
      <color indexed="9"/>
      <name val="Tahoma"/>
      <family val="2"/>
    </font>
    <font>
      <sz val="18"/>
      <color indexed="9"/>
      <name val="Tahoma"/>
      <family val="2"/>
    </font>
    <font>
      <b/>
      <sz val="9.5"/>
      <name val="Tahoma"/>
      <family val="2"/>
    </font>
    <font>
      <b/>
      <sz val="8.5"/>
      <name val="Tahoma"/>
      <family val="2"/>
    </font>
    <font>
      <sz val="26"/>
      <color indexed="10"/>
      <name val="Tahoma"/>
      <family val="2"/>
    </font>
    <font>
      <i/>
      <sz val="10"/>
      <name val="Tahoma"/>
      <family val="2"/>
    </font>
    <font>
      <sz val="16"/>
      <color indexed="10"/>
      <name val="Tahoma"/>
      <family val="2"/>
    </font>
    <font>
      <b/>
      <i/>
      <sz val="9"/>
      <name val="Tahoma"/>
      <family val="2"/>
    </font>
    <font>
      <sz val="10"/>
      <color indexed="12"/>
      <name val="Arial"/>
      <family val="2"/>
    </font>
    <font>
      <sz val="10"/>
      <color indexed="12"/>
      <name val="Tahoma"/>
      <family val="2"/>
    </font>
    <font>
      <b/>
      <vertAlign val="subscript"/>
      <sz val="10"/>
      <name val="Tahoma"/>
      <family val="2"/>
    </font>
    <font>
      <i/>
      <sz val="10"/>
      <color indexed="10"/>
      <name val="Tahoma"/>
      <family val="2"/>
    </font>
    <font>
      <sz val="12"/>
      <name val="Arial"/>
      <family val="2"/>
    </font>
    <font>
      <b/>
      <sz val="12"/>
      <name val="Arial"/>
      <family val="2"/>
    </font>
    <font>
      <sz val="10"/>
      <color indexed="9"/>
      <name val="Arial"/>
      <family val="2"/>
    </font>
    <font>
      <sz val="12"/>
      <name val="Arial"/>
      <family val="2"/>
    </font>
    <font>
      <sz val="12"/>
      <color indexed="9"/>
      <name val="Times New Roman"/>
      <family val="1"/>
    </font>
    <font>
      <i/>
      <sz val="11"/>
      <name val="Tahoma"/>
      <family val="2"/>
    </font>
    <font>
      <b/>
      <i/>
      <sz val="10"/>
      <name val="Tahoma"/>
      <family val="2"/>
    </font>
    <font>
      <b/>
      <u/>
      <sz val="12"/>
      <name val="Tahoma"/>
      <family val="2"/>
    </font>
    <font>
      <b/>
      <i/>
      <sz val="11"/>
      <color indexed="81"/>
      <name val="Tahoma"/>
      <family val="2"/>
    </font>
    <font>
      <sz val="9"/>
      <color indexed="81"/>
      <name val="Tahoma"/>
      <family val="2"/>
    </font>
    <font>
      <b/>
      <sz val="9"/>
      <color indexed="81"/>
      <name val="Tahoma"/>
      <family val="2"/>
    </font>
    <font>
      <b/>
      <sz val="12"/>
      <name val="Times New Roman"/>
      <family val="1"/>
    </font>
    <font>
      <b/>
      <sz val="10"/>
      <name val="Times New Roman"/>
      <family val="1"/>
    </font>
    <font>
      <sz val="11"/>
      <name val="Times New Roman"/>
      <family val="1"/>
    </font>
    <font>
      <sz val="10"/>
      <name val="Times New Roman"/>
      <family val="1"/>
    </font>
    <font>
      <b/>
      <sz val="7"/>
      <name val="Times New Roman"/>
      <family val="1"/>
    </font>
    <font>
      <sz val="11"/>
      <name val="Calibri"/>
      <family val="2"/>
    </font>
    <font>
      <b/>
      <sz val="9"/>
      <name val="Lucida Sans"/>
      <family val="2"/>
    </font>
    <font>
      <sz val="9"/>
      <name val="Lucida Sans"/>
      <family val="2"/>
    </font>
    <font>
      <sz val="8"/>
      <name val="Lucida Sans"/>
      <family val="2"/>
    </font>
    <font>
      <b/>
      <sz val="11"/>
      <name val="Lucida Sans"/>
      <family val="2"/>
    </font>
    <font>
      <b/>
      <i/>
      <sz val="9"/>
      <name val="Lucida Sans"/>
      <family val="2"/>
    </font>
    <font>
      <sz val="10"/>
      <name val="Lucida Sans"/>
      <family val="2"/>
    </font>
    <font>
      <sz val="8"/>
      <name val="Calibri"/>
      <family val="2"/>
    </font>
    <font>
      <i/>
      <sz val="9"/>
      <name val="Lucida Sans"/>
      <family val="2"/>
    </font>
    <font>
      <b/>
      <sz val="9"/>
      <color indexed="8"/>
      <name val="Calibri-Bold"/>
    </font>
    <font>
      <sz val="9"/>
      <color indexed="8"/>
      <name val="Calibri-Bold"/>
    </font>
    <font>
      <sz val="11"/>
      <color indexed="8"/>
      <name val="Calibri-Bold"/>
    </font>
    <font>
      <b/>
      <sz val="9"/>
      <name val="Wingdings"/>
      <charset val="2"/>
    </font>
    <font>
      <b/>
      <sz val="8"/>
      <name val="Lucida Sans"/>
      <family val="2"/>
    </font>
    <font>
      <b/>
      <sz val="10"/>
      <name val="Lucida Sans"/>
      <family val="2"/>
    </font>
    <font>
      <b/>
      <sz val="14"/>
      <color rgb="FFFF0000"/>
      <name val="Tahoma"/>
      <family val="2"/>
    </font>
    <font>
      <sz val="10"/>
      <color rgb="FFFF0000"/>
      <name val="Tahoma"/>
      <family val="2"/>
    </font>
    <font>
      <b/>
      <sz val="10"/>
      <color theme="0"/>
      <name val="Calibri"/>
      <family val="2"/>
      <scheme val="minor"/>
    </font>
    <font>
      <sz val="10"/>
      <color theme="0"/>
      <name val="Calibri"/>
      <family val="2"/>
      <scheme val="minor"/>
    </font>
    <font>
      <sz val="11"/>
      <color theme="0"/>
      <name val="Tahoma"/>
      <family val="2"/>
    </font>
    <font>
      <sz val="12"/>
      <color rgb="FFFF0000"/>
      <name val="Tahoma"/>
      <family val="2"/>
    </font>
    <font>
      <sz val="10"/>
      <color theme="0"/>
      <name val="Tahoma"/>
      <family val="2"/>
    </font>
    <font>
      <b/>
      <sz val="11"/>
      <color theme="0"/>
      <name val="Tahoma"/>
      <family val="2"/>
    </font>
    <font>
      <sz val="12"/>
      <color theme="0"/>
      <name val="Tahoma"/>
      <family val="2"/>
    </font>
    <font>
      <b/>
      <sz val="10"/>
      <color theme="0"/>
      <name val="Tahoma"/>
      <family val="2"/>
    </font>
    <font>
      <sz val="8"/>
      <color theme="0"/>
      <name val="Tahoma"/>
      <family val="2"/>
    </font>
    <font>
      <b/>
      <sz val="12"/>
      <color rgb="FFFF0000"/>
      <name val="Tahoma"/>
      <family val="2"/>
    </font>
    <font>
      <sz val="12"/>
      <color theme="0"/>
      <name val="Times New Roman"/>
      <family val="1"/>
    </font>
    <font>
      <sz val="12"/>
      <color theme="0"/>
      <name val="Trebuchet MS"/>
      <family val="2"/>
    </font>
    <font>
      <sz val="18"/>
      <color theme="0"/>
      <name val="Tahoma"/>
      <family val="2"/>
    </font>
    <font>
      <sz val="14"/>
      <color theme="0"/>
      <name val="Tahoma"/>
      <family val="2"/>
    </font>
    <font>
      <b/>
      <sz val="12"/>
      <color theme="0"/>
      <name val="Tahoma"/>
      <family val="2"/>
    </font>
    <font>
      <sz val="11"/>
      <color theme="0"/>
      <name val="Calibri"/>
      <family val="2"/>
    </font>
    <font>
      <b/>
      <sz val="10"/>
      <color rgb="FFFF0000"/>
      <name val="Tahoma"/>
      <family val="2"/>
    </font>
    <font>
      <sz val="12"/>
      <name val="Calibri"/>
      <family val="2"/>
      <scheme val="minor"/>
    </font>
    <font>
      <b/>
      <sz val="9"/>
      <color rgb="FF000000"/>
      <name val="Calibri-Bold"/>
    </font>
    <font>
      <b/>
      <sz val="14"/>
      <color rgb="FFFF0000"/>
      <name val="Calibri"/>
      <family val="2"/>
      <scheme val="minor"/>
    </font>
    <font>
      <b/>
      <sz val="16"/>
      <color theme="6" tint="-0.249977111117893"/>
      <name val="Calibri"/>
      <family val="2"/>
      <scheme val="minor"/>
    </font>
    <font>
      <b/>
      <sz val="14"/>
      <color theme="0"/>
      <name val="Tahoma"/>
      <family val="2"/>
    </font>
    <font>
      <b/>
      <sz val="14"/>
      <name val="Calibri"/>
      <family val="2"/>
      <scheme val="minor"/>
    </font>
    <font>
      <u/>
      <sz val="12"/>
      <name val="Tahoma"/>
      <family val="2"/>
    </font>
  </fonts>
  <fills count="25">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indexed="13"/>
        <bgColor indexed="64"/>
      </patternFill>
    </fill>
    <fill>
      <patternFill patternType="solid">
        <fgColor indexed="45"/>
        <bgColor indexed="64"/>
      </patternFill>
    </fill>
    <fill>
      <patternFill patternType="solid">
        <fgColor indexed="15"/>
        <bgColor indexed="64"/>
      </patternFill>
    </fill>
    <fill>
      <patternFill patternType="solid">
        <fgColor indexed="43"/>
        <bgColor indexed="64"/>
      </patternFill>
    </fill>
    <fill>
      <patternFill patternType="solid">
        <fgColor indexed="41"/>
        <bgColor indexed="64"/>
      </patternFill>
    </fill>
    <fill>
      <patternFill patternType="solid">
        <fgColor indexed="51"/>
        <bgColor indexed="64"/>
      </patternFill>
    </fill>
    <fill>
      <patternFill patternType="solid">
        <fgColor indexed="42"/>
        <bgColor indexed="64"/>
      </patternFill>
    </fill>
    <fill>
      <patternFill patternType="solid">
        <fgColor indexed="44"/>
        <bgColor indexed="64"/>
      </patternFill>
    </fill>
    <fill>
      <patternFill patternType="solid">
        <fgColor theme="0" tint="-0.499984740745262"/>
        <bgColor indexed="64"/>
      </patternFill>
    </fill>
    <fill>
      <patternFill patternType="solid">
        <fgColor theme="0" tint="-0.2499465926084170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6" tint="-0.249977111117893"/>
        <bgColor indexed="64"/>
      </patternFill>
    </fill>
    <fill>
      <patternFill patternType="solid">
        <fgColor rgb="FF92D050"/>
        <bgColor indexed="64"/>
      </patternFill>
    </fill>
    <fill>
      <patternFill patternType="solid">
        <fgColor theme="0" tint="-0.14999847407452621"/>
        <bgColor indexed="64"/>
      </patternFill>
    </fill>
    <fill>
      <patternFill patternType="solid">
        <fgColor rgb="FFDDD9C3"/>
        <bgColor indexed="64"/>
      </patternFill>
    </fill>
    <fill>
      <patternFill patternType="solid">
        <fgColor theme="9" tint="0.39997558519241921"/>
        <bgColor indexed="64"/>
      </patternFill>
    </fill>
    <fill>
      <patternFill patternType="solid">
        <fgColor theme="9" tint="0.39994506668294322"/>
        <bgColor indexed="64"/>
      </patternFill>
    </fill>
    <fill>
      <patternFill patternType="solid">
        <fgColor theme="5" tint="0.39997558519241921"/>
        <bgColor indexed="64"/>
      </patternFill>
    </fill>
    <fill>
      <patternFill patternType="solid">
        <fgColor theme="2" tint="-9.9978637043366805E-2"/>
        <bgColor indexed="64"/>
      </patternFill>
    </fill>
    <fill>
      <patternFill patternType="solid">
        <fgColor rgb="FFFF0000"/>
        <bgColor indexed="64"/>
      </patternFill>
    </fill>
  </fills>
  <borders count="176">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double">
        <color indexed="64"/>
      </right>
      <top style="double">
        <color indexed="64"/>
      </top>
      <bottom style="double">
        <color indexed="64"/>
      </bottom>
      <diagonal/>
    </border>
    <border>
      <left/>
      <right style="double">
        <color indexed="64"/>
      </right>
      <top style="thin">
        <color indexed="64"/>
      </top>
      <bottom style="double">
        <color indexed="64"/>
      </bottom>
      <diagonal/>
    </border>
    <border>
      <left/>
      <right style="double">
        <color indexed="64"/>
      </right>
      <top style="thin">
        <color indexed="64"/>
      </top>
      <bottom style="thin">
        <color indexed="64"/>
      </bottom>
      <diagonal/>
    </border>
    <border>
      <left/>
      <right style="double">
        <color indexed="64"/>
      </right>
      <top style="medium">
        <color indexed="64"/>
      </top>
      <bottom style="medium">
        <color indexed="64"/>
      </bottom>
      <diagonal/>
    </border>
    <border>
      <left/>
      <right/>
      <top/>
      <bottom style="thin">
        <color indexed="64"/>
      </bottom>
      <diagonal/>
    </border>
    <border>
      <left/>
      <right style="double">
        <color indexed="64"/>
      </right>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diagonal/>
    </border>
    <border>
      <left/>
      <right style="double">
        <color indexed="64"/>
      </right>
      <top style="medium">
        <color indexed="64"/>
      </top>
      <bottom style="thin">
        <color indexed="64"/>
      </bottom>
      <diagonal/>
    </border>
    <border>
      <left/>
      <right style="double">
        <color indexed="64"/>
      </right>
      <top style="thin">
        <color indexed="64"/>
      </top>
      <bottom style="medium">
        <color indexed="64"/>
      </bottom>
      <diagonal/>
    </border>
    <border>
      <left/>
      <right style="double">
        <color indexed="64"/>
      </right>
      <top/>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ck">
        <color indexed="64"/>
      </left>
      <right/>
      <top style="medium">
        <color indexed="64"/>
      </top>
      <bottom/>
      <diagonal/>
    </border>
    <border>
      <left style="medium">
        <color indexed="64"/>
      </left>
      <right style="thick">
        <color indexed="64"/>
      </right>
      <top style="medium">
        <color indexed="64"/>
      </top>
      <bottom/>
      <diagonal/>
    </border>
    <border>
      <left style="thick">
        <color indexed="64"/>
      </left>
      <right style="thin">
        <color indexed="64"/>
      </right>
      <top/>
      <bottom style="thin">
        <color indexed="64"/>
      </bottom>
      <diagonal/>
    </border>
    <border>
      <left style="thick">
        <color indexed="64"/>
      </left>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medium">
        <color indexed="64"/>
      </left>
      <right style="thick">
        <color indexed="64"/>
      </right>
      <top/>
      <bottom/>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ck">
        <color indexed="64"/>
      </right>
      <top style="thick">
        <color indexed="64"/>
      </top>
      <bottom/>
      <diagonal/>
    </border>
    <border>
      <left style="thick">
        <color indexed="64"/>
      </left>
      <right/>
      <top style="medium">
        <color indexed="64"/>
      </top>
      <bottom style="medium">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double">
        <color indexed="64"/>
      </right>
      <top style="thick">
        <color indexed="64"/>
      </top>
      <bottom/>
      <diagonal/>
    </border>
    <border>
      <left style="thick">
        <color indexed="64"/>
      </left>
      <right/>
      <top style="medium">
        <color indexed="64"/>
      </top>
      <bottom style="thin">
        <color indexed="64"/>
      </bottom>
      <diagonal/>
    </border>
    <border>
      <left style="thick">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thick">
        <color indexed="64"/>
      </left>
      <right style="medium">
        <color indexed="64"/>
      </right>
      <top style="thick">
        <color indexed="64"/>
      </top>
      <bottom/>
      <diagonal/>
    </border>
    <border>
      <left/>
      <right style="medium">
        <color indexed="64"/>
      </right>
      <top style="thick">
        <color indexed="64"/>
      </top>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9"/>
      </left>
      <right style="medium">
        <color indexed="9"/>
      </right>
      <top style="medium">
        <color indexed="9"/>
      </top>
      <bottom style="medium">
        <color indexed="9"/>
      </bottom>
      <diagonal/>
    </border>
    <border>
      <left style="medium">
        <color indexed="64"/>
      </left>
      <right style="medium">
        <color indexed="64"/>
      </right>
      <top style="thick">
        <color indexed="64"/>
      </top>
      <bottom/>
      <diagonal/>
    </border>
    <border>
      <left style="medium">
        <color indexed="64"/>
      </left>
      <right/>
      <top style="thick">
        <color indexed="64"/>
      </top>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top/>
      <bottom style="thick">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medium">
        <color indexed="64"/>
      </right>
      <top style="thin">
        <color indexed="64"/>
      </top>
      <bottom style="thin">
        <color indexed="64"/>
      </bottom>
      <diagonal/>
    </border>
    <border>
      <left style="thick">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thick">
        <color indexed="64"/>
      </top>
      <bottom/>
      <diagonal/>
    </border>
    <border>
      <left/>
      <right style="thick">
        <color indexed="64"/>
      </right>
      <top style="medium">
        <color indexed="64"/>
      </top>
      <bottom style="medium">
        <color indexed="64"/>
      </bottom>
      <diagonal/>
    </border>
    <border>
      <left style="double">
        <color indexed="64"/>
      </left>
      <right/>
      <top style="medium">
        <color indexed="64"/>
      </top>
      <bottom/>
      <diagonal/>
    </border>
    <border>
      <left style="double">
        <color indexed="64"/>
      </left>
      <right style="medium">
        <color indexed="64"/>
      </right>
      <top style="medium">
        <color indexed="64"/>
      </top>
      <bottom/>
      <diagonal/>
    </border>
    <border>
      <left/>
      <right style="double">
        <color indexed="64"/>
      </right>
      <top style="medium">
        <color indexed="64"/>
      </top>
      <bottom/>
      <diagonal/>
    </border>
    <border>
      <left/>
      <right style="thick">
        <color indexed="64"/>
      </right>
      <top style="medium">
        <color indexed="64"/>
      </top>
      <bottom/>
      <diagonal/>
    </border>
    <border>
      <left style="thin">
        <color indexed="64"/>
      </left>
      <right/>
      <top style="medium">
        <color indexed="64"/>
      </top>
      <bottom/>
      <diagonal/>
    </border>
    <border>
      <left style="thick">
        <color indexed="64"/>
      </left>
      <right style="thin">
        <color indexed="64"/>
      </right>
      <top style="medium">
        <color indexed="64"/>
      </top>
      <bottom/>
      <diagonal/>
    </border>
    <border>
      <left style="thin">
        <color indexed="64"/>
      </left>
      <right style="thick">
        <color indexed="64"/>
      </right>
      <top style="medium">
        <color indexed="64"/>
      </top>
      <bottom/>
      <diagonal/>
    </border>
    <border>
      <left/>
      <right style="medium">
        <color indexed="64"/>
      </right>
      <top style="medium">
        <color indexed="64"/>
      </top>
      <bottom style="thick">
        <color indexed="64"/>
      </bottom>
      <diagonal/>
    </border>
    <border>
      <left style="medium">
        <color indexed="64"/>
      </left>
      <right style="medium">
        <color indexed="64"/>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medium">
        <color indexed="64"/>
      </left>
      <right style="thick">
        <color indexed="64"/>
      </right>
      <top/>
      <bottom style="thin">
        <color indexed="64"/>
      </bottom>
      <diagonal/>
    </border>
    <border>
      <left style="medium">
        <color indexed="64"/>
      </left>
      <right style="thick">
        <color indexed="64"/>
      </right>
      <top style="thin">
        <color indexed="64"/>
      </top>
      <bottom style="medium">
        <color indexed="64"/>
      </bottom>
      <diagonal/>
    </border>
    <border>
      <left style="medium">
        <color indexed="64"/>
      </left>
      <right style="thick">
        <color indexed="64"/>
      </right>
      <top style="medium">
        <color indexed="64"/>
      </top>
      <bottom style="thin">
        <color indexed="64"/>
      </bottom>
      <diagonal/>
    </border>
    <border>
      <left/>
      <right style="medium">
        <color indexed="64"/>
      </right>
      <top style="thin">
        <color indexed="64"/>
      </top>
      <bottom style="thick">
        <color indexed="64"/>
      </bottom>
      <diagonal/>
    </border>
    <border>
      <left/>
      <right style="medium">
        <color rgb="FF948A54"/>
      </right>
      <top style="medium">
        <color rgb="FF948A54"/>
      </top>
      <bottom/>
      <diagonal/>
    </border>
    <border>
      <left style="medium">
        <color rgb="FF948A54"/>
      </left>
      <right style="medium">
        <color rgb="FF948A54"/>
      </right>
      <top style="medium">
        <color rgb="FF948A54"/>
      </top>
      <bottom/>
      <diagonal/>
    </border>
    <border>
      <left/>
      <right style="medium">
        <color rgb="FF948A54"/>
      </right>
      <top/>
      <bottom style="medium">
        <color rgb="FF948A54"/>
      </bottom>
      <diagonal/>
    </border>
    <border>
      <left style="medium">
        <color rgb="FF948A54"/>
      </left>
      <right style="medium">
        <color rgb="FF948A54"/>
      </right>
      <top style="medium">
        <color rgb="FF948A54"/>
      </top>
      <bottom style="medium">
        <color rgb="FF948A54"/>
      </bottom>
      <diagonal/>
    </border>
    <border>
      <left/>
      <right style="medium">
        <color rgb="FF948A54"/>
      </right>
      <top style="medium">
        <color rgb="FF948A54"/>
      </top>
      <bottom style="medium">
        <color rgb="FF948A54"/>
      </bottom>
      <diagonal/>
    </border>
    <border>
      <left style="medium">
        <color rgb="FF948A54"/>
      </left>
      <right style="medium">
        <color rgb="FF948A54"/>
      </right>
      <top/>
      <bottom style="medium">
        <color rgb="FF948A54"/>
      </bottom>
      <diagonal/>
    </border>
    <border>
      <left style="medium">
        <color rgb="FF948A54"/>
      </left>
      <right style="medium">
        <color rgb="FF948A54"/>
      </right>
      <top/>
      <bottom style="thick">
        <color rgb="FF948A54"/>
      </bottom>
      <diagonal/>
    </border>
    <border>
      <left style="thick">
        <color rgb="FF948A54"/>
      </left>
      <right style="medium">
        <color rgb="FF948A54"/>
      </right>
      <top/>
      <bottom style="thick">
        <color rgb="FF948A54"/>
      </bottom>
      <diagonal/>
    </border>
    <border>
      <left style="medium">
        <color theme="2" tint="-0.499984740745262"/>
      </left>
      <right style="medium">
        <color theme="2" tint="-0.499984740745262"/>
      </right>
      <top style="medium">
        <color theme="2" tint="-0.499984740745262"/>
      </top>
      <bottom style="medium">
        <color theme="2" tint="-0.499984740745262"/>
      </bottom>
      <diagonal/>
    </border>
    <border>
      <left style="medium">
        <color theme="2" tint="-0.499984740745262"/>
      </left>
      <right style="thin">
        <color indexed="64"/>
      </right>
      <top style="medium">
        <color theme="2" tint="-0.499984740745262"/>
      </top>
      <bottom/>
      <diagonal/>
    </border>
    <border>
      <left/>
      <right/>
      <top style="medium">
        <color theme="2" tint="-0.499984740745262"/>
      </top>
      <bottom/>
      <diagonal/>
    </border>
    <border>
      <left style="thin">
        <color indexed="64"/>
      </left>
      <right style="medium">
        <color theme="2" tint="-0.499984740745262"/>
      </right>
      <top style="medium">
        <color theme="2" tint="-0.499984740745262"/>
      </top>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top style="thin">
        <color theme="2" tint="-0.499984740745262"/>
      </top>
      <bottom style="medium">
        <color theme="2" tint="-0.499984740745262"/>
      </bottom>
      <diagonal/>
    </border>
    <border>
      <left/>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10">
    <xf numFmtId="0" fontId="0" fillId="0" borderId="0" applyProtection="0"/>
    <xf numFmtId="212" fontId="5" fillId="0" borderId="0" applyFont="0" applyFill="0" applyBorder="0" applyAlignment="0" applyProtection="0"/>
    <xf numFmtId="0" fontId="19" fillId="0" borderId="0" applyNumberFormat="0" applyFill="0" applyBorder="0" applyAlignment="0" applyProtection="0">
      <alignment vertical="top"/>
      <protection locked="0"/>
    </xf>
    <xf numFmtId="165" fontId="4" fillId="0" borderId="0" applyFont="0" applyFill="0" applyBorder="0" applyAlignment="0" applyProtection="0"/>
    <xf numFmtId="164" fontId="4" fillId="0" borderId="0" applyFont="0" applyFill="0" applyBorder="0" applyAlignment="0" applyProtection="0"/>
    <xf numFmtId="0" fontId="4" fillId="0" borderId="0"/>
    <xf numFmtId="9" fontId="4" fillId="0" borderId="0" applyFont="0" applyFill="0" applyBorder="0" applyAlignment="0" applyProtection="0"/>
    <xf numFmtId="0" fontId="2" fillId="0" borderId="0"/>
    <xf numFmtId="0" fontId="1" fillId="0" borderId="0"/>
    <xf numFmtId="9" fontId="1" fillId="0" borderId="0" applyFont="0" applyFill="0" applyBorder="0" applyAlignment="0" applyProtection="0"/>
  </cellStyleXfs>
  <cellXfs count="3390">
    <xf numFmtId="0" fontId="0" fillId="0" borderId="0" xfId="0"/>
    <xf numFmtId="0" fontId="0" fillId="0" borderId="0" xfId="0" applyProtection="1"/>
    <xf numFmtId="0" fontId="14" fillId="0" borderId="0" xfId="0" applyFont="1" applyAlignment="1">
      <alignment horizontal="center"/>
    </xf>
    <xf numFmtId="3" fontId="21" fillId="0" borderId="0" xfId="0" applyNumberFormat="1" applyFont="1" applyAlignment="1" applyProtection="1">
      <alignment vertical="center"/>
    </xf>
    <xf numFmtId="0" fontId="23" fillId="0" borderId="0" xfId="0" applyFont="1"/>
    <xf numFmtId="0" fontId="23" fillId="0" borderId="0" xfId="0" applyFont="1" applyAlignment="1">
      <alignment horizontal="center"/>
    </xf>
    <xf numFmtId="3" fontId="23" fillId="2" borderId="2" xfId="0" applyNumberFormat="1" applyFont="1" applyFill="1" applyBorder="1" applyAlignment="1" applyProtection="1">
      <alignment horizontal="center"/>
      <protection locked="0"/>
    </xf>
    <xf numFmtId="200" fontId="23" fillId="0" borderId="0" xfId="0" applyNumberFormat="1" applyFont="1" applyAlignment="1" applyProtection="1">
      <alignment horizontal="right"/>
      <protection locked="0"/>
    </xf>
    <xf numFmtId="200" fontId="23" fillId="0" borderId="0" xfId="0" applyNumberFormat="1" applyFont="1"/>
    <xf numFmtId="9" fontId="20" fillId="1" borderId="3" xfId="6" applyFont="1" applyFill="1" applyBorder="1" applyAlignment="1" applyProtection="1">
      <alignment horizontal="right"/>
    </xf>
    <xf numFmtId="10" fontId="23" fillId="0" borderId="4" xfId="6" applyNumberFormat="1" applyFont="1" applyBorder="1" applyAlignment="1">
      <alignment horizontal="center"/>
    </xf>
    <xf numFmtId="9" fontId="20" fillId="1" borderId="5" xfId="6" applyFont="1" applyFill="1" applyBorder="1" applyAlignment="1" applyProtection="1">
      <alignment horizontal="right"/>
    </xf>
    <xf numFmtId="0" fontId="23" fillId="0" borderId="6" xfId="0" applyFont="1" applyBorder="1"/>
    <xf numFmtId="0" fontId="23" fillId="0" borderId="7" xfId="0" applyFont="1" applyBorder="1" applyAlignment="1" applyProtection="1">
      <alignment horizontal="left" indent="4"/>
      <protection locked="0"/>
    </xf>
    <xf numFmtId="200" fontId="23" fillId="2" borderId="7" xfId="0" applyNumberFormat="1" applyFont="1" applyFill="1" applyBorder="1" applyProtection="1">
      <protection locked="0"/>
    </xf>
    <xf numFmtId="200" fontId="23" fillId="2" borderId="8" xfId="0" applyNumberFormat="1" applyFont="1" applyFill="1" applyBorder="1" applyProtection="1">
      <protection locked="0"/>
    </xf>
    <xf numFmtId="0" fontId="20" fillId="0" borderId="9" xfId="0" applyFont="1" applyBorder="1" applyAlignment="1">
      <alignment horizontal="center" vertical="center" wrapText="1"/>
    </xf>
    <xf numFmtId="0" fontId="25" fillId="0" borderId="0" xfId="0" applyFont="1" applyProtection="1"/>
    <xf numFmtId="9" fontId="21" fillId="0" borderId="0" xfId="6" applyFont="1" applyFill="1" applyBorder="1" applyAlignment="1" applyProtection="1">
      <alignment horizontal="center"/>
    </xf>
    <xf numFmtId="3" fontId="21" fillId="0" borderId="0" xfId="0" applyNumberFormat="1" applyFont="1" applyAlignment="1" applyProtection="1">
      <alignment horizontal="right"/>
    </xf>
    <xf numFmtId="0" fontId="21" fillId="0" borderId="0" xfId="0" applyFont="1" applyProtection="1"/>
    <xf numFmtId="9" fontId="21" fillId="0" borderId="0" xfId="6" applyFont="1" applyFill="1" applyBorder="1" applyProtection="1"/>
    <xf numFmtId="0" fontId="17" fillId="0" borderId="0" xfId="0" applyFont="1" applyAlignment="1" applyProtection="1">
      <alignment horizontal="center"/>
    </xf>
    <xf numFmtId="0" fontId="17" fillId="0" borderId="0" xfId="0" applyFont="1" applyProtection="1"/>
    <xf numFmtId="3" fontId="17" fillId="0" borderId="0" xfId="0" applyNumberFormat="1" applyFont="1" applyAlignment="1" applyProtection="1">
      <alignment horizontal="center"/>
    </xf>
    <xf numFmtId="0" fontId="28" fillId="0" borderId="0" xfId="0" applyFont="1" applyProtection="1"/>
    <xf numFmtId="3" fontId="21" fillId="0" borderId="10" xfId="0" applyNumberFormat="1" applyFont="1" applyBorder="1" applyAlignment="1" applyProtection="1">
      <alignment horizontal="right"/>
    </xf>
    <xf numFmtId="3" fontId="21" fillId="0" borderId="11" xfId="0" applyNumberFormat="1" applyFont="1" applyBorder="1" applyProtection="1"/>
    <xf numFmtId="0" fontId="21" fillId="0" borderId="11" xfId="0" applyFont="1" applyBorder="1" applyProtection="1"/>
    <xf numFmtId="0" fontId="9" fillId="0" borderId="0" xfId="0" applyFont="1" applyAlignment="1">
      <alignment horizontal="left" indent="1"/>
    </xf>
    <xf numFmtId="200" fontId="23" fillId="2" borderId="12" xfId="0" applyNumberFormat="1" applyFont="1" applyFill="1" applyBorder="1" applyProtection="1">
      <protection locked="0"/>
    </xf>
    <xf numFmtId="0" fontId="17" fillId="0" borderId="0" xfId="0" applyFont="1" applyAlignment="1" applyProtection="1">
      <alignment vertical="center"/>
    </xf>
    <xf numFmtId="9" fontId="21" fillId="0" borderId="0" xfId="6" applyFont="1" applyFill="1" applyBorder="1" applyAlignment="1" applyProtection="1">
      <alignment vertical="center"/>
    </xf>
    <xf numFmtId="3" fontId="21" fillId="0" borderId="0" xfId="0" applyNumberFormat="1" applyFont="1" applyAlignment="1" applyProtection="1">
      <alignment horizontal="right" vertical="center"/>
    </xf>
    <xf numFmtId="0" fontId="21" fillId="0" borderId="0" xfId="0" applyFont="1" applyAlignment="1" applyProtection="1">
      <alignment vertical="center"/>
    </xf>
    <xf numFmtId="0" fontId="21" fillId="0" borderId="0" xfId="0" applyFont="1"/>
    <xf numFmtId="3" fontId="27" fillId="0" borderId="0" xfId="0" applyNumberFormat="1" applyFont="1"/>
    <xf numFmtId="0" fontId="27" fillId="0" borderId="0" xfId="0" applyFont="1"/>
    <xf numFmtId="0" fontId="17" fillId="0" borderId="0" xfId="0" applyFont="1" applyAlignment="1">
      <alignment horizontal="center"/>
    </xf>
    <xf numFmtId="0" fontId="21" fillId="0" borderId="0" xfId="0" applyFont="1" applyAlignment="1">
      <alignment horizontal="left" indent="1"/>
    </xf>
    <xf numFmtId="9" fontId="17" fillId="1" borderId="12" xfId="6" applyFont="1" applyFill="1" applyBorder="1" applyAlignment="1" applyProtection="1">
      <alignment horizontal="right"/>
    </xf>
    <xf numFmtId="164" fontId="17" fillId="1" borderId="12" xfId="4" applyFont="1" applyFill="1" applyBorder="1" applyAlignment="1" applyProtection="1">
      <alignment horizontal="right"/>
    </xf>
    <xf numFmtId="164" fontId="17" fillId="1" borderId="13" xfId="4" applyFont="1" applyFill="1" applyBorder="1" applyAlignment="1" applyProtection="1">
      <alignment horizontal="right"/>
    </xf>
    <xf numFmtId="164" fontId="17" fillId="1" borderId="7" xfId="4" applyFont="1" applyFill="1" applyBorder="1" applyAlignment="1" applyProtection="1">
      <alignment horizontal="right"/>
    </xf>
    <xf numFmtId="0" fontId="21" fillId="0" borderId="14" xfId="0" applyFont="1" applyBorder="1" applyProtection="1"/>
    <xf numFmtId="164" fontId="21" fillId="0" borderId="14" xfId="4" applyFont="1" applyFill="1" applyBorder="1" applyProtection="1"/>
    <xf numFmtId="164" fontId="21" fillId="0" borderId="0" xfId="4" applyFont="1" applyFill="1" applyBorder="1" applyProtection="1"/>
    <xf numFmtId="3" fontId="21" fillId="0" borderId="14" xfId="0" applyNumberFormat="1" applyFont="1" applyBorder="1" applyAlignment="1" applyProtection="1">
      <alignment horizontal="right"/>
    </xf>
    <xf numFmtId="0" fontId="21" fillId="0" borderId="0" xfId="0" applyFont="1" applyAlignment="1">
      <alignment vertical="center"/>
    </xf>
    <xf numFmtId="205" fontId="21" fillId="2" borderId="15" xfId="0" applyNumberFormat="1" applyFont="1" applyFill="1" applyBorder="1" applyAlignment="1" applyProtection="1">
      <alignment horizontal="center" vertical="center"/>
      <protection locked="0"/>
    </xf>
    <xf numFmtId="205" fontId="21" fillId="2" borderId="12" xfId="0" applyNumberFormat="1" applyFont="1" applyFill="1" applyBorder="1" applyAlignment="1" applyProtection="1">
      <alignment horizontal="center" vertical="center"/>
      <protection locked="0"/>
    </xf>
    <xf numFmtId="0" fontId="21" fillId="2" borderId="8" xfId="0" applyFont="1" applyFill="1" applyBorder="1" applyAlignment="1" applyProtection="1">
      <alignment horizontal="left" vertical="center" indent="1"/>
      <protection locked="0"/>
    </xf>
    <xf numFmtId="0" fontId="21" fillId="2" borderId="7" xfId="0" applyFont="1" applyFill="1" applyBorder="1" applyAlignment="1" applyProtection="1">
      <alignment horizontal="left" vertical="center" indent="1"/>
      <protection locked="0"/>
    </xf>
    <xf numFmtId="0" fontId="21" fillId="2" borderId="16" xfId="0" applyFont="1" applyFill="1" applyBorder="1" applyAlignment="1" applyProtection="1">
      <alignment horizontal="left" vertical="center" indent="1"/>
      <protection locked="0"/>
    </xf>
    <xf numFmtId="0" fontId="21" fillId="0" borderId="8" xfId="0" applyFont="1" applyBorder="1" applyAlignment="1">
      <alignment horizontal="left" vertical="center" indent="1"/>
    </xf>
    <xf numFmtId="0" fontId="21" fillId="0" borderId="7" xfId="0" applyFont="1" applyBorder="1" applyAlignment="1">
      <alignment horizontal="left" vertical="center" indent="1"/>
    </xf>
    <xf numFmtId="0" fontId="21" fillId="0" borderId="16" xfId="0" applyFont="1" applyBorder="1" applyAlignment="1">
      <alignment horizontal="left" vertical="center" indent="1"/>
    </xf>
    <xf numFmtId="3" fontId="17" fillId="0" borderId="11" xfId="0" applyNumberFormat="1" applyFont="1" applyBorder="1" applyAlignment="1">
      <alignment horizontal="center"/>
    </xf>
    <xf numFmtId="206" fontId="21" fillId="2" borderId="15" xfId="0" applyNumberFormat="1" applyFont="1" applyFill="1" applyBorder="1" applyAlignment="1" applyProtection="1">
      <alignment vertical="center"/>
      <protection locked="0"/>
    </xf>
    <xf numFmtId="3" fontId="25" fillId="0" borderId="0" xfId="0" applyNumberFormat="1" applyFont="1"/>
    <xf numFmtId="3" fontId="20" fillId="0" borderId="0" xfId="0" applyNumberFormat="1" applyFont="1" applyAlignment="1">
      <alignment horizontal="center"/>
    </xf>
    <xf numFmtId="3" fontId="23" fillId="0" borderId="0" xfId="0" applyNumberFormat="1" applyFont="1"/>
    <xf numFmtId="0" fontId="21" fillId="0" borderId="6" xfId="0" applyFont="1" applyBorder="1" applyAlignment="1">
      <alignment horizontal="centerContinuous"/>
    </xf>
    <xf numFmtId="0" fontId="21" fillId="0" borderId="1" xfId="0" applyFont="1" applyBorder="1" applyAlignment="1">
      <alignment horizontal="centerContinuous"/>
    </xf>
    <xf numFmtId="0" fontId="21" fillId="0" borderId="9" xfId="0" applyFont="1" applyBorder="1"/>
    <xf numFmtId="0" fontId="23" fillId="0" borderId="1" xfId="0" applyFont="1" applyBorder="1" applyAlignment="1">
      <alignment horizontal="right"/>
    </xf>
    <xf numFmtId="0" fontId="20" fillId="3" borderId="11" xfId="0" applyFont="1" applyFill="1" applyBorder="1" applyAlignment="1" applyProtection="1">
      <alignment horizontal="center"/>
      <protection locked="0"/>
    </xf>
    <xf numFmtId="3" fontId="35" fillId="0" borderId="0" xfId="0" applyNumberFormat="1" applyFont="1"/>
    <xf numFmtId="0" fontId="22" fillId="0" borderId="9" xfId="0" applyFont="1" applyBorder="1" applyAlignment="1">
      <alignment horizontal="centerContinuous"/>
    </xf>
    <xf numFmtId="206" fontId="21" fillId="2" borderId="17" xfId="0" applyNumberFormat="1" applyFont="1" applyFill="1" applyBorder="1" applyAlignment="1" applyProtection="1">
      <alignment vertical="center"/>
      <protection locked="0"/>
    </xf>
    <xf numFmtId="0" fontId="21" fillId="0" borderId="18" xfId="0" applyFont="1" applyBorder="1" applyAlignment="1">
      <alignment horizontal="left" vertical="center" indent="1"/>
    </xf>
    <xf numFmtId="0" fontId="21" fillId="0" borderId="19" xfId="0" applyFont="1" applyBorder="1" applyAlignment="1">
      <alignment horizontal="left" vertical="center" indent="1"/>
    </xf>
    <xf numFmtId="3" fontId="21" fillId="0" borderId="0" xfId="0" applyNumberFormat="1" applyFont="1"/>
    <xf numFmtId="4" fontId="23" fillId="0" borderId="20" xfId="0" applyNumberFormat="1" applyFont="1" applyBorder="1"/>
    <xf numFmtId="4" fontId="23" fillId="0" borderId="21" xfId="0" applyNumberFormat="1" applyFont="1" applyBorder="1"/>
    <xf numFmtId="4" fontId="23" fillId="0" borderId="22" xfId="0" applyNumberFormat="1" applyFont="1" applyBorder="1"/>
    <xf numFmtId="4" fontId="23" fillId="0" borderId="18" xfId="0" applyNumberFormat="1" applyFont="1" applyBorder="1"/>
    <xf numFmtId="216" fontId="23" fillId="0" borderId="23" xfId="0" applyNumberFormat="1" applyFont="1" applyBorder="1"/>
    <xf numFmtId="216" fontId="23" fillId="0" borderId="2" xfId="0" applyNumberFormat="1" applyFont="1" applyBorder="1"/>
    <xf numFmtId="216" fontId="23" fillId="0" borderId="24" xfId="0" applyNumberFormat="1" applyFont="1" applyBorder="1"/>
    <xf numFmtId="213" fontId="23" fillId="0" borderId="23" xfId="0" applyNumberFormat="1" applyFont="1" applyBorder="1"/>
    <xf numFmtId="213" fontId="23" fillId="0" borderId="2" xfId="0" applyNumberFormat="1" applyFont="1" applyBorder="1"/>
    <xf numFmtId="213" fontId="23" fillId="0" borderId="24" xfId="0" applyNumberFormat="1" applyFont="1" applyBorder="1"/>
    <xf numFmtId="216" fontId="20" fillId="0" borderId="11" xfId="0" applyNumberFormat="1" applyFont="1" applyBorder="1"/>
    <xf numFmtId="216" fontId="20" fillId="0" borderId="25" xfId="0" applyNumberFormat="1" applyFont="1" applyBorder="1"/>
    <xf numFmtId="4" fontId="23" fillId="0" borderId="0" xfId="0" applyNumberFormat="1" applyFont="1"/>
    <xf numFmtId="216" fontId="20" fillId="0" borderId="1" xfId="0" applyNumberFormat="1" applyFont="1" applyBorder="1"/>
    <xf numFmtId="3" fontId="23" fillId="0" borderId="0" xfId="0" applyNumberFormat="1" applyFont="1" applyProtection="1"/>
    <xf numFmtId="4" fontId="23" fillId="0" borderId="20" xfId="0" quotePrefix="1" applyNumberFormat="1" applyFont="1" applyBorder="1"/>
    <xf numFmtId="4" fontId="23" fillId="0" borderId="21" xfId="0" quotePrefix="1" applyNumberFormat="1" applyFont="1" applyBorder="1"/>
    <xf numFmtId="4" fontId="23" fillId="0" borderId="22" xfId="0" quotePrefix="1" applyNumberFormat="1" applyFont="1" applyBorder="1"/>
    <xf numFmtId="216" fontId="23" fillId="0" borderId="23" xfId="0" quotePrefix="1" applyNumberFormat="1" applyFont="1" applyBorder="1"/>
    <xf numFmtId="216" fontId="23" fillId="0" borderId="2" xfId="0" quotePrefix="1" applyNumberFormat="1" applyFont="1" applyBorder="1"/>
    <xf numFmtId="216" fontId="23" fillId="0" borderId="24" xfId="0" quotePrefix="1" applyNumberFormat="1" applyFont="1" applyBorder="1"/>
    <xf numFmtId="213" fontId="23" fillId="0" borderId="23" xfId="0" quotePrefix="1" applyNumberFormat="1" applyFont="1" applyBorder="1"/>
    <xf numFmtId="213" fontId="23" fillId="0" borderId="2" xfId="0" quotePrefix="1" applyNumberFormat="1" applyFont="1" applyBorder="1"/>
    <xf numFmtId="213" fontId="23" fillId="0" borderId="24" xfId="0" quotePrefix="1" applyNumberFormat="1" applyFont="1" applyBorder="1"/>
    <xf numFmtId="213" fontId="20" fillId="0" borderId="12" xfId="0" applyNumberFormat="1" applyFont="1" applyBorder="1"/>
    <xf numFmtId="0" fontId="35" fillId="0" borderId="0" xfId="0" applyFont="1"/>
    <xf numFmtId="10" fontId="23" fillId="0" borderId="0" xfId="6" applyNumberFormat="1" applyFont="1" applyBorder="1"/>
    <xf numFmtId="3" fontId="23" fillId="0" borderId="0" xfId="0" quotePrefix="1" applyNumberFormat="1" applyFont="1"/>
    <xf numFmtId="3" fontId="23" fillId="0" borderId="26" xfId="0" applyNumberFormat="1" applyFont="1" applyBorder="1" applyProtection="1"/>
    <xf numFmtId="10" fontId="23" fillId="0" borderId="26" xfId="6" applyNumberFormat="1" applyFont="1" applyBorder="1"/>
    <xf numFmtId="3" fontId="20" fillId="0" borderId="11" xfId="0" applyNumberFormat="1" applyFont="1" applyBorder="1" applyAlignment="1">
      <alignment horizontal="center"/>
    </xf>
    <xf numFmtId="0" fontId="21" fillId="0" borderId="10" xfId="0" applyFont="1" applyBorder="1"/>
    <xf numFmtId="217" fontId="23" fillId="0" borderId="18" xfId="6" applyNumberFormat="1" applyFont="1" applyBorder="1"/>
    <xf numFmtId="217" fontId="23" fillId="0" borderId="12" xfId="6" applyNumberFormat="1" applyFont="1" applyBorder="1"/>
    <xf numFmtId="3" fontId="23" fillId="0" borderId="12" xfId="0" applyNumberFormat="1" applyFont="1" applyBorder="1" applyAlignment="1" applyProtection="1">
      <alignment horizontal="left" indent="1"/>
      <protection locked="0"/>
    </xf>
    <xf numFmtId="3" fontId="23" fillId="0" borderId="15" xfId="0" applyNumberFormat="1" applyFont="1" applyBorder="1" applyAlignment="1" applyProtection="1">
      <alignment horizontal="left" indent="1"/>
      <protection locked="0"/>
    </xf>
    <xf numFmtId="217" fontId="23" fillId="0" borderId="19" xfId="6" applyNumberFormat="1" applyFont="1" applyBorder="1"/>
    <xf numFmtId="217" fontId="20" fillId="0" borderId="11" xfId="6" applyNumberFormat="1" applyFont="1" applyBorder="1"/>
    <xf numFmtId="4" fontId="23" fillId="0" borderId="27" xfId="0" applyNumberFormat="1" applyFont="1" applyBorder="1"/>
    <xf numFmtId="4" fontId="23" fillId="0" borderId="28" xfId="0" applyNumberFormat="1" applyFont="1" applyBorder="1"/>
    <xf numFmtId="4" fontId="23" fillId="0" borderId="29" xfId="0" applyNumberFormat="1" applyFont="1" applyBorder="1"/>
    <xf numFmtId="4" fontId="23" fillId="0" borderId="30" xfId="0" applyNumberFormat="1" applyFont="1" applyBorder="1"/>
    <xf numFmtId="217" fontId="23" fillId="0" borderId="30" xfId="6" applyNumberFormat="1" applyFont="1" applyBorder="1"/>
    <xf numFmtId="4" fontId="23" fillId="0" borderId="27" xfId="0" quotePrefix="1" applyNumberFormat="1" applyFont="1" applyBorder="1"/>
    <xf numFmtId="4" fontId="23" fillId="0" borderId="28" xfId="0" quotePrefix="1" applyNumberFormat="1" applyFont="1" applyBorder="1"/>
    <xf numFmtId="4" fontId="23" fillId="0" borderId="29" xfId="0" quotePrefix="1" applyNumberFormat="1" applyFont="1" applyBorder="1"/>
    <xf numFmtId="213" fontId="23" fillId="0" borderId="31" xfId="0" applyNumberFormat="1" applyFont="1" applyBorder="1"/>
    <xf numFmtId="213" fontId="23" fillId="0" borderId="32" xfId="0" applyNumberFormat="1" applyFont="1" applyBorder="1"/>
    <xf numFmtId="4" fontId="23" fillId="0" borderId="15" xfId="0" applyNumberFormat="1" applyFont="1" applyBorder="1"/>
    <xf numFmtId="217" fontId="23" fillId="0" borderId="17" xfId="6" applyNumberFormat="1" applyFont="1" applyBorder="1"/>
    <xf numFmtId="4" fontId="23" fillId="0" borderId="33" xfId="0" applyNumberFormat="1" applyFont="1" applyBorder="1"/>
    <xf numFmtId="4" fontId="23" fillId="0" borderId="31" xfId="0" applyNumberFormat="1" applyFont="1" applyBorder="1"/>
    <xf numFmtId="4" fontId="23" fillId="0" borderId="32" xfId="0" applyNumberFormat="1" applyFont="1" applyBorder="1"/>
    <xf numFmtId="213" fontId="20" fillId="0" borderId="14" xfId="0" applyNumberFormat="1" applyFont="1" applyBorder="1"/>
    <xf numFmtId="217" fontId="23" fillId="0" borderId="14" xfId="6" applyNumberFormat="1" applyFont="1" applyBorder="1"/>
    <xf numFmtId="213" fontId="23" fillId="0" borderId="31" xfId="0" quotePrefix="1" applyNumberFormat="1" applyFont="1" applyBorder="1"/>
    <xf numFmtId="213" fontId="23" fillId="0" borderId="32" xfId="0" quotePrefix="1" applyNumberFormat="1" applyFont="1" applyBorder="1"/>
    <xf numFmtId="4" fontId="23" fillId="0" borderId="33" xfId="0" quotePrefix="1" applyNumberFormat="1" applyFont="1" applyBorder="1"/>
    <xf numFmtId="4" fontId="23" fillId="0" borderId="31" xfId="0" quotePrefix="1" applyNumberFormat="1" applyFont="1" applyBorder="1"/>
    <xf numFmtId="4" fontId="23" fillId="0" borderId="32" xfId="0" quotePrefix="1" applyNumberFormat="1" applyFont="1" applyBorder="1"/>
    <xf numFmtId="213" fontId="20" fillId="0" borderId="18" xfId="0" applyNumberFormat="1" applyFont="1" applyBorder="1"/>
    <xf numFmtId="213" fontId="20" fillId="0" borderId="34" xfId="0" applyNumberFormat="1" applyFont="1" applyBorder="1"/>
    <xf numFmtId="213" fontId="20" fillId="0" borderId="35" xfId="0" applyNumberFormat="1" applyFont="1" applyBorder="1"/>
    <xf numFmtId="213" fontId="20" fillId="0" borderId="4" xfId="0" applyNumberFormat="1" applyFont="1" applyBorder="1"/>
    <xf numFmtId="213" fontId="20" fillId="0" borderId="19" xfId="0" applyNumberFormat="1" applyFont="1" applyBorder="1"/>
    <xf numFmtId="213" fontId="20" fillId="0" borderId="34" xfId="0" quotePrefix="1" applyNumberFormat="1" applyFont="1" applyBorder="1"/>
    <xf numFmtId="213" fontId="20" fillId="0" borderId="35" xfId="0" quotePrefix="1" applyNumberFormat="1" applyFont="1" applyBorder="1"/>
    <xf numFmtId="213" fontId="20" fillId="0" borderId="4" xfId="0" quotePrefix="1" applyNumberFormat="1" applyFont="1" applyBorder="1"/>
    <xf numFmtId="213" fontId="23" fillId="0" borderId="36" xfId="0" applyNumberFormat="1" applyFont="1" applyBorder="1"/>
    <xf numFmtId="213" fontId="23" fillId="0" borderId="36" xfId="0" quotePrefix="1" applyNumberFormat="1" applyFont="1" applyBorder="1"/>
    <xf numFmtId="3" fontId="22" fillId="0" borderId="11" xfId="0" applyNumberFormat="1" applyFont="1" applyBorder="1" applyAlignment="1" applyProtection="1">
      <alignment horizontal="right"/>
    </xf>
    <xf numFmtId="3" fontId="23" fillId="0" borderId="12" xfId="0" applyNumberFormat="1" applyFont="1" applyBorder="1" applyAlignment="1" applyProtection="1">
      <alignment horizontal="left" indent="1"/>
    </xf>
    <xf numFmtId="218" fontId="20" fillId="0" borderId="11" xfId="0" applyNumberFormat="1" applyFont="1" applyBorder="1"/>
    <xf numFmtId="3" fontId="23" fillId="0" borderId="11" xfId="0" applyNumberFormat="1" applyFont="1" applyBorder="1" applyAlignment="1" applyProtection="1">
      <alignment horizontal="left" indent="1"/>
    </xf>
    <xf numFmtId="3" fontId="23" fillId="0" borderId="15" xfId="0" applyNumberFormat="1" applyFont="1" applyBorder="1" applyAlignment="1" applyProtection="1">
      <alignment horizontal="left" indent="1"/>
    </xf>
    <xf numFmtId="3" fontId="22" fillId="0" borderId="11" xfId="0" applyNumberFormat="1" applyFont="1" applyBorder="1" applyAlignment="1" applyProtection="1">
      <alignment horizontal="center"/>
    </xf>
    <xf numFmtId="216" fontId="23" fillId="0" borderId="20" xfId="0" applyNumberFormat="1" applyFont="1" applyBorder="1"/>
    <xf numFmtId="216" fontId="23" fillId="0" borderId="21" xfId="0" applyNumberFormat="1" applyFont="1" applyBorder="1"/>
    <xf numFmtId="216" fontId="23" fillId="0" borderId="22" xfId="0" applyNumberFormat="1" applyFont="1" applyBorder="1"/>
    <xf numFmtId="216" fontId="23" fillId="0" borderId="20" xfId="0" quotePrefix="1" applyNumberFormat="1" applyFont="1" applyBorder="1"/>
    <xf numFmtId="216" fontId="23" fillId="0" borderId="21" xfId="0" quotePrefix="1" applyNumberFormat="1" applyFont="1" applyBorder="1"/>
    <xf numFmtId="216" fontId="23" fillId="0" borderId="22" xfId="0" quotePrefix="1" applyNumberFormat="1" applyFont="1" applyBorder="1"/>
    <xf numFmtId="216" fontId="23" fillId="0" borderId="18" xfId="0" applyNumberFormat="1" applyFont="1" applyBorder="1"/>
    <xf numFmtId="216" fontId="23" fillId="0" borderId="12" xfId="0" applyNumberFormat="1" applyFont="1" applyBorder="1"/>
    <xf numFmtId="3" fontId="20" fillId="0" borderId="37" xfId="0" applyNumberFormat="1" applyFont="1" applyBorder="1" applyAlignment="1">
      <alignment horizontal="center"/>
    </xf>
    <xf numFmtId="3" fontId="20" fillId="0" borderId="36" xfId="0" applyNumberFormat="1" applyFont="1" applyBorder="1" applyAlignment="1">
      <alignment horizontal="center"/>
    </xf>
    <xf numFmtId="3" fontId="20" fillId="0" borderId="25" xfId="0" applyNumberFormat="1" applyFont="1" applyBorder="1" applyAlignment="1">
      <alignment horizontal="center"/>
    </xf>
    <xf numFmtId="216" fontId="23" fillId="0" borderId="18" xfId="0" applyNumberFormat="1" applyFont="1" applyBorder="1" applyProtection="1">
      <protection locked="0"/>
    </xf>
    <xf numFmtId="3" fontId="21" fillId="0" borderId="0" xfId="0" applyNumberFormat="1" applyFont="1" applyProtection="1"/>
    <xf numFmtId="3" fontId="17" fillId="0" borderId="0" xfId="0" applyNumberFormat="1" applyFont="1" applyAlignment="1" applyProtection="1">
      <alignment horizontal="left" vertical="center"/>
    </xf>
    <xf numFmtId="1" fontId="14" fillId="0" borderId="0" xfId="0" applyNumberFormat="1" applyFont="1" applyAlignment="1" applyProtection="1">
      <alignment horizontal="center" vertical="center"/>
    </xf>
    <xf numFmtId="3" fontId="27" fillId="0" borderId="0" xfId="0" applyNumberFormat="1" applyFont="1" applyProtection="1"/>
    <xf numFmtId="3" fontId="35" fillId="0" borderId="0" xfId="0" applyNumberFormat="1" applyFont="1" applyAlignment="1" applyProtection="1">
      <alignment horizontal="center"/>
    </xf>
    <xf numFmtId="3" fontId="36" fillId="0" borderId="0" xfId="0" applyNumberFormat="1" applyFont="1" applyProtection="1"/>
    <xf numFmtId="3" fontId="17" fillId="0" borderId="11" xfId="0" applyNumberFormat="1" applyFont="1" applyBorder="1" applyAlignment="1" applyProtection="1">
      <alignment horizontal="center" vertical="center"/>
    </xf>
    <xf numFmtId="3" fontId="17" fillId="0" borderId="39" xfId="0" applyNumberFormat="1" applyFont="1" applyBorder="1" applyAlignment="1" applyProtection="1">
      <alignment horizontal="center" vertical="center"/>
    </xf>
    <xf numFmtId="3" fontId="17" fillId="0" borderId="36" xfId="0" applyNumberFormat="1" applyFont="1" applyBorder="1" applyAlignment="1" applyProtection="1">
      <alignment horizontal="center" vertical="center"/>
    </xf>
    <xf numFmtId="3" fontId="17" fillId="0" borderId="25" xfId="0" applyNumberFormat="1" applyFont="1" applyBorder="1" applyAlignment="1" applyProtection="1">
      <alignment horizontal="center" vertical="center"/>
    </xf>
    <xf numFmtId="3" fontId="17" fillId="0" borderId="40" xfId="0" applyNumberFormat="1" applyFont="1" applyBorder="1" applyAlignment="1" applyProtection="1">
      <alignment horizontal="center" vertical="center"/>
    </xf>
    <xf numFmtId="3" fontId="17" fillId="0" borderId="18" xfId="0" applyNumberFormat="1" applyFont="1" applyBorder="1" applyAlignment="1" applyProtection="1">
      <alignment horizontal="center" vertical="center"/>
    </xf>
    <xf numFmtId="207" fontId="21" fillId="0" borderId="41" xfId="0" applyNumberFormat="1" applyFont="1" applyBorder="1" applyAlignment="1" applyProtection="1">
      <alignment vertical="center"/>
    </xf>
    <xf numFmtId="207" fontId="21" fillId="0" borderId="21" xfId="0" applyNumberFormat="1" applyFont="1" applyBorder="1" applyAlignment="1" applyProtection="1">
      <alignment vertical="center"/>
    </xf>
    <xf numFmtId="207" fontId="21" fillId="0" borderId="22" xfId="0" applyNumberFormat="1" applyFont="1" applyBorder="1" applyAlignment="1" applyProtection="1">
      <alignment vertical="center"/>
    </xf>
    <xf numFmtId="200" fontId="21" fillId="0" borderId="42" xfId="0" applyNumberFormat="1" applyFont="1" applyBorder="1" applyAlignment="1" applyProtection="1">
      <alignment vertical="center"/>
    </xf>
    <xf numFmtId="3" fontId="17" fillId="0" borderId="12" xfId="0" applyNumberFormat="1" applyFont="1" applyBorder="1" applyAlignment="1" applyProtection="1">
      <alignment horizontal="center" vertical="center"/>
    </xf>
    <xf numFmtId="207" fontId="21" fillId="0" borderId="2" xfId="0" applyNumberFormat="1" applyFont="1" applyBorder="1" applyAlignment="1" applyProtection="1">
      <alignment vertical="center"/>
    </xf>
    <xf numFmtId="207" fontId="21" fillId="0" borderId="24" xfId="0" applyNumberFormat="1" applyFont="1" applyBorder="1" applyAlignment="1" applyProtection="1">
      <alignment vertical="center"/>
    </xf>
    <xf numFmtId="200" fontId="21" fillId="0" borderId="43" xfId="0" applyNumberFormat="1" applyFont="1" applyBorder="1" applyAlignment="1" applyProtection="1">
      <alignment vertical="center"/>
    </xf>
    <xf numFmtId="200" fontId="21" fillId="0" borderId="44" xfId="0" applyNumberFormat="1" applyFont="1" applyBorder="1" applyAlignment="1" applyProtection="1">
      <alignment vertical="center"/>
    </xf>
    <xf numFmtId="3" fontId="17" fillId="0" borderId="19" xfId="0" applyNumberFormat="1" applyFont="1" applyBorder="1" applyAlignment="1" applyProtection="1">
      <alignment horizontal="center" vertical="center"/>
    </xf>
    <xf numFmtId="0" fontId="17" fillId="0" borderId="9" xfId="0" applyFont="1" applyBorder="1" applyAlignment="1">
      <alignment horizontal="right"/>
    </xf>
    <xf numFmtId="0" fontId="37" fillId="0" borderId="6" xfId="2" applyFont="1" applyFill="1" applyBorder="1" applyAlignment="1" applyProtection="1">
      <alignment horizontal="right"/>
    </xf>
    <xf numFmtId="178" fontId="17" fillId="0" borderId="6" xfId="0" applyNumberFormat="1" applyFont="1" applyBorder="1" applyAlignment="1">
      <alignment horizontal="centerContinuous"/>
    </xf>
    <xf numFmtId="3" fontId="17" fillId="0" borderId="6" xfId="0" applyNumberFormat="1" applyFont="1" applyBorder="1" applyAlignment="1">
      <alignment horizontal="centerContinuous"/>
    </xf>
    <xf numFmtId="0" fontId="17" fillId="0" borderId="6" xfId="0" applyFont="1" applyBorder="1" applyAlignment="1">
      <alignment horizontal="left"/>
    </xf>
    <xf numFmtId="205" fontId="21" fillId="3" borderId="18" xfId="0" applyNumberFormat="1" applyFont="1" applyFill="1" applyBorder="1" applyAlignment="1" applyProtection="1">
      <alignment horizontal="center"/>
      <protection locked="0"/>
    </xf>
    <xf numFmtId="205" fontId="21" fillId="2" borderId="20" xfId="0" applyNumberFormat="1" applyFont="1" applyFill="1" applyBorder="1" applyAlignment="1" applyProtection="1">
      <alignment horizontal="center"/>
      <protection locked="0"/>
    </xf>
    <xf numFmtId="205" fontId="21" fillId="2" borderId="21" xfId="0" applyNumberFormat="1" applyFont="1" applyFill="1" applyBorder="1" applyAlignment="1" applyProtection="1">
      <alignment horizontal="center"/>
      <protection locked="0"/>
    </xf>
    <xf numFmtId="205" fontId="21" fillId="2" borderId="22" xfId="0" applyNumberFormat="1" applyFont="1" applyFill="1" applyBorder="1" applyAlignment="1" applyProtection="1">
      <alignment horizontal="center"/>
      <protection locked="0"/>
    </xf>
    <xf numFmtId="185" fontId="21" fillId="0" borderId="18" xfId="0" applyNumberFormat="1" applyFont="1" applyBorder="1" applyAlignment="1">
      <alignment horizontal="center"/>
    </xf>
    <xf numFmtId="205" fontId="21" fillId="3" borderId="12" xfId="0" applyNumberFormat="1" applyFont="1" applyFill="1" applyBorder="1" applyAlignment="1" applyProtection="1">
      <alignment horizontal="center"/>
      <protection locked="0"/>
    </xf>
    <xf numFmtId="205" fontId="21" fillId="2" borderId="45" xfId="0" applyNumberFormat="1" applyFont="1" applyFill="1" applyBorder="1" applyAlignment="1" applyProtection="1">
      <alignment horizontal="center"/>
      <protection locked="0"/>
    </xf>
    <xf numFmtId="205" fontId="21" fillId="2" borderId="46" xfId="0" applyNumberFormat="1" applyFont="1" applyFill="1" applyBorder="1" applyAlignment="1" applyProtection="1">
      <alignment horizontal="center"/>
      <protection locked="0"/>
    </xf>
    <xf numFmtId="205" fontId="21" fillId="2" borderId="47" xfId="0" applyNumberFormat="1" applyFont="1" applyFill="1" applyBorder="1" applyAlignment="1" applyProtection="1">
      <alignment horizontal="center"/>
      <protection locked="0"/>
    </xf>
    <xf numFmtId="185" fontId="21" fillId="0" borderId="38" xfId="0" applyNumberFormat="1" applyFont="1" applyBorder="1" applyAlignment="1">
      <alignment horizontal="center"/>
    </xf>
    <xf numFmtId="3" fontId="17" fillId="0" borderId="37" xfId="0" applyNumberFormat="1" applyFont="1" applyBorder="1" applyAlignment="1">
      <alignment horizontal="center"/>
    </xf>
    <xf numFmtId="3" fontId="17" fillId="0" borderId="36" xfId="0" applyNumberFormat="1" applyFont="1" applyBorder="1" applyAlignment="1">
      <alignment horizontal="center"/>
    </xf>
    <xf numFmtId="3" fontId="17" fillId="0" borderId="25" xfId="0" applyNumberFormat="1" applyFont="1" applyBorder="1" applyAlignment="1">
      <alignment horizontal="center"/>
    </xf>
    <xf numFmtId="214" fontId="17" fillId="0" borderId="1" xfId="0" applyNumberFormat="1" applyFont="1" applyBorder="1" applyAlignment="1">
      <alignment horizontal="center"/>
    </xf>
    <xf numFmtId="0" fontId="21" fillId="0" borderId="42" xfId="0" applyFont="1" applyBorder="1"/>
    <xf numFmtId="187" fontId="17" fillId="0" borderId="48" xfId="0" applyNumberFormat="1" applyFont="1" applyBorder="1" applyAlignment="1" applyProtection="1">
      <alignment horizontal="center"/>
    </xf>
    <xf numFmtId="187" fontId="17" fillId="0" borderId="3" xfId="0" applyNumberFormat="1" applyFont="1" applyBorder="1" applyAlignment="1" applyProtection="1">
      <alignment horizontal="center"/>
    </xf>
    <xf numFmtId="187" fontId="17" fillId="0" borderId="5" xfId="0" applyNumberFormat="1" applyFont="1" applyBorder="1" applyAlignment="1" applyProtection="1">
      <alignment horizontal="center"/>
    </xf>
    <xf numFmtId="185" fontId="17" fillId="0" borderId="15" xfId="0" applyNumberFormat="1" applyFont="1" applyBorder="1" applyAlignment="1">
      <alignment horizontal="center"/>
    </xf>
    <xf numFmtId="0" fontId="21" fillId="0" borderId="43" xfId="0" applyFont="1" applyBorder="1"/>
    <xf numFmtId="0" fontId="21" fillId="0" borderId="44" xfId="0" applyFont="1" applyBorder="1"/>
    <xf numFmtId="187" fontId="17" fillId="0" borderId="34" xfId="0" applyNumberFormat="1" applyFont="1" applyBorder="1" applyAlignment="1" applyProtection="1">
      <alignment horizontal="center"/>
    </xf>
    <xf numFmtId="187" fontId="17" fillId="0" borderId="35" xfId="0" applyNumberFormat="1" applyFont="1" applyBorder="1" applyAlignment="1" applyProtection="1">
      <alignment horizontal="center"/>
    </xf>
    <xf numFmtId="187" fontId="17" fillId="0" borderId="4" xfId="0" applyNumberFormat="1" applyFont="1" applyBorder="1" applyAlignment="1" applyProtection="1">
      <alignment horizontal="center"/>
    </xf>
    <xf numFmtId="185" fontId="17" fillId="0" borderId="19" xfId="0" applyNumberFormat="1" applyFont="1" applyBorder="1" applyAlignment="1">
      <alignment horizontal="center"/>
    </xf>
    <xf numFmtId="3" fontId="17" fillId="0" borderId="0" xfId="0" applyNumberFormat="1" applyFont="1"/>
    <xf numFmtId="1" fontId="17" fillId="0" borderId="0" xfId="0" applyNumberFormat="1" applyFont="1" applyAlignment="1">
      <alignment horizontal="center"/>
    </xf>
    <xf numFmtId="3" fontId="17" fillId="0" borderId="11" xfId="0" applyNumberFormat="1" applyFont="1" applyBorder="1" applyAlignment="1">
      <alignment horizontal="center" vertical="center" shrinkToFit="1"/>
    </xf>
    <xf numFmtId="178" fontId="17" fillId="0" borderId="30" xfId="0" applyNumberFormat="1" applyFont="1" applyBorder="1" applyAlignment="1">
      <alignment horizontal="center" vertical="center" shrinkToFit="1"/>
    </xf>
    <xf numFmtId="178" fontId="17" fillId="0" borderId="27" xfId="0" applyNumberFormat="1" applyFont="1" applyBorder="1" applyAlignment="1">
      <alignment horizontal="center" vertical="center" shrinkToFit="1"/>
    </xf>
    <xf numFmtId="178" fontId="17" fillId="0" borderId="28" xfId="0" applyNumberFormat="1" applyFont="1" applyBorder="1" applyAlignment="1">
      <alignment horizontal="center" vertical="center" shrinkToFit="1"/>
    </xf>
    <xf numFmtId="178" fontId="17" fillId="0" borderId="29" xfId="0" applyNumberFormat="1" applyFont="1" applyBorder="1" applyAlignment="1">
      <alignment horizontal="center" vertical="center" shrinkToFit="1"/>
    </xf>
    <xf numFmtId="0" fontId="17" fillId="0" borderId="30" xfId="0" applyFont="1" applyBorder="1" applyAlignment="1">
      <alignment horizontal="center" vertical="center" shrinkToFit="1"/>
    </xf>
    <xf numFmtId="0" fontId="21" fillId="0" borderId="0" xfId="0" applyFont="1" applyAlignment="1">
      <alignment shrinkToFit="1"/>
    </xf>
    <xf numFmtId="0" fontId="38" fillId="0" borderId="18" xfId="0" applyFont="1" applyBorder="1" applyAlignment="1">
      <alignment horizontal="left" indent="1"/>
    </xf>
    <xf numFmtId="0" fontId="38" fillId="0" borderId="12" xfId="0" applyFont="1" applyBorder="1" applyAlignment="1">
      <alignment horizontal="left" indent="1"/>
    </xf>
    <xf numFmtId="0" fontId="38" fillId="0" borderId="49" xfId="0" applyFont="1" applyBorder="1" applyAlignment="1">
      <alignment horizontal="left" indent="1"/>
    </xf>
    <xf numFmtId="0" fontId="38" fillId="0" borderId="16" xfId="0" applyFont="1" applyBorder="1" applyAlignment="1">
      <alignment horizontal="left" indent="1"/>
    </xf>
    <xf numFmtId="3" fontId="17" fillId="0" borderId="9" xfId="0" applyNumberFormat="1" applyFont="1" applyBorder="1" applyAlignment="1">
      <alignment horizontal="center" shrinkToFit="1"/>
    </xf>
    <xf numFmtId="3" fontId="17" fillId="0" borderId="1" xfId="0" applyNumberFormat="1" applyFont="1" applyBorder="1" applyAlignment="1">
      <alignment horizontal="center" shrinkToFit="1"/>
    </xf>
    <xf numFmtId="178" fontId="17" fillId="0" borderId="37" xfId="0" applyNumberFormat="1" applyFont="1" applyBorder="1" applyAlignment="1">
      <alignment horizontal="center" vertical="center" shrinkToFit="1"/>
    </xf>
    <xf numFmtId="178" fontId="17" fillId="0" borderId="36" xfId="0" applyNumberFormat="1" applyFont="1" applyBorder="1" applyAlignment="1">
      <alignment horizontal="center" vertical="center" shrinkToFit="1"/>
    </xf>
    <xf numFmtId="178" fontId="17" fillId="0" borderId="25" xfId="0" applyNumberFormat="1" applyFont="1" applyBorder="1" applyAlignment="1">
      <alignment horizontal="center" vertical="center" shrinkToFit="1"/>
    </xf>
    <xf numFmtId="0" fontId="17" fillId="0" borderId="11" xfId="0" applyFont="1" applyBorder="1" applyAlignment="1">
      <alignment horizontal="center" vertical="center" shrinkToFit="1"/>
    </xf>
    <xf numFmtId="3" fontId="20" fillId="0" borderId="0" xfId="0" applyNumberFormat="1" applyFont="1"/>
    <xf numFmtId="210" fontId="35" fillId="0" borderId="0" xfId="0" applyNumberFormat="1" applyFont="1" applyAlignment="1">
      <alignment horizontal="right"/>
    </xf>
    <xf numFmtId="1" fontId="35" fillId="0" borderId="0" xfId="0" applyNumberFormat="1" applyFont="1" applyAlignment="1">
      <alignment horizontal="center"/>
    </xf>
    <xf numFmtId="3" fontId="35" fillId="0" borderId="0" xfId="0" applyNumberFormat="1" applyFont="1" applyAlignment="1">
      <alignment horizontal="left" indent="1"/>
    </xf>
    <xf numFmtId="200" fontId="23" fillId="2" borderId="2" xfId="0" applyNumberFormat="1" applyFont="1" applyFill="1" applyBorder="1" applyProtection="1">
      <protection locked="0"/>
    </xf>
    <xf numFmtId="1" fontId="26" fillId="0" borderId="0" xfId="0" applyNumberFormat="1" applyFont="1" applyAlignment="1">
      <alignment horizontal="center"/>
    </xf>
    <xf numFmtId="1" fontId="26" fillId="0" borderId="0" xfId="0" quotePrefix="1" applyNumberFormat="1" applyFont="1" applyAlignment="1">
      <alignment horizontal="center"/>
    </xf>
    <xf numFmtId="3" fontId="20" fillId="0" borderId="11" xfId="0" applyNumberFormat="1" applyFont="1" applyBorder="1" applyAlignment="1">
      <alignment horizontal="center" wrapText="1"/>
    </xf>
    <xf numFmtId="3" fontId="20" fillId="0" borderId="39" xfId="0" applyNumberFormat="1" applyFont="1" applyBorder="1" applyAlignment="1">
      <alignment horizontal="center" wrapText="1"/>
    </xf>
    <xf numFmtId="3" fontId="20" fillId="0" borderId="6" xfId="0" applyNumberFormat="1" applyFont="1" applyBorder="1" applyAlignment="1">
      <alignment horizontal="center" wrapText="1"/>
    </xf>
    <xf numFmtId="3" fontId="20" fillId="0" borderId="11" xfId="0" applyNumberFormat="1" applyFont="1" applyBorder="1" applyAlignment="1">
      <alignment horizontal="centerContinuous" vertical="center"/>
    </xf>
    <xf numFmtId="3" fontId="26" fillId="0" borderId="0" xfId="0" applyNumberFormat="1" applyFont="1" applyAlignment="1">
      <alignment horizontal="left" indent="1"/>
    </xf>
    <xf numFmtId="0" fontId="23" fillId="0" borderId="8" xfId="0" applyFont="1" applyBorder="1" applyAlignment="1">
      <alignment horizontal="left" indent="1"/>
    </xf>
    <xf numFmtId="0" fontId="21" fillId="0" borderId="8" xfId="0" applyFont="1" applyBorder="1" applyAlignment="1">
      <alignment horizontal="left" indent="1"/>
    </xf>
    <xf numFmtId="3" fontId="23" fillId="0" borderId="0" xfId="0" applyNumberFormat="1" applyFont="1" applyAlignment="1" applyProtection="1">
      <alignment horizontal="left" indent="1"/>
      <protection locked="0"/>
    </xf>
    <xf numFmtId="0" fontId="23" fillId="0" borderId="10" xfId="0" applyFont="1" applyBorder="1" applyAlignment="1">
      <alignment horizontal="left" indent="1"/>
    </xf>
    <xf numFmtId="0" fontId="20" fillId="0" borderId="11" xfId="0" applyFont="1" applyBorder="1" applyAlignment="1">
      <alignment horizontal="center"/>
    </xf>
    <xf numFmtId="0" fontId="17" fillId="0" borderId="9" xfId="0" applyFont="1" applyBorder="1"/>
    <xf numFmtId="0" fontId="22" fillId="0" borderId="30" xfId="0" applyFont="1" applyBorder="1" applyAlignment="1">
      <alignment horizontal="center"/>
    </xf>
    <xf numFmtId="0" fontId="21" fillId="0" borderId="56" xfId="0" applyFont="1" applyBorder="1"/>
    <xf numFmtId="0" fontId="20" fillId="0" borderId="9" xfId="0" applyFont="1" applyBorder="1" applyAlignment="1">
      <alignment horizontal="center"/>
    </xf>
    <xf numFmtId="3" fontId="35" fillId="0" borderId="0" xfId="0" applyNumberFormat="1" applyFont="1" applyAlignment="1">
      <alignment horizontal="center"/>
    </xf>
    <xf numFmtId="0" fontId="22" fillId="0" borderId="57" xfId="0" applyFont="1" applyBorder="1" applyAlignment="1">
      <alignment vertical="center"/>
    </xf>
    <xf numFmtId="1" fontId="20" fillId="0" borderId="6" xfId="0" applyNumberFormat="1" applyFont="1" applyBorder="1" applyAlignment="1">
      <alignment horizontal="center"/>
    </xf>
    <xf numFmtId="3" fontId="22" fillId="0" borderId="9" xfId="0" applyNumberFormat="1" applyFont="1" applyBorder="1" applyAlignment="1" applyProtection="1">
      <alignment horizontal="right"/>
    </xf>
    <xf numFmtId="0" fontId="21" fillId="0" borderId="0" xfId="0" applyFont="1" applyAlignment="1">
      <alignment horizontal="right"/>
    </xf>
    <xf numFmtId="0" fontId="20" fillId="0" borderId="0" xfId="0" applyFont="1" applyAlignment="1">
      <alignment horizontal="right"/>
    </xf>
    <xf numFmtId="0" fontId="40" fillId="0" borderId="0" xfId="0" applyFont="1"/>
    <xf numFmtId="0" fontId="21" fillId="0" borderId="17" xfId="0" applyFont="1" applyBorder="1"/>
    <xf numFmtId="0" fontId="20" fillId="0" borderId="17" xfId="0" applyFont="1" applyBorder="1" applyAlignment="1">
      <alignment horizontal="right"/>
    </xf>
    <xf numFmtId="3" fontId="20" fillId="0" borderId="30" xfId="0" applyNumberFormat="1" applyFont="1" applyBorder="1" applyAlignment="1">
      <alignment horizontal="center"/>
    </xf>
    <xf numFmtId="3" fontId="23" fillId="0" borderId="14" xfId="0" applyNumberFormat="1" applyFont="1" applyBorder="1" applyProtection="1">
      <protection locked="0"/>
    </xf>
    <xf numFmtId="3" fontId="23" fillId="0" borderId="58" xfId="0" applyNumberFormat="1" applyFont="1" applyBorder="1" applyProtection="1">
      <protection locked="0"/>
    </xf>
    <xf numFmtId="3" fontId="23" fillId="0" borderId="31" xfId="0" applyNumberFormat="1" applyFont="1" applyBorder="1" applyProtection="1">
      <protection locked="0"/>
    </xf>
    <xf numFmtId="3" fontId="23" fillId="0" borderId="59" xfId="0" applyNumberFormat="1" applyFont="1" applyBorder="1" applyProtection="1">
      <protection locked="0"/>
    </xf>
    <xf numFmtId="4" fontId="23" fillId="0" borderId="34" xfId="0" applyNumberFormat="1" applyFont="1" applyBorder="1" applyProtection="1">
      <protection locked="0"/>
    </xf>
    <xf numFmtId="4" fontId="23" fillId="0" borderId="35" xfId="0" applyNumberFormat="1" applyFont="1" applyBorder="1" applyProtection="1">
      <protection locked="0"/>
    </xf>
    <xf numFmtId="3" fontId="23" fillId="0" borderId="18" xfId="0" applyNumberFormat="1" applyFont="1" applyBorder="1" applyAlignment="1" applyProtection="1">
      <alignment horizontal="left" indent="1"/>
    </xf>
    <xf numFmtId="3" fontId="23" fillId="0" borderId="19" xfId="0" applyNumberFormat="1" applyFont="1" applyBorder="1" applyAlignment="1" applyProtection="1">
      <alignment horizontal="left" indent="1"/>
    </xf>
    <xf numFmtId="4" fontId="23" fillId="0" borderId="60" xfId="0" applyNumberFormat="1" applyFont="1" applyBorder="1" applyProtection="1">
      <protection locked="0"/>
    </xf>
    <xf numFmtId="166" fontId="23" fillId="2" borderId="61" xfId="6" applyNumberFormat="1" applyFont="1" applyFill="1" applyBorder="1" applyAlignment="1" applyProtection="1">
      <alignment horizontal="center"/>
      <protection locked="0"/>
    </xf>
    <xf numFmtId="3" fontId="23" fillId="0" borderId="62" xfId="0" applyNumberFormat="1" applyFont="1" applyBorder="1" applyProtection="1">
      <protection locked="0"/>
    </xf>
    <xf numFmtId="3" fontId="25" fillId="0" borderId="0" xfId="0" applyNumberFormat="1" applyFont="1" applyAlignment="1" applyProtection="1">
      <alignment horizontal="left"/>
      <protection locked="0"/>
    </xf>
    <xf numFmtId="3" fontId="15" fillId="0" borderId="0" xfId="0" applyNumberFormat="1" applyFont="1" applyAlignment="1" applyProtection="1">
      <alignment horizontal="center"/>
    </xf>
    <xf numFmtId="1" fontId="15" fillId="0" borderId="0" xfId="0" applyNumberFormat="1" applyFont="1" applyAlignment="1" applyProtection="1">
      <alignment horizontal="center"/>
    </xf>
    <xf numFmtId="3" fontId="17" fillId="0" borderId="0" xfId="0" applyNumberFormat="1" applyFont="1" applyProtection="1"/>
    <xf numFmtId="9" fontId="17" fillId="0" borderId="0" xfId="6" applyFont="1" applyFill="1" applyBorder="1" applyAlignment="1" applyProtection="1">
      <alignment horizontal="center"/>
    </xf>
    <xf numFmtId="3" fontId="20" fillId="0" borderId="0" xfId="0" applyNumberFormat="1" applyFont="1" applyProtection="1"/>
    <xf numFmtId="3" fontId="25" fillId="0" borderId="0" xfId="0" applyNumberFormat="1" applyFont="1" applyProtection="1"/>
    <xf numFmtId="3" fontId="20" fillId="0" borderId="0" xfId="0" applyNumberFormat="1" applyFont="1" applyAlignment="1" applyProtection="1">
      <alignment horizontal="center"/>
    </xf>
    <xf numFmtId="3" fontId="20" fillId="0" borderId="58" xfId="0" applyNumberFormat="1" applyFont="1" applyBorder="1" applyAlignment="1" applyProtection="1">
      <alignment horizontal="center"/>
    </xf>
    <xf numFmtId="3" fontId="23" fillId="0" borderId="54" xfId="0" applyNumberFormat="1" applyFont="1" applyBorder="1" applyProtection="1"/>
    <xf numFmtId="3" fontId="20" fillId="0" borderId="63" xfId="0" applyNumberFormat="1" applyFont="1" applyBorder="1" applyProtection="1"/>
    <xf numFmtId="3" fontId="20" fillId="0" borderId="26" xfId="0" applyNumberFormat="1" applyFont="1" applyBorder="1" applyProtection="1"/>
    <xf numFmtId="3" fontId="20" fillId="0" borderId="64" xfId="0" applyNumberFormat="1" applyFont="1" applyBorder="1" applyAlignment="1" applyProtection="1">
      <alignment horizontal="center"/>
    </xf>
    <xf numFmtId="3" fontId="20" fillId="0" borderId="65" xfId="0" applyNumberFormat="1" applyFont="1" applyBorder="1" applyProtection="1"/>
    <xf numFmtId="3" fontId="20" fillId="0" borderId="58" xfId="0" applyNumberFormat="1" applyFont="1" applyBorder="1" applyProtection="1"/>
    <xf numFmtId="3" fontId="20" fillId="0" borderId="39" xfId="0" applyNumberFormat="1" applyFont="1" applyBorder="1" applyProtection="1"/>
    <xf numFmtId="168" fontId="20" fillId="0" borderId="58" xfId="0" applyNumberFormat="1" applyFont="1" applyBorder="1" applyProtection="1"/>
    <xf numFmtId="0" fontId="23" fillId="0" borderId="50" xfId="0" applyFont="1" applyBorder="1" applyAlignment="1">
      <alignment vertical="center"/>
    </xf>
    <xf numFmtId="3" fontId="23" fillId="0" borderId="0" xfId="0" applyNumberFormat="1" applyFont="1" applyAlignment="1" applyProtection="1">
      <alignment vertical="center"/>
    </xf>
    <xf numFmtId="3" fontId="20" fillId="0" borderId="0" xfId="0" applyNumberFormat="1" applyFont="1" applyAlignment="1" applyProtection="1">
      <alignment vertical="center"/>
    </xf>
    <xf numFmtId="3" fontId="35" fillId="0" borderId="0" xfId="0" applyNumberFormat="1" applyFont="1" applyAlignment="1" applyProtection="1">
      <alignment horizontal="left" indent="1"/>
      <protection locked="0"/>
    </xf>
    <xf numFmtId="3" fontId="35" fillId="0" borderId="0" xfId="0" applyNumberFormat="1" applyFont="1" applyAlignment="1" applyProtection="1">
      <alignment horizontal="left" indent="1"/>
    </xf>
    <xf numFmtId="1" fontId="35" fillId="0" borderId="0" xfId="0" applyNumberFormat="1" applyFont="1" applyAlignment="1" applyProtection="1">
      <alignment horizontal="center"/>
    </xf>
    <xf numFmtId="3" fontId="20" fillId="0" borderId="39" xfId="0" applyNumberFormat="1" applyFont="1" applyBorder="1" applyAlignment="1" applyProtection="1">
      <alignment horizontal="center"/>
    </xf>
    <xf numFmtId="3" fontId="17" fillId="0" borderId="39" xfId="0" applyNumberFormat="1" applyFont="1" applyBorder="1" applyAlignment="1" applyProtection="1">
      <alignment horizontal="center" shrinkToFit="1"/>
    </xf>
    <xf numFmtId="3" fontId="20" fillId="0" borderId="10" xfId="0" applyNumberFormat="1" applyFont="1" applyBorder="1" applyProtection="1"/>
    <xf numFmtId="3" fontId="20" fillId="0" borderId="40" xfId="0" applyNumberFormat="1" applyFont="1" applyBorder="1" applyProtection="1"/>
    <xf numFmtId="3" fontId="20" fillId="0" borderId="10" xfId="0" applyNumberFormat="1" applyFont="1" applyBorder="1" applyAlignment="1" applyProtection="1">
      <alignment horizontal="center"/>
    </xf>
    <xf numFmtId="3" fontId="17" fillId="0" borderId="6" xfId="0" applyNumberFormat="1" applyFont="1" applyBorder="1" applyAlignment="1" applyProtection="1">
      <alignment horizontal="center" shrinkToFit="1"/>
    </xf>
    <xf numFmtId="3" fontId="17" fillId="0" borderId="11" xfId="0" applyNumberFormat="1" applyFont="1" applyBorder="1" applyAlignment="1" applyProtection="1">
      <alignment horizontal="center" shrinkToFit="1"/>
    </xf>
    <xf numFmtId="3" fontId="20" fillId="0" borderId="14" xfId="0" applyNumberFormat="1" applyFont="1" applyBorder="1" applyAlignment="1" applyProtection="1">
      <alignment horizontal="center"/>
    </xf>
    <xf numFmtId="3" fontId="20" fillId="0" borderId="30" xfId="0" applyNumberFormat="1" applyFont="1" applyBorder="1" applyProtection="1"/>
    <xf numFmtId="3" fontId="20" fillId="0" borderId="17" xfId="0" applyNumberFormat="1" applyFont="1" applyBorder="1" applyAlignment="1" applyProtection="1">
      <alignment horizontal="center"/>
    </xf>
    <xf numFmtId="3" fontId="20" fillId="0" borderId="14" xfId="0" applyNumberFormat="1" applyFont="1" applyBorder="1" applyProtection="1"/>
    <xf numFmtId="0" fontId="20" fillId="0" borderId="13" xfId="0" applyFont="1" applyBorder="1" applyAlignment="1">
      <alignment horizontal="right" vertical="center" indent="1"/>
    </xf>
    <xf numFmtId="0" fontId="20" fillId="0" borderId="13" xfId="0" applyFont="1" applyBorder="1" applyAlignment="1">
      <alignment horizontal="right" vertical="center" indent="2"/>
    </xf>
    <xf numFmtId="3" fontId="20" fillId="0" borderId="2" xfId="0" applyNumberFormat="1" applyFont="1" applyBorder="1" applyAlignment="1" applyProtection="1">
      <alignment horizontal="center" vertical="center"/>
    </xf>
    <xf numFmtId="3" fontId="22" fillId="0" borderId="2" xfId="0" applyNumberFormat="1" applyFont="1" applyBorder="1" applyAlignment="1" applyProtection="1">
      <alignment horizontal="center" vertical="center"/>
    </xf>
    <xf numFmtId="0" fontId="23" fillId="0" borderId="50" xfId="0" applyFont="1" applyBorder="1"/>
    <xf numFmtId="0" fontId="23" fillId="0" borderId="51" xfId="0" applyFont="1" applyBorder="1"/>
    <xf numFmtId="3" fontId="20" fillId="0" borderId="9" xfId="0" applyNumberFormat="1" applyFont="1" applyBorder="1" applyAlignment="1" applyProtection="1">
      <alignment horizontal="center"/>
    </xf>
    <xf numFmtId="3" fontId="23" fillId="0" borderId="49" xfId="0" applyNumberFormat="1" applyFont="1" applyBorder="1" applyAlignment="1" applyProtection="1">
      <alignment horizontal="left" indent="1"/>
    </xf>
    <xf numFmtId="3" fontId="23" fillId="0" borderId="7" xfId="0" applyNumberFormat="1" applyFont="1" applyBorder="1" applyAlignment="1" applyProtection="1">
      <alignment horizontal="left" indent="1"/>
    </xf>
    <xf numFmtId="3" fontId="20" fillId="0" borderId="16" xfId="0" applyNumberFormat="1" applyFont="1" applyBorder="1" applyAlignment="1" applyProtection="1">
      <alignment horizontal="right"/>
    </xf>
    <xf numFmtId="3" fontId="23" fillId="0" borderId="41" xfId="0" applyNumberFormat="1" applyFont="1" applyBorder="1" applyProtection="1"/>
    <xf numFmtId="3" fontId="23" fillId="0" borderId="51" xfId="0" applyNumberFormat="1" applyFont="1" applyBorder="1" applyProtection="1"/>
    <xf numFmtId="3" fontId="17" fillId="0" borderId="9" xfId="0" applyNumberFormat="1" applyFont="1" applyBorder="1" applyAlignment="1" applyProtection="1">
      <alignment horizontal="center"/>
    </xf>
    <xf numFmtId="3" fontId="22" fillId="0" borderId="16" xfId="0" applyNumberFormat="1" applyFont="1" applyBorder="1" applyAlignment="1" applyProtection="1">
      <alignment horizontal="left" indent="2"/>
    </xf>
    <xf numFmtId="3" fontId="22" fillId="0" borderId="9" xfId="0" applyNumberFormat="1" applyFont="1" applyBorder="1" applyAlignment="1" applyProtection="1">
      <alignment horizontal="left" indent="2"/>
    </xf>
    <xf numFmtId="3" fontId="20" fillId="0" borderId="66" xfId="0" applyNumberFormat="1" applyFont="1" applyBorder="1" applyProtection="1"/>
    <xf numFmtId="3" fontId="20" fillId="0" borderId="10" xfId="0" applyNumberFormat="1" applyFont="1" applyBorder="1" applyAlignment="1" applyProtection="1">
      <alignment horizontal="left" indent="1"/>
    </xf>
    <xf numFmtId="3" fontId="35" fillId="0" borderId="0" xfId="0" applyNumberFormat="1" applyFont="1" applyAlignment="1" applyProtection="1">
      <alignment horizontal="left"/>
      <protection locked="0"/>
    </xf>
    <xf numFmtId="3" fontId="35" fillId="0" borderId="0" xfId="0" applyNumberFormat="1" applyFont="1" applyProtection="1"/>
    <xf numFmtId="0" fontId="23" fillId="0" borderId="49" xfId="0" applyFont="1" applyBorder="1" applyAlignment="1">
      <alignment vertical="center"/>
    </xf>
    <xf numFmtId="0" fontId="23" fillId="0" borderId="7" xfId="0" applyFont="1" applyBorder="1" applyAlignment="1">
      <alignment vertical="center"/>
    </xf>
    <xf numFmtId="0" fontId="23" fillId="0" borderId="16" xfId="0" applyFont="1" applyBorder="1" applyAlignment="1">
      <alignment vertical="center"/>
    </xf>
    <xf numFmtId="0" fontId="20" fillId="0" borderId="62" xfId="0" applyFont="1" applyBorder="1" applyAlignment="1">
      <alignment horizontal="right" vertical="center" indent="1"/>
    </xf>
    <xf numFmtId="3" fontId="20" fillId="0" borderId="56" xfId="0" applyNumberFormat="1" applyFont="1" applyBorder="1" applyProtection="1"/>
    <xf numFmtId="3" fontId="22" fillId="0" borderId="11" xfId="0" applyNumberFormat="1" applyFont="1" applyBorder="1" applyAlignment="1" applyProtection="1">
      <alignment horizontal="center" vertical="center"/>
    </xf>
    <xf numFmtId="204" fontId="20" fillId="0" borderId="11" xfId="0" applyNumberFormat="1" applyFont="1" applyBorder="1" applyAlignment="1" applyProtection="1">
      <alignment vertical="center"/>
    </xf>
    <xf numFmtId="195" fontId="20" fillId="0" borderId="7" xfId="0" applyNumberFormat="1" applyFont="1" applyBorder="1" applyAlignment="1" applyProtection="1">
      <alignment vertical="center"/>
      <protection locked="0"/>
    </xf>
    <xf numFmtId="195" fontId="20" fillId="0" borderId="16" xfId="0" applyNumberFormat="1" applyFont="1" applyBorder="1" applyAlignment="1" applyProtection="1">
      <alignment horizontal="center" vertical="center"/>
      <protection locked="0"/>
    </xf>
    <xf numFmtId="195" fontId="20" fillId="0" borderId="13" xfId="0" applyNumberFormat="1" applyFont="1" applyBorder="1" applyAlignment="1" applyProtection="1">
      <alignment vertical="center"/>
      <protection locked="0"/>
    </xf>
    <xf numFmtId="195" fontId="20" fillId="0" borderId="62" xfId="0" applyNumberFormat="1" applyFont="1" applyBorder="1" applyAlignment="1" applyProtection="1">
      <alignment horizontal="center" vertical="center"/>
      <protection locked="0"/>
    </xf>
    <xf numFmtId="195" fontId="20" fillId="0" borderId="43" xfId="0" applyNumberFormat="1" applyFont="1" applyBorder="1" applyAlignment="1" applyProtection="1">
      <alignment vertical="center"/>
      <protection locked="0"/>
    </xf>
    <xf numFmtId="195" fontId="20" fillId="0" borderId="44" xfId="0" applyNumberFormat="1" applyFont="1" applyBorder="1" applyAlignment="1" applyProtection="1">
      <alignment horizontal="center" vertical="center"/>
      <protection locked="0"/>
    </xf>
    <xf numFmtId="195" fontId="20" fillId="0" borderId="12" xfId="0" applyNumberFormat="1" applyFont="1" applyBorder="1" applyAlignment="1" applyProtection="1">
      <alignment vertical="center"/>
      <protection locked="0"/>
    </xf>
    <xf numFmtId="195" fontId="20" fillId="0" borderId="19" xfId="0" applyNumberFormat="1" applyFont="1" applyBorder="1" applyAlignment="1" applyProtection="1">
      <alignment horizontal="center" vertical="center"/>
      <protection locked="0"/>
    </xf>
    <xf numFmtId="3" fontId="20" fillId="0" borderId="9" xfId="0" applyNumberFormat="1" applyFont="1" applyBorder="1" applyAlignment="1" applyProtection="1">
      <alignment horizontal="centerContinuous" vertical="center"/>
    </xf>
    <xf numFmtId="3" fontId="20" fillId="0" borderId="6" xfId="0" applyNumberFormat="1" applyFont="1" applyBorder="1" applyAlignment="1" applyProtection="1">
      <alignment horizontal="centerContinuous" vertical="center"/>
    </xf>
    <xf numFmtId="3" fontId="20" fillId="0" borderId="64" xfId="0" applyNumberFormat="1" applyFont="1" applyBorder="1" applyProtection="1"/>
    <xf numFmtId="204" fontId="20" fillId="2" borderId="9" xfId="0" applyNumberFormat="1" applyFont="1" applyFill="1" applyBorder="1" applyAlignment="1" applyProtection="1">
      <alignment vertical="center"/>
    </xf>
    <xf numFmtId="204" fontId="20" fillId="0" borderId="6" xfId="0" applyNumberFormat="1" applyFont="1" applyBorder="1" applyAlignment="1" applyProtection="1">
      <alignment vertical="center"/>
    </xf>
    <xf numFmtId="204" fontId="20" fillId="0" borderId="9" xfId="0" applyNumberFormat="1" applyFont="1" applyBorder="1" applyAlignment="1" applyProtection="1">
      <alignment vertical="center"/>
    </xf>
    <xf numFmtId="0" fontId="21" fillId="0" borderId="0" xfId="0" applyFont="1" applyAlignment="1">
      <alignment horizontal="centerContinuous"/>
    </xf>
    <xf numFmtId="200" fontId="21" fillId="0" borderId="30" xfId="0" applyNumberFormat="1" applyFont="1" applyBorder="1"/>
    <xf numFmtId="200" fontId="21" fillId="0" borderId="26" xfId="0" applyNumberFormat="1" applyFont="1" applyBorder="1"/>
    <xf numFmtId="0" fontId="21" fillId="0" borderId="26" xfId="0" applyFont="1" applyBorder="1" applyAlignment="1">
      <alignment horizontal="left" indent="1"/>
    </xf>
    <xf numFmtId="0" fontId="21" fillId="0" borderId="26" xfId="0" applyFont="1" applyBorder="1"/>
    <xf numFmtId="0" fontId="21" fillId="0" borderId="67" xfId="0" applyFont="1" applyBorder="1"/>
    <xf numFmtId="200" fontId="21" fillId="0" borderId="38" xfId="0" applyNumberFormat="1" applyFont="1" applyBorder="1"/>
    <xf numFmtId="200" fontId="21" fillId="0" borderId="67" xfId="0" applyNumberFormat="1" applyFont="1" applyBorder="1"/>
    <xf numFmtId="0" fontId="21" fillId="0" borderId="67" xfId="0" applyFont="1" applyBorder="1" applyAlignment="1">
      <alignment horizontal="left" indent="2"/>
    </xf>
    <xf numFmtId="0" fontId="21" fillId="0" borderId="13" xfId="0" applyFont="1" applyBorder="1"/>
    <xf numFmtId="200" fontId="21" fillId="0" borderId="12" xfId="0" applyNumberFormat="1" applyFont="1" applyBorder="1"/>
    <xf numFmtId="200" fontId="21" fillId="0" borderId="13" xfId="0" applyNumberFormat="1" applyFont="1" applyBorder="1"/>
    <xf numFmtId="0" fontId="21" fillId="0" borderId="13" xfId="0" applyFont="1" applyBorder="1" applyAlignment="1">
      <alignment horizontal="left" indent="2"/>
    </xf>
    <xf numFmtId="200" fontId="17" fillId="0" borderId="14" xfId="0" applyNumberFormat="1" applyFont="1" applyBorder="1"/>
    <xf numFmtId="200" fontId="17" fillId="0" borderId="0" xfId="0" applyNumberFormat="1" applyFont="1"/>
    <xf numFmtId="0" fontId="17" fillId="0" borderId="0" xfId="0" applyFont="1" applyAlignment="1">
      <alignment horizontal="left" indent="2"/>
    </xf>
    <xf numFmtId="0" fontId="21" fillId="0" borderId="14" xfId="0" applyFont="1" applyBorder="1"/>
    <xf numFmtId="201" fontId="17" fillId="0" borderId="11" xfId="0" applyNumberFormat="1" applyFont="1" applyBorder="1"/>
    <xf numFmtId="201" fontId="17" fillId="0" borderId="6" xfId="0" applyNumberFormat="1" applyFont="1" applyBorder="1"/>
    <xf numFmtId="0" fontId="21" fillId="0" borderId="6" xfId="0" applyFont="1" applyBorder="1"/>
    <xf numFmtId="3" fontId="41" fillId="0" borderId="14" xfId="0" applyNumberFormat="1" applyFont="1" applyBorder="1"/>
    <xf numFmtId="3" fontId="41" fillId="0" borderId="0" xfId="0" applyNumberFormat="1" applyFont="1"/>
    <xf numFmtId="0" fontId="41" fillId="0" borderId="0" xfId="0" applyFont="1" applyAlignment="1">
      <alignment horizontal="left" indent="1"/>
    </xf>
    <xf numFmtId="3" fontId="17" fillId="0" borderId="0" xfId="0" applyNumberFormat="1" applyFont="1" applyAlignment="1">
      <alignment vertical="center"/>
    </xf>
    <xf numFmtId="0" fontId="21" fillId="0" borderId="38" xfId="0" applyFont="1" applyBorder="1"/>
    <xf numFmtId="0" fontId="21" fillId="0" borderId="6" xfId="0" applyFont="1" applyBorder="1" applyAlignment="1">
      <alignment horizontal="left" indent="1"/>
    </xf>
    <xf numFmtId="3" fontId="35" fillId="0" borderId="9" xfId="0" applyNumberFormat="1" applyFont="1" applyBorder="1" applyAlignment="1">
      <alignment horizontal="centerContinuous"/>
    </xf>
    <xf numFmtId="3" fontId="25" fillId="0" borderId="10" xfId="0" applyNumberFormat="1" applyFont="1" applyBorder="1" applyAlignment="1">
      <alignment horizontal="centerContinuous"/>
    </xf>
    <xf numFmtId="0" fontId="21" fillId="0" borderId="68" xfId="0" applyFont="1" applyBorder="1" applyAlignment="1">
      <alignment horizontal="centerContinuous"/>
    </xf>
    <xf numFmtId="0" fontId="21" fillId="0" borderId="40" xfId="0" applyFont="1" applyBorder="1"/>
    <xf numFmtId="0" fontId="21" fillId="0" borderId="69" xfId="0" applyFont="1" applyBorder="1"/>
    <xf numFmtId="0" fontId="21" fillId="0" borderId="70" xfId="0" applyFont="1" applyBorder="1"/>
    <xf numFmtId="0" fontId="21" fillId="0" borderId="7" xfId="0" applyFont="1" applyBorder="1"/>
    <xf numFmtId="0" fontId="21" fillId="0" borderId="68" xfId="0" applyFont="1" applyBorder="1"/>
    <xf numFmtId="0" fontId="21" fillId="0" borderId="1" xfId="0" applyFont="1" applyBorder="1"/>
    <xf numFmtId="0" fontId="21" fillId="0" borderId="26" xfId="0" applyFont="1" applyBorder="1" applyAlignment="1">
      <alignment horizontal="right" indent="1"/>
    </xf>
    <xf numFmtId="0" fontId="21" fillId="0" borderId="67" xfId="0" applyFont="1" applyBorder="1" applyAlignment="1">
      <alignment horizontal="right" indent="1"/>
    </xf>
    <xf numFmtId="0" fontId="21" fillId="0" borderId="13" xfId="0" applyFont="1" applyBorder="1" applyAlignment="1">
      <alignment horizontal="right" indent="1"/>
    </xf>
    <xf numFmtId="0" fontId="17" fillId="0" borderId="0" xfId="0" applyFont="1" applyAlignment="1">
      <alignment horizontal="right" indent="1"/>
    </xf>
    <xf numFmtId="0" fontId="21" fillId="0" borderId="6" xfId="0" applyFont="1" applyBorder="1" applyAlignment="1">
      <alignment horizontal="right" indent="1"/>
    </xf>
    <xf numFmtId="3" fontId="25" fillId="0" borderId="0" xfId="0" applyNumberFormat="1" applyFont="1" applyAlignment="1">
      <alignment horizontal="center" vertical="center"/>
    </xf>
    <xf numFmtId="0" fontId="17" fillId="0" borderId="9" xfId="0" applyFont="1" applyBorder="1" applyAlignment="1">
      <alignment horizontal="centerContinuous" vertical="center" wrapText="1"/>
    </xf>
    <xf numFmtId="3" fontId="14" fillId="0" borderId="11" xfId="0" applyNumberFormat="1" applyFont="1" applyBorder="1" applyAlignment="1">
      <alignment horizontal="center" vertical="center"/>
    </xf>
    <xf numFmtId="0" fontId="17" fillId="0" borderId="9" xfId="0" applyFont="1" applyBorder="1" applyAlignment="1">
      <alignment horizontal="centerContinuous" wrapText="1"/>
    </xf>
    <xf numFmtId="179" fontId="20" fillId="0" borderId="11" xfId="0" applyNumberFormat="1" applyFont="1" applyBorder="1" applyAlignment="1">
      <alignment horizontal="center" vertical="center" wrapText="1"/>
    </xf>
    <xf numFmtId="0" fontId="17" fillId="0" borderId="30" xfId="0" applyFont="1" applyBorder="1" applyAlignment="1">
      <alignment horizontal="center" vertical="center" wrapText="1"/>
    </xf>
    <xf numFmtId="166" fontId="38" fillId="0" borderId="15" xfId="6" applyNumberFormat="1" applyFont="1" applyFill="1" applyBorder="1" applyAlignment="1" applyProtection="1">
      <alignment horizontal="center"/>
    </xf>
    <xf numFmtId="166" fontId="38" fillId="0" borderId="23" xfId="6" applyNumberFormat="1" applyFont="1" applyFill="1" applyBorder="1" applyAlignment="1" applyProtection="1">
      <alignment horizontal="center"/>
    </xf>
    <xf numFmtId="166" fontId="38" fillId="0" borderId="17" xfId="6" applyNumberFormat="1" applyFont="1" applyFill="1" applyBorder="1" applyAlignment="1" applyProtection="1">
      <alignment horizontal="center"/>
    </xf>
    <xf numFmtId="166" fontId="38" fillId="0" borderId="34" xfId="6" applyNumberFormat="1" applyFont="1" applyFill="1" applyBorder="1" applyAlignment="1" applyProtection="1">
      <alignment horizontal="center"/>
    </xf>
    <xf numFmtId="3" fontId="26" fillId="0" borderId="0" xfId="0" applyNumberFormat="1" applyFont="1"/>
    <xf numFmtId="3" fontId="17" fillId="0" borderId="56" xfId="0" applyNumberFormat="1" applyFont="1" applyBorder="1" applyAlignment="1">
      <alignment horizontal="centerContinuous" vertical="center"/>
    </xf>
    <xf numFmtId="0" fontId="21" fillId="0" borderId="40" xfId="0" applyFont="1" applyBorder="1" applyAlignment="1">
      <alignment horizontal="centerContinuous" vertical="center"/>
    </xf>
    <xf numFmtId="0" fontId="21" fillId="0" borderId="1" xfId="0" applyFont="1" applyBorder="1" applyAlignment="1">
      <alignment horizontal="centerContinuous" vertical="center"/>
    </xf>
    <xf numFmtId="3" fontId="17" fillId="0" borderId="9" xfId="0" applyNumberFormat="1" applyFont="1" applyBorder="1" applyAlignment="1">
      <alignment horizontal="centerContinuous" vertical="center" wrapText="1"/>
    </xf>
    <xf numFmtId="166" fontId="21" fillId="2" borderId="18" xfId="0" applyNumberFormat="1" applyFont="1" applyFill="1" applyBorder="1" applyAlignment="1" applyProtection="1">
      <alignment horizontal="center" vertical="center"/>
      <protection locked="0"/>
    </xf>
    <xf numFmtId="166" fontId="21" fillId="2" borderId="12" xfId="0" applyNumberFormat="1" applyFont="1" applyFill="1" applyBorder="1" applyAlignment="1" applyProtection="1">
      <alignment horizontal="center" vertical="center"/>
      <protection locked="0"/>
    </xf>
    <xf numFmtId="166" fontId="21" fillId="2" borderId="19" xfId="0" applyNumberFormat="1" applyFont="1" applyFill="1" applyBorder="1" applyAlignment="1" applyProtection="1">
      <alignment horizontal="center" vertical="center"/>
      <protection locked="0"/>
    </xf>
    <xf numFmtId="0" fontId="35" fillId="0" borderId="0" xfId="0" applyFont="1" applyProtection="1"/>
    <xf numFmtId="9" fontId="20" fillId="0" borderId="0" xfId="0" applyNumberFormat="1" applyFont="1"/>
    <xf numFmtId="3" fontId="43" fillId="0" borderId="0" xfId="0" applyNumberFormat="1" applyFont="1"/>
    <xf numFmtId="3" fontId="34" fillId="0" borderId="0" xfId="0" applyNumberFormat="1" applyFont="1" applyAlignment="1" applyProtection="1">
      <alignment horizontal="left"/>
      <protection locked="0"/>
    </xf>
    <xf numFmtId="3" fontId="34" fillId="0" borderId="0" xfId="0" applyNumberFormat="1" applyFont="1"/>
    <xf numFmtId="3" fontId="34" fillId="0" borderId="0" xfId="0" applyNumberFormat="1" applyFont="1" applyAlignment="1">
      <alignment horizontal="center"/>
    </xf>
    <xf numFmtId="195" fontId="34" fillId="0" borderId="15" xfId="0" applyNumberFormat="1" applyFont="1" applyBorder="1" applyAlignment="1">
      <alignment shrinkToFit="1"/>
    </xf>
    <xf numFmtId="3" fontId="34" fillId="0" borderId="0" xfId="0" applyNumberFormat="1" applyFont="1" applyAlignment="1">
      <alignment vertical="center"/>
    </xf>
    <xf numFmtId="3" fontId="22" fillId="0" borderId="11" xfId="0" applyNumberFormat="1" applyFont="1" applyBorder="1" applyAlignment="1">
      <alignment horizontal="center" vertical="center"/>
    </xf>
    <xf numFmtId="3" fontId="17" fillId="0" borderId="11" xfId="0" applyNumberFormat="1" applyFont="1" applyBorder="1" applyAlignment="1">
      <alignment horizontal="center" shrinkToFit="1"/>
    </xf>
    <xf numFmtId="3" fontId="22" fillId="0" borderId="18" xfId="0" applyNumberFormat="1" applyFont="1" applyBorder="1" applyAlignment="1">
      <alignment horizontal="left" indent="1"/>
    </xf>
    <xf numFmtId="3" fontId="38" fillId="0" borderId="12" xfId="0" applyNumberFormat="1" applyFont="1" applyBorder="1" applyAlignment="1">
      <alignment horizontal="left" indent="1"/>
    </xf>
    <xf numFmtId="3" fontId="22" fillId="0" borderId="12" xfId="0" applyNumberFormat="1" applyFont="1" applyBorder="1" applyAlignment="1">
      <alignment horizontal="left" indent="1"/>
    </xf>
    <xf numFmtId="3" fontId="22" fillId="0" borderId="11" xfId="0" applyNumberFormat="1" applyFont="1" applyBorder="1" applyAlignment="1">
      <alignment horizontal="left" vertical="center" indent="2"/>
    </xf>
    <xf numFmtId="204" fontId="44" fillId="0" borderId="11" xfId="0" applyNumberFormat="1" applyFont="1" applyBorder="1" applyAlignment="1">
      <alignment vertical="center" shrinkToFit="1"/>
    </xf>
    <xf numFmtId="1" fontId="35" fillId="0" borderId="0" xfId="0" applyNumberFormat="1" applyFont="1"/>
    <xf numFmtId="3" fontId="29" fillId="0" borderId="0" xfId="0" applyNumberFormat="1" applyFont="1"/>
    <xf numFmtId="200" fontId="20" fillId="0" borderId="18" xfId="0" applyNumberFormat="1" applyFont="1" applyBorder="1"/>
    <xf numFmtId="200" fontId="20" fillId="0" borderId="12" xfId="0" applyNumberFormat="1" applyFont="1" applyBorder="1"/>
    <xf numFmtId="200" fontId="20" fillId="0" borderId="38" xfId="0" applyNumberFormat="1" applyFont="1" applyBorder="1"/>
    <xf numFmtId="200" fontId="20" fillId="0" borderId="11" xfId="0" applyNumberFormat="1" applyFont="1" applyBorder="1"/>
    <xf numFmtId="3" fontId="20" fillId="0" borderId="39" xfId="0" applyNumberFormat="1" applyFont="1" applyBorder="1" applyAlignment="1">
      <alignment horizontal="center"/>
    </xf>
    <xf numFmtId="3" fontId="20" fillId="0" borderId="11" xfId="0" applyNumberFormat="1" applyFont="1" applyBorder="1" applyAlignment="1">
      <alignment horizontal="right"/>
    </xf>
    <xf numFmtId="200" fontId="20" fillId="0" borderId="19" xfId="0" applyNumberFormat="1" applyFont="1" applyBorder="1"/>
    <xf numFmtId="215" fontId="23" fillId="0" borderId="21" xfId="6" applyNumberFormat="1" applyFont="1" applyFill="1" applyBorder="1" applyAlignment="1"/>
    <xf numFmtId="215" fontId="23" fillId="0" borderId="71" xfId="6" applyNumberFormat="1" applyFont="1" applyFill="1" applyBorder="1" applyAlignment="1"/>
    <xf numFmtId="215" fontId="23" fillId="0" borderId="2" xfId="6" applyNumberFormat="1" applyFont="1" applyFill="1" applyBorder="1" applyAlignment="1"/>
    <xf numFmtId="215" fontId="23" fillId="0" borderId="50" xfId="6" applyNumberFormat="1" applyFont="1" applyFill="1" applyBorder="1" applyAlignment="1"/>
    <xf numFmtId="215" fontId="23" fillId="0" borderId="35" xfId="6" applyNumberFormat="1" applyFont="1" applyFill="1" applyBorder="1" applyAlignment="1"/>
    <xf numFmtId="215" fontId="23" fillId="0" borderId="60" xfId="6" applyNumberFormat="1" applyFont="1" applyFill="1" applyBorder="1" applyAlignment="1"/>
    <xf numFmtId="215" fontId="23" fillId="0" borderId="72" xfId="0" applyNumberFormat="1" applyFont="1" applyBorder="1"/>
    <xf numFmtId="215" fontId="20" fillId="0" borderId="11" xfId="0" applyNumberFormat="1" applyFont="1" applyBorder="1"/>
    <xf numFmtId="3" fontId="22" fillId="0" borderId="11" xfId="0" applyNumberFormat="1" applyFont="1" applyBorder="1" applyAlignment="1">
      <alignment horizontal="center" vertical="center" shrinkToFit="1"/>
    </xf>
    <xf numFmtId="3" fontId="22" fillId="0" borderId="37" xfId="0" applyNumberFormat="1" applyFont="1" applyBorder="1" applyAlignment="1">
      <alignment horizontal="center" vertical="center" shrinkToFit="1"/>
    </xf>
    <xf numFmtId="3" fontId="22" fillId="0" borderId="36" xfId="0" applyNumberFormat="1" applyFont="1" applyBorder="1" applyAlignment="1">
      <alignment horizontal="center" vertical="center" shrinkToFit="1"/>
    </xf>
    <xf numFmtId="3" fontId="22" fillId="0" borderId="72" xfId="0" applyNumberFormat="1" applyFont="1" applyBorder="1" applyAlignment="1">
      <alignment horizontal="center" vertical="center" shrinkToFit="1"/>
    </xf>
    <xf numFmtId="3" fontId="17" fillId="0" borderId="0" xfId="0" applyNumberFormat="1" applyFont="1" applyAlignment="1">
      <alignment vertical="center" shrinkToFit="1"/>
    </xf>
    <xf numFmtId="3" fontId="21" fillId="0" borderId="0" xfId="0" applyNumberFormat="1" applyFont="1" applyAlignment="1">
      <alignment vertical="center" shrinkToFit="1"/>
    </xf>
    <xf numFmtId="3" fontId="22" fillId="0" borderId="39" xfId="0" applyNumberFormat="1" applyFont="1" applyBorder="1" applyAlignment="1">
      <alignment horizontal="center" vertical="center" shrinkToFit="1"/>
    </xf>
    <xf numFmtId="3" fontId="38" fillId="0" borderId="0" xfId="0" applyNumberFormat="1" applyFont="1" applyAlignment="1">
      <alignment vertical="center" shrinkToFit="1"/>
    </xf>
    <xf numFmtId="3" fontId="22" fillId="0" borderId="11" xfId="0" applyNumberFormat="1" applyFont="1" applyBorder="1" applyAlignment="1">
      <alignment horizontal="centerContinuous" vertical="center" shrinkToFit="1"/>
    </xf>
    <xf numFmtId="3" fontId="22" fillId="0" borderId="0" xfId="0" applyNumberFormat="1" applyFont="1" applyAlignment="1">
      <alignment horizontal="center" vertical="center" shrinkToFit="1"/>
    </xf>
    <xf numFmtId="3" fontId="22" fillId="0" borderId="9" xfId="0" applyNumberFormat="1" applyFont="1" applyBorder="1" applyAlignment="1">
      <alignment horizontal="center" vertical="center" shrinkToFit="1"/>
    </xf>
    <xf numFmtId="3" fontId="25" fillId="0" borderId="0" xfId="0" applyNumberFormat="1" applyFont="1" applyAlignment="1" applyProtection="1">
      <alignment horizontal="left"/>
    </xf>
    <xf numFmtId="3" fontId="35" fillId="0" borderId="0" xfId="0" applyNumberFormat="1" applyFont="1" applyAlignment="1" applyProtection="1">
      <alignment horizontal="left"/>
    </xf>
    <xf numFmtId="0" fontId="17" fillId="0" borderId="73" xfId="0" applyFont="1" applyBorder="1" applyAlignment="1" applyProtection="1">
      <alignment horizontal="center" vertical="center"/>
    </xf>
    <xf numFmtId="0" fontId="17" fillId="0" borderId="0" xfId="0" applyFont="1" applyAlignment="1" applyProtection="1">
      <alignment horizontal="center" vertical="center"/>
    </xf>
    <xf numFmtId="192" fontId="17" fillId="0" borderId="74" xfId="0" applyNumberFormat="1" applyFont="1" applyBorder="1" applyAlignment="1" applyProtection="1">
      <alignment vertical="center"/>
    </xf>
    <xf numFmtId="189" fontId="17" fillId="0" borderId="50" xfId="0" applyNumberFormat="1" applyFont="1" applyBorder="1" applyAlignment="1" applyProtection="1">
      <alignment vertical="center"/>
    </xf>
    <xf numFmtId="190" fontId="17" fillId="0" borderId="23" xfId="0" applyNumberFormat="1" applyFont="1" applyBorder="1" applyAlignment="1" applyProtection="1">
      <alignment vertical="center"/>
    </xf>
    <xf numFmtId="189" fontId="17" fillId="0" borderId="75" xfId="0" applyNumberFormat="1" applyFont="1" applyBorder="1" applyAlignment="1" applyProtection="1">
      <alignment vertical="center"/>
    </xf>
    <xf numFmtId="0" fontId="17" fillId="0" borderId="9" xfId="0" applyFont="1" applyBorder="1" applyAlignment="1" applyProtection="1">
      <alignment horizontal="center" vertical="center"/>
    </xf>
    <xf numFmtId="0" fontId="17" fillId="0" borderId="6" xfId="0" applyFont="1" applyBorder="1" applyAlignment="1" applyProtection="1">
      <alignment horizontal="center" vertical="center"/>
    </xf>
    <xf numFmtId="0" fontId="17" fillId="0" borderId="76" xfId="0" applyFont="1" applyBorder="1" applyAlignment="1" applyProtection="1">
      <alignment horizontal="center" vertical="center"/>
    </xf>
    <xf numFmtId="1" fontId="17" fillId="0" borderId="9" xfId="0" applyNumberFormat="1" applyFont="1" applyBorder="1" applyAlignment="1" applyProtection="1">
      <alignment horizontal="centerContinuous" vertical="center"/>
    </xf>
    <xf numFmtId="0" fontId="17" fillId="0" borderId="25" xfId="0" applyFont="1" applyBorder="1" applyAlignment="1" applyProtection="1">
      <alignment horizontal="centerContinuous" vertical="center"/>
    </xf>
    <xf numFmtId="3" fontId="17" fillId="0" borderId="16" xfId="0" applyNumberFormat="1" applyFont="1" applyBorder="1" applyAlignment="1" applyProtection="1">
      <alignment horizontal="left" vertical="center" indent="1"/>
    </xf>
    <xf numFmtId="189" fontId="17" fillId="0" borderId="13" xfId="0" applyNumberFormat="1" applyFont="1" applyBorder="1" applyAlignment="1" applyProtection="1">
      <alignment vertical="center"/>
    </xf>
    <xf numFmtId="190" fontId="17" fillId="0" borderId="48" xfId="0" applyNumberFormat="1" applyFont="1" applyBorder="1" applyAlignment="1" applyProtection="1">
      <alignment vertical="center"/>
    </xf>
    <xf numFmtId="190" fontId="17" fillId="0" borderId="54" xfId="0" applyNumberFormat="1" applyFont="1" applyBorder="1" applyAlignment="1" applyProtection="1">
      <alignment vertical="center"/>
    </xf>
    <xf numFmtId="189" fontId="17" fillId="0" borderId="55" xfId="0" applyNumberFormat="1" applyFont="1" applyBorder="1" applyAlignment="1" applyProtection="1">
      <alignment vertical="center"/>
    </xf>
    <xf numFmtId="189" fontId="17" fillId="0" borderId="77" xfId="0" applyNumberFormat="1" applyFont="1" applyBorder="1" applyAlignment="1" applyProtection="1">
      <alignment vertical="center"/>
    </xf>
    <xf numFmtId="189" fontId="17" fillId="0" borderId="78" xfId="0" applyNumberFormat="1" applyFont="1" applyBorder="1" applyAlignment="1" applyProtection="1">
      <alignment vertical="center"/>
    </xf>
    <xf numFmtId="189" fontId="17" fillId="0" borderId="79" xfId="0" applyNumberFormat="1" applyFont="1" applyBorder="1" applyAlignment="1" applyProtection="1">
      <alignment vertical="center"/>
    </xf>
    <xf numFmtId="190" fontId="21" fillId="0" borderId="23" xfId="0" applyNumberFormat="1" applyFont="1" applyBorder="1" applyAlignment="1" applyProtection="1">
      <alignment vertical="center"/>
    </xf>
    <xf numFmtId="190" fontId="21" fillId="0" borderId="51" xfId="0" applyNumberFormat="1" applyFont="1" applyBorder="1" applyAlignment="1" applyProtection="1">
      <alignment vertical="center"/>
    </xf>
    <xf numFmtId="189" fontId="21" fillId="0" borderId="50" xfId="0" applyNumberFormat="1" applyFont="1" applyBorder="1" applyAlignment="1" applyProtection="1">
      <alignment vertical="center"/>
    </xf>
    <xf numFmtId="189" fontId="21" fillId="0" borderId="13" xfId="0" applyNumberFormat="1" applyFont="1" applyBorder="1" applyAlignment="1" applyProtection="1">
      <alignment vertical="center"/>
    </xf>
    <xf numFmtId="189" fontId="21" fillId="0" borderId="75" xfId="0" applyNumberFormat="1" applyFont="1" applyBorder="1" applyAlignment="1" applyProtection="1">
      <alignment vertical="center"/>
    </xf>
    <xf numFmtId="190" fontId="21" fillId="0" borderId="45" xfId="0" applyNumberFormat="1" applyFont="1" applyBorder="1" applyAlignment="1" applyProtection="1">
      <alignment vertical="center"/>
    </xf>
    <xf numFmtId="190" fontId="21" fillId="0" borderId="52" xfId="0" applyNumberFormat="1" applyFont="1" applyBorder="1" applyAlignment="1" applyProtection="1">
      <alignment vertical="center"/>
    </xf>
    <xf numFmtId="189" fontId="17" fillId="0" borderId="53" xfId="0" applyNumberFormat="1" applyFont="1" applyBorder="1" applyAlignment="1" applyProtection="1">
      <alignment vertical="center"/>
    </xf>
    <xf numFmtId="189" fontId="21" fillId="0" borderId="67" xfId="0" applyNumberFormat="1" applyFont="1" applyBorder="1" applyAlignment="1" applyProtection="1">
      <alignment vertical="center"/>
    </xf>
    <xf numFmtId="189" fontId="21" fillId="0" borderId="80" xfId="0" applyNumberFormat="1" applyFont="1" applyBorder="1" applyAlignment="1" applyProtection="1">
      <alignment vertical="center"/>
    </xf>
    <xf numFmtId="192" fontId="17" fillId="0" borderId="24" xfId="0" applyNumberFormat="1" applyFont="1" applyBorder="1" applyAlignment="1" applyProtection="1">
      <alignment vertical="center"/>
    </xf>
    <xf numFmtId="192" fontId="17" fillId="0" borderId="13" xfId="0" applyNumberFormat="1" applyFont="1" applyBorder="1" applyAlignment="1" applyProtection="1">
      <alignment vertical="center"/>
    </xf>
    <xf numFmtId="192" fontId="17" fillId="0" borderId="75" xfId="0" applyNumberFormat="1" applyFont="1" applyBorder="1" applyAlignment="1" applyProtection="1">
      <alignment vertical="center"/>
    </xf>
    <xf numFmtId="204" fontId="17" fillId="0" borderId="23" xfId="0" applyNumberFormat="1" applyFont="1" applyBorder="1" applyAlignment="1" applyProtection="1">
      <alignment vertical="center"/>
    </xf>
    <xf numFmtId="204" fontId="17" fillId="0" borderId="51" xfId="0" applyNumberFormat="1" applyFont="1" applyBorder="1" applyAlignment="1" applyProtection="1">
      <alignment vertical="center"/>
    </xf>
    <xf numFmtId="192" fontId="21" fillId="0" borderId="75" xfId="0" applyNumberFormat="1" applyFont="1" applyBorder="1" applyAlignment="1" applyProtection="1">
      <alignment vertical="center"/>
    </xf>
    <xf numFmtId="190" fontId="17" fillId="0" borderId="45" xfId="0" applyNumberFormat="1" applyFont="1" applyBorder="1" applyAlignment="1" applyProtection="1">
      <alignment vertical="center"/>
    </xf>
    <xf numFmtId="190" fontId="17" fillId="0" borderId="52" xfId="0" applyNumberFormat="1" applyFont="1" applyBorder="1" applyAlignment="1" applyProtection="1">
      <alignment vertical="center"/>
    </xf>
    <xf numFmtId="189" fontId="17" fillId="0" borderId="67" xfId="0" applyNumberFormat="1" applyFont="1" applyBorder="1" applyAlignment="1" applyProtection="1">
      <alignment vertical="center"/>
    </xf>
    <xf numFmtId="189" fontId="17" fillId="0" borderId="80" xfId="0" applyNumberFormat="1" applyFont="1" applyBorder="1" applyAlignment="1" applyProtection="1">
      <alignment vertical="center"/>
    </xf>
    <xf numFmtId="190" fontId="21" fillId="0" borderId="20" xfId="0" applyNumberFormat="1" applyFont="1" applyBorder="1" applyAlignment="1" applyProtection="1">
      <alignment vertical="center"/>
    </xf>
    <xf numFmtId="190" fontId="21" fillId="0" borderId="41" xfId="0" applyNumberFormat="1" applyFont="1" applyBorder="1" applyAlignment="1" applyProtection="1">
      <alignment vertical="center"/>
    </xf>
    <xf numFmtId="189" fontId="21" fillId="0" borderId="71" xfId="0" applyNumberFormat="1" applyFont="1" applyBorder="1" applyAlignment="1" applyProtection="1">
      <alignment vertical="center"/>
    </xf>
    <xf numFmtId="189" fontId="21" fillId="0" borderId="61" xfId="0" applyNumberFormat="1" applyFont="1" applyBorder="1" applyAlignment="1" applyProtection="1">
      <alignment vertical="center"/>
    </xf>
    <xf numFmtId="189" fontId="21" fillId="0" borderId="81" xfId="0" applyNumberFormat="1" applyFont="1" applyBorder="1" applyAlignment="1" applyProtection="1">
      <alignment vertical="center"/>
    </xf>
    <xf numFmtId="190" fontId="17" fillId="0" borderId="34" xfId="0" applyNumberFormat="1" applyFont="1" applyBorder="1" applyAlignment="1" applyProtection="1">
      <alignment vertical="center"/>
    </xf>
    <xf numFmtId="190" fontId="17" fillId="0" borderId="63" xfId="0" applyNumberFormat="1" applyFont="1" applyBorder="1" applyAlignment="1" applyProtection="1">
      <alignment vertical="center"/>
    </xf>
    <xf numFmtId="189" fontId="17" fillId="0" borderId="60" xfId="0" applyNumberFormat="1" applyFont="1" applyBorder="1" applyAlignment="1" applyProtection="1">
      <alignment vertical="center"/>
    </xf>
    <xf numFmtId="189" fontId="17" fillId="0" borderId="62" xfId="0" applyNumberFormat="1" applyFont="1" applyBorder="1" applyAlignment="1" applyProtection="1">
      <alignment vertical="center"/>
    </xf>
    <xf numFmtId="189" fontId="17" fillId="0" borderId="82" xfId="0" applyNumberFormat="1" applyFont="1" applyBorder="1" applyAlignment="1" applyProtection="1">
      <alignment vertical="center"/>
    </xf>
    <xf numFmtId="190" fontId="17" fillId="0" borderId="33" xfId="0" applyNumberFormat="1" applyFont="1" applyBorder="1" applyAlignment="1" applyProtection="1">
      <alignment vertical="center"/>
    </xf>
    <xf numFmtId="190" fontId="17" fillId="0" borderId="58" xfId="0" applyNumberFormat="1" applyFont="1" applyBorder="1" applyAlignment="1" applyProtection="1">
      <alignment vertical="center"/>
    </xf>
    <xf numFmtId="189" fontId="17" fillId="0" borderId="59" xfId="0" applyNumberFormat="1" applyFont="1" applyBorder="1" applyAlignment="1" applyProtection="1">
      <alignment vertical="center"/>
    </xf>
    <xf numFmtId="189" fontId="17" fillId="0" borderId="0" xfId="0" applyNumberFormat="1" applyFont="1" applyAlignment="1" applyProtection="1">
      <alignment vertical="center"/>
    </xf>
    <xf numFmtId="189" fontId="17" fillId="0" borderId="83" xfId="0" applyNumberFormat="1" applyFont="1" applyBorder="1" applyAlignment="1" applyProtection="1">
      <alignment vertical="center"/>
    </xf>
    <xf numFmtId="191" fontId="17" fillId="0" borderId="48" xfId="0" applyNumberFormat="1" applyFont="1" applyBorder="1" applyAlignment="1" applyProtection="1">
      <alignment vertical="center"/>
    </xf>
    <xf numFmtId="192" fontId="17" fillId="0" borderId="5" xfId="0" applyNumberFormat="1" applyFont="1" applyBorder="1" applyAlignment="1" applyProtection="1">
      <alignment vertical="center"/>
    </xf>
    <xf numFmtId="191" fontId="17" fillId="0" borderId="54" xfId="0" applyNumberFormat="1" applyFont="1" applyBorder="1" applyAlignment="1" applyProtection="1">
      <alignment vertical="center"/>
    </xf>
    <xf numFmtId="192" fontId="17" fillId="0" borderId="77" xfId="0" applyNumberFormat="1" applyFont="1" applyBorder="1" applyAlignment="1" applyProtection="1">
      <alignment vertical="center"/>
    </xf>
    <xf numFmtId="192" fontId="17" fillId="0" borderId="78" xfId="0" applyNumberFormat="1" applyFont="1" applyBorder="1" applyAlignment="1" applyProtection="1">
      <alignment vertical="center"/>
    </xf>
    <xf numFmtId="192" fontId="17" fillId="0" borderId="25" xfId="0" applyNumberFormat="1" applyFont="1" applyBorder="1" applyAlignment="1" applyProtection="1">
      <alignment vertical="center"/>
    </xf>
    <xf numFmtId="192" fontId="17" fillId="0" borderId="6" xfId="0" applyNumberFormat="1" applyFont="1" applyBorder="1" applyAlignment="1" applyProtection="1">
      <alignment vertical="center"/>
    </xf>
    <xf numFmtId="192" fontId="17" fillId="0" borderId="76" xfId="0" applyNumberFormat="1" applyFont="1" applyBorder="1" applyAlignment="1" applyProtection="1">
      <alignment vertical="center"/>
    </xf>
    <xf numFmtId="191" fontId="21" fillId="0" borderId="45" xfId="0" applyNumberFormat="1" applyFont="1" applyBorder="1" applyAlignment="1" applyProtection="1">
      <alignment vertical="center"/>
    </xf>
    <xf numFmtId="192" fontId="21" fillId="0" borderId="47" xfId="0" applyNumberFormat="1" applyFont="1" applyBorder="1" applyAlignment="1" applyProtection="1">
      <alignment vertical="center"/>
    </xf>
    <xf numFmtId="191" fontId="21" fillId="0" borderId="52" xfId="0" applyNumberFormat="1" applyFont="1" applyBorder="1" applyAlignment="1" applyProtection="1">
      <alignment vertical="center"/>
    </xf>
    <xf numFmtId="192" fontId="21" fillId="0" borderId="67" xfId="0" applyNumberFormat="1" applyFont="1" applyBorder="1" applyAlignment="1" applyProtection="1">
      <alignment vertical="center"/>
    </xf>
    <xf numFmtId="192" fontId="21" fillId="0" borderId="80" xfId="0" applyNumberFormat="1" applyFont="1" applyBorder="1" applyAlignment="1" applyProtection="1">
      <alignment vertical="center"/>
    </xf>
    <xf numFmtId="219" fontId="17" fillId="0" borderId="37" xfId="0" applyNumberFormat="1" applyFont="1" applyBorder="1" applyAlignment="1" applyProtection="1">
      <alignment vertical="center"/>
    </xf>
    <xf numFmtId="219" fontId="17" fillId="0" borderId="39" xfId="0" applyNumberFormat="1" applyFont="1" applyBorder="1" applyAlignment="1" applyProtection="1">
      <alignment vertical="center"/>
    </xf>
    <xf numFmtId="210" fontId="35" fillId="0" borderId="0" xfId="0" applyNumberFormat="1" applyFont="1" applyAlignment="1" applyProtection="1">
      <alignment horizontal="center"/>
    </xf>
    <xf numFmtId="210" fontId="35" fillId="0" borderId="0" xfId="0" applyNumberFormat="1" applyFont="1" applyAlignment="1">
      <alignment horizontal="center"/>
    </xf>
    <xf numFmtId="220" fontId="35" fillId="0" borderId="0" xfId="0" applyNumberFormat="1" applyFont="1" applyAlignment="1" applyProtection="1">
      <alignment horizontal="center"/>
    </xf>
    <xf numFmtId="220" fontId="35" fillId="0" borderId="0" xfId="0" applyNumberFormat="1" applyFont="1" applyProtection="1"/>
    <xf numFmtId="208" fontId="20" fillId="0" borderId="9" xfId="0" applyNumberFormat="1" applyFont="1" applyBorder="1" applyAlignment="1">
      <alignment horizontal="center" vertical="center"/>
    </xf>
    <xf numFmtId="208" fontId="20" fillId="0" borderId="11" xfId="0" applyNumberFormat="1" applyFont="1" applyBorder="1" applyAlignment="1">
      <alignment horizontal="center" vertical="center"/>
    </xf>
    <xf numFmtId="208" fontId="20" fillId="0" borderId="6" xfId="0" applyNumberFormat="1" applyFont="1" applyBorder="1" applyAlignment="1">
      <alignment horizontal="center" vertical="center"/>
    </xf>
    <xf numFmtId="208" fontId="20" fillId="0" borderId="1" xfId="0" applyNumberFormat="1" applyFont="1" applyBorder="1" applyAlignment="1">
      <alignment horizontal="center" vertical="center"/>
    </xf>
    <xf numFmtId="3" fontId="21" fillId="0" borderId="7" xfId="0" applyNumberFormat="1" applyFont="1" applyBorder="1" applyAlignment="1" applyProtection="1">
      <alignment horizontal="left" vertical="center" indent="1"/>
    </xf>
    <xf numFmtId="3" fontId="17" fillId="0" borderId="10" xfId="0" applyNumberFormat="1" applyFont="1" applyBorder="1" applyAlignment="1" applyProtection="1">
      <alignment horizontal="left" vertical="center" indent="1"/>
    </xf>
    <xf numFmtId="3" fontId="17" fillId="0" borderId="8" xfId="0" applyNumberFormat="1" applyFont="1" applyBorder="1" applyAlignment="1" applyProtection="1">
      <alignment horizontal="left" vertical="center" indent="1"/>
    </xf>
    <xf numFmtId="3" fontId="17" fillId="0" borderId="69" xfId="0" applyNumberFormat="1" applyFont="1" applyBorder="1" applyAlignment="1" applyProtection="1">
      <alignment horizontal="left" vertical="center" indent="1"/>
    </xf>
    <xf numFmtId="3" fontId="17" fillId="0" borderId="9" xfId="0" applyNumberFormat="1" applyFont="1" applyBorder="1" applyAlignment="1" applyProtection="1">
      <alignment horizontal="left" vertical="center" indent="1"/>
    </xf>
    <xf numFmtId="0" fontId="17" fillId="0" borderId="8" xfId="0" applyFont="1" applyBorder="1" applyAlignment="1" applyProtection="1">
      <alignment horizontal="left" vertical="center" indent="1"/>
    </xf>
    <xf numFmtId="0" fontId="21" fillId="0" borderId="69" xfId="0" applyFont="1" applyBorder="1" applyAlignment="1" applyProtection="1">
      <alignment horizontal="left" vertical="center" indent="1"/>
    </xf>
    <xf numFmtId="205" fontId="21" fillId="0" borderId="0" xfId="0" applyNumberFormat="1" applyFont="1"/>
    <xf numFmtId="0" fontId="17" fillId="0" borderId="11" xfId="0" applyFont="1" applyBorder="1" applyAlignment="1">
      <alignment horizontal="center"/>
    </xf>
    <xf numFmtId="0" fontId="21" fillId="0" borderId="9" xfId="0" applyFont="1" applyBorder="1" applyAlignment="1">
      <alignment horizontal="left" indent="1"/>
    </xf>
    <xf numFmtId="205" fontId="21" fillId="0" borderId="37" xfId="0" applyNumberFormat="1" applyFont="1" applyBorder="1" applyAlignment="1">
      <alignment horizontal="center"/>
    </xf>
    <xf numFmtId="205" fontId="21" fillId="0" borderId="36" xfId="0" applyNumberFormat="1" applyFont="1" applyBorder="1" applyAlignment="1">
      <alignment horizontal="center"/>
    </xf>
    <xf numFmtId="205" fontId="21" fillId="0" borderId="25" xfId="0" applyNumberFormat="1" applyFont="1" applyBorder="1" applyAlignment="1">
      <alignment horizontal="center"/>
    </xf>
    <xf numFmtId="208" fontId="26" fillId="0" borderId="0" xfId="0" applyNumberFormat="1" applyFont="1" applyAlignment="1">
      <alignment horizontal="center"/>
    </xf>
    <xf numFmtId="0" fontId="26" fillId="0" borderId="0" xfId="0" applyFont="1"/>
    <xf numFmtId="3" fontId="43" fillId="0" borderId="0" xfId="0" applyNumberFormat="1" applyFont="1" applyProtection="1"/>
    <xf numFmtId="181" fontId="23" fillId="0" borderId="15" xfId="6" applyNumberFormat="1" applyFont="1" applyFill="1" applyBorder="1" applyAlignment="1" applyProtection="1">
      <alignment horizontal="center"/>
    </xf>
    <xf numFmtId="181" fontId="23" fillId="2" borderId="15" xfId="6" applyNumberFormat="1" applyFont="1" applyFill="1" applyBorder="1" applyAlignment="1" applyProtection="1">
      <alignment horizontal="center"/>
      <protection locked="0"/>
    </xf>
    <xf numFmtId="3" fontId="25" fillId="0" borderId="0" xfId="0" applyNumberFormat="1" applyFont="1" applyAlignment="1" applyProtection="1">
      <alignment horizontal="center"/>
    </xf>
    <xf numFmtId="3" fontId="34" fillId="0" borderId="0" xfId="0" applyNumberFormat="1" applyFont="1" applyAlignment="1" applyProtection="1">
      <alignment horizontal="left"/>
    </xf>
    <xf numFmtId="3" fontId="29" fillId="0" borderId="0" xfId="0" applyNumberFormat="1" applyFont="1" applyAlignment="1" applyProtection="1">
      <alignment horizontal="center"/>
    </xf>
    <xf numFmtId="0" fontId="45" fillId="0" borderId="0" xfId="0" applyFont="1" applyProtection="1"/>
    <xf numFmtId="3" fontId="34" fillId="0" borderId="0" xfId="0" applyNumberFormat="1" applyFont="1" applyProtection="1"/>
    <xf numFmtId="9" fontId="34" fillId="0" borderId="15" xfId="6" applyFont="1" applyBorder="1" applyAlignment="1" applyProtection="1">
      <alignment horizontal="center"/>
    </xf>
    <xf numFmtId="181" fontId="23" fillId="0" borderId="17" xfId="6" applyNumberFormat="1" applyFont="1" applyFill="1" applyBorder="1" applyAlignment="1" applyProtection="1">
      <alignment horizontal="center"/>
    </xf>
    <xf numFmtId="181" fontId="23" fillId="2" borderId="17" xfId="6" applyNumberFormat="1" applyFont="1" applyFill="1" applyBorder="1" applyAlignment="1" applyProtection="1">
      <alignment horizontal="center"/>
      <protection locked="0"/>
    </xf>
    <xf numFmtId="9" fontId="34" fillId="0" borderId="17" xfId="6" applyFont="1" applyBorder="1" applyAlignment="1" applyProtection="1">
      <alignment horizontal="center"/>
    </xf>
    <xf numFmtId="3" fontId="34" fillId="0" borderId="1" xfId="0" applyNumberFormat="1" applyFont="1" applyBorder="1" applyAlignment="1" applyProtection="1">
      <alignment horizontal="center" vertical="center"/>
    </xf>
    <xf numFmtId="172" fontId="34" fillId="0" borderId="1" xfId="0" applyNumberFormat="1" applyFont="1" applyBorder="1" applyAlignment="1" applyProtection="1">
      <alignment horizontal="center" vertical="center"/>
    </xf>
    <xf numFmtId="0" fontId="20" fillId="0" borderId="11" xfId="0" applyFont="1" applyBorder="1" applyAlignment="1">
      <alignment horizontal="center" vertical="center" wrapText="1"/>
    </xf>
    <xf numFmtId="200" fontId="23" fillId="0" borderId="57" xfId="0" applyNumberFormat="1" applyFont="1" applyBorder="1"/>
    <xf numFmtId="200" fontId="23" fillId="2" borderId="15" xfId="0" applyNumberFormat="1" applyFont="1" applyFill="1" applyBorder="1" applyProtection="1">
      <protection locked="0"/>
    </xf>
    <xf numFmtId="200" fontId="23" fillId="0" borderId="17" xfId="0" applyNumberFormat="1" applyFont="1" applyBorder="1"/>
    <xf numFmtId="0" fontId="27" fillId="0" borderId="0" xfId="0" applyFont="1" applyProtection="1"/>
    <xf numFmtId="3" fontId="27" fillId="0" borderId="0" xfId="0" applyNumberFormat="1" applyFont="1" applyAlignment="1" applyProtection="1">
      <alignment horizontal="right"/>
    </xf>
    <xf numFmtId="213" fontId="23" fillId="0" borderId="41" xfId="0" applyNumberFormat="1" applyFont="1" applyBorder="1"/>
    <xf numFmtId="213" fontId="23" fillId="0" borderId="21" xfId="0" applyNumberFormat="1" applyFont="1" applyBorder="1"/>
    <xf numFmtId="213" fontId="23" fillId="0" borderId="51" xfId="0" applyNumberFormat="1" applyFont="1" applyBorder="1"/>
    <xf numFmtId="213" fontId="23" fillId="0" borderId="63" xfId="0" applyNumberFormat="1" applyFont="1" applyBorder="1"/>
    <xf numFmtId="213" fontId="23" fillId="0" borderId="35" xfId="0" applyNumberFormat="1" applyFont="1" applyBorder="1"/>
    <xf numFmtId="213" fontId="23" fillId="0" borderId="52" xfId="0" applyNumberFormat="1" applyFont="1" applyBorder="1"/>
    <xf numFmtId="213" fontId="23" fillId="0" borderId="46" xfId="0" applyNumberFormat="1" applyFont="1" applyBorder="1"/>
    <xf numFmtId="213" fontId="23" fillId="0" borderId="39" xfId="0" applyNumberFormat="1" applyFont="1" applyBorder="1"/>
    <xf numFmtId="213" fontId="23" fillId="0" borderId="25" xfId="0" applyNumberFormat="1" applyFont="1" applyBorder="1"/>
    <xf numFmtId="221" fontId="23" fillId="0" borderId="18" xfId="6" applyNumberFormat="1" applyFont="1" applyFill="1" applyBorder="1" applyAlignment="1"/>
    <xf numFmtId="221" fontId="23" fillId="0" borderId="12" xfId="6" applyNumberFormat="1" applyFont="1" applyFill="1" applyBorder="1" applyAlignment="1"/>
    <xf numFmtId="221" fontId="23" fillId="0" borderId="19" xfId="6" applyNumberFormat="1" applyFont="1" applyFill="1" applyBorder="1" applyAlignment="1"/>
    <xf numFmtId="222" fontId="23" fillId="0" borderId="18" xfId="6" applyNumberFormat="1" applyFont="1" applyFill="1" applyBorder="1" applyAlignment="1"/>
    <xf numFmtId="222" fontId="23" fillId="0" borderId="12" xfId="6" applyNumberFormat="1" applyFont="1" applyFill="1" applyBorder="1" applyAlignment="1"/>
    <xf numFmtId="222" fontId="23" fillId="0" borderId="19" xfId="6" applyNumberFormat="1" applyFont="1" applyFill="1" applyBorder="1" applyAlignment="1"/>
    <xf numFmtId="206" fontId="23" fillId="0" borderId="41" xfId="0" applyNumberFormat="1" applyFont="1" applyBorder="1" applyProtection="1"/>
    <xf numFmtId="206" fontId="23" fillId="0" borderId="21" xfId="0" applyNumberFormat="1" applyFont="1" applyBorder="1" applyProtection="1"/>
    <xf numFmtId="206" fontId="20" fillId="0" borderId="18" xfId="0" applyNumberFormat="1" applyFont="1" applyBorder="1"/>
    <xf numFmtId="206" fontId="23" fillId="0" borderId="51" xfId="0" applyNumberFormat="1" applyFont="1" applyBorder="1" applyProtection="1"/>
    <xf numFmtId="206" fontId="23" fillId="0" borderId="2" xfId="0" applyNumberFormat="1" applyFont="1" applyBorder="1" applyProtection="1"/>
    <xf numFmtId="206" fontId="20" fillId="0" borderId="12" xfId="0" applyNumberFormat="1" applyFont="1" applyBorder="1"/>
    <xf numFmtId="206" fontId="23" fillId="0" borderId="63" xfId="0" applyNumberFormat="1" applyFont="1" applyBorder="1" applyProtection="1"/>
    <xf numFmtId="206" fontId="23" fillId="0" borderId="35" xfId="0" applyNumberFormat="1" applyFont="1" applyBorder="1" applyProtection="1"/>
    <xf numFmtId="206" fontId="20" fillId="0" borderId="19" xfId="0" applyNumberFormat="1" applyFont="1" applyBorder="1"/>
    <xf numFmtId="206" fontId="23" fillId="0" borderId="41" xfId="0" applyNumberFormat="1" applyFont="1" applyBorder="1"/>
    <xf numFmtId="206" fontId="23" fillId="0" borderId="21" xfId="0" applyNumberFormat="1" applyFont="1" applyBorder="1"/>
    <xf numFmtId="206" fontId="23" fillId="0" borderId="51" xfId="0" applyNumberFormat="1" applyFont="1" applyBorder="1"/>
    <xf numFmtId="206" fontId="23" fillId="0" borderId="2" xfId="0" applyNumberFormat="1" applyFont="1" applyBorder="1"/>
    <xf numFmtId="206" fontId="23" fillId="0" borderId="52" xfId="0" applyNumberFormat="1" applyFont="1" applyBorder="1"/>
    <xf numFmtId="206" fontId="23" fillId="0" borderId="46" xfId="0" applyNumberFormat="1" applyFont="1" applyBorder="1"/>
    <xf numFmtId="206" fontId="20" fillId="0" borderId="38" xfId="0" applyNumberFormat="1" applyFont="1" applyBorder="1"/>
    <xf numFmtId="206" fontId="20" fillId="0" borderId="11" xfId="0" applyNumberFormat="1" applyFont="1" applyBorder="1"/>
    <xf numFmtId="206" fontId="23" fillId="0" borderId="37" xfId="0" applyNumberFormat="1" applyFont="1" applyBorder="1"/>
    <xf numFmtId="206" fontId="23" fillId="0" borderId="36" xfId="0" applyNumberFormat="1" applyFont="1" applyBorder="1"/>
    <xf numFmtId="206" fontId="23" fillId="0" borderId="72" xfId="0" applyNumberFormat="1" applyFont="1" applyBorder="1"/>
    <xf numFmtId="206" fontId="23" fillId="0" borderId="71" xfId="0" applyNumberFormat="1" applyFont="1" applyBorder="1"/>
    <xf numFmtId="206" fontId="23" fillId="0" borderId="50" xfId="0" applyNumberFormat="1" applyFont="1" applyBorder="1"/>
    <xf numFmtId="206" fontId="23" fillId="0" borderId="53" xfId="0" applyNumberFormat="1" applyFont="1" applyBorder="1"/>
    <xf numFmtId="206" fontId="23" fillId="0" borderId="71" xfId="0" applyNumberFormat="1" applyFont="1" applyBorder="1" applyProtection="1"/>
    <xf numFmtId="206" fontId="23" fillId="0" borderId="50" xfId="0" applyNumberFormat="1" applyFont="1" applyBorder="1" applyProtection="1"/>
    <xf numFmtId="206" fontId="23" fillId="0" borderId="60" xfId="0" applyNumberFormat="1" applyFont="1" applyBorder="1" applyProtection="1"/>
    <xf numFmtId="223" fontId="34" fillId="0" borderId="15" xfId="0" applyNumberFormat="1" applyFont="1" applyBorder="1" applyAlignment="1">
      <alignment shrinkToFit="1"/>
    </xf>
    <xf numFmtId="223" fontId="43" fillId="0" borderId="15" xfId="0" applyNumberFormat="1" applyFont="1" applyBorder="1" applyAlignment="1">
      <alignment shrinkToFit="1"/>
    </xf>
    <xf numFmtId="223" fontId="44" fillId="0" borderId="15" xfId="0" applyNumberFormat="1" applyFont="1" applyBorder="1" applyAlignment="1">
      <alignment shrinkToFit="1"/>
    </xf>
    <xf numFmtId="224" fontId="43" fillId="0" borderId="15" xfId="0" applyNumberFormat="1" applyFont="1" applyBorder="1" applyAlignment="1">
      <alignment shrinkToFit="1"/>
    </xf>
    <xf numFmtId="224" fontId="44" fillId="0" borderId="15" xfId="0" applyNumberFormat="1" applyFont="1" applyBorder="1" applyAlignment="1">
      <alignment shrinkToFit="1"/>
    </xf>
    <xf numFmtId="224" fontId="43" fillId="0" borderId="15" xfId="0" applyNumberFormat="1" applyFont="1" applyBorder="1" applyAlignment="1" applyProtection="1">
      <alignment shrinkToFit="1"/>
      <protection locked="0"/>
    </xf>
    <xf numFmtId="225" fontId="44" fillId="0" borderId="11" xfId="0" applyNumberFormat="1" applyFont="1" applyBorder="1" applyAlignment="1">
      <alignment vertical="center" shrinkToFit="1"/>
    </xf>
    <xf numFmtId="227" fontId="23" fillId="0" borderId="21" xfId="0" applyNumberFormat="1" applyFont="1" applyBorder="1" applyProtection="1">
      <protection locked="0"/>
    </xf>
    <xf numFmtId="227" fontId="23" fillId="0" borderId="71" xfId="0" applyNumberFormat="1" applyFont="1" applyBorder="1" applyProtection="1">
      <protection locked="0"/>
    </xf>
    <xf numFmtId="206" fontId="20" fillId="0" borderId="17" xfId="0" applyNumberFormat="1" applyFont="1" applyBorder="1"/>
    <xf numFmtId="206" fontId="23" fillId="0" borderId="18" xfId="0" applyNumberFormat="1" applyFont="1" applyBorder="1"/>
    <xf numFmtId="206" fontId="23" fillId="0" borderId="12" xfId="0" applyNumberFormat="1" applyFont="1" applyBorder="1"/>
    <xf numFmtId="227" fontId="23" fillId="0" borderId="20" xfId="0" applyNumberFormat="1" applyFont="1" applyBorder="1" applyProtection="1">
      <protection locked="0"/>
    </xf>
    <xf numFmtId="206" fontId="23" fillId="0" borderId="19" xfId="0" applyNumberFormat="1" applyFont="1" applyBorder="1" applyProtection="1"/>
    <xf numFmtId="206" fontId="20" fillId="0" borderId="17" xfId="0" applyNumberFormat="1" applyFont="1" applyBorder="1" applyProtection="1"/>
    <xf numFmtId="229" fontId="38" fillId="0" borderId="63" xfId="0" applyNumberFormat="1" applyFont="1" applyBorder="1" applyProtection="1"/>
    <xf numFmtId="229" fontId="38" fillId="0" borderId="62" xfId="0" applyNumberFormat="1" applyFont="1" applyBorder="1" applyProtection="1"/>
    <xf numFmtId="229" fontId="38" fillId="0" borderId="19" xfId="0" applyNumberFormat="1" applyFont="1" applyBorder="1" applyProtection="1"/>
    <xf numFmtId="229" fontId="38" fillId="0" borderId="65" xfId="0" applyNumberFormat="1" applyFont="1" applyBorder="1" applyProtection="1"/>
    <xf numFmtId="229" fontId="38" fillId="0" borderId="64" xfId="0" applyNumberFormat="1" applyFont="1" applyBorder="1" applyProtection="1"/>
    <xf numFmtId="229" fontId="38" fillId="0" borderId="39" xfId="0" applyNumberFormat="1" applyFont="1" applyBorder="1" applyProtection="1"/>
    <xf numFmtId="229" fontId="38" fillId="0" borderId="6" xfId="0" applyNumberFormat="1" applyFont="1" applyBorder="1" applyProtection="1"/>
    <xf numFmtId="229" fontId="38" fillId="0" borderId="11" xfId="0" applyNumberFormat="1" applyFont="1" applyBorder="1" applyProtection="1"/>
    <xf numFmtId="168" fontId="20" fillId="0" borderId="0" xfId="0" applyNumberFormat="1" applyFont="1" applyProtection="1"/>
    <xf numFmtId="168" fontId="38" fillId="0" borderId="30" xfId="0" applyNumberFormat="1" applyFont="1" applyBorder="1" applyProtection="1"/>
    <xf numFmtId="3" fontId="44" fillId="0" borderId="0" xfId="0" applyNumberFormat="1" applyFont="1" applyAlignment="1">
      <alignment horizontal="center"/>
    </xf>
    <xf numFmtId="167" fontId="17" fillId="0" borderId="0" xfId="0" applyNumberFormat="1" applyFont="1" applyAlignment="1">
      <alignment horizontal="centerContinuous"/>
    </xf>
    <xf numFmtId="167" fontId="20" fillId="0" borderId="0" xfId="0" applyNumberFormat="1" applyFont="1" applyAlignment="1">
      <alignment horizontal="left"/>
    </xf>
    <xf numFmtId="3" fontId="20" fillId="0" borderId="0" xfId="0" quotePrefix="1" applyNumberFormat="1" applyFont="1"/>
    <xf numFmtId="167" fontId="23" fillId="0" borderId="0" xfId="0" applyNumberFormat="1" applyFont="1"/>
    <xf numFmtId="198" fontId="21" fillId="0" borderId="0" xfId="0" applyNumberFormat="1" applyFont="1" applyAlignment="1">
      <alignment vertical="center"/>
    </xf>
    <xf numFmtId="0" fontId="14" fillId="0" borderId="0" xfId="0" applyFont="1"/>
    <xf numFmtId="2" fontId="21" fillId="0" borderId="0" xfId="0" applyNumberFormat="1" applyFont="1"/>
    <xf numFmtId="231" fontId="23" fillId="0" borderId="24" xfId="6" applyNumberFormat="1" applyFont="1" applyBorder="1" applyAlignment="1">
      <alignment horizontal="center"/>
    </xf>
    <xf numFmtId="231" fontId="23" fillId="0" borderId="5" xfId="6" applyNumberFormat="1" applyFont="1" applyBorder="1" applyAlignment="1">
      <alignment horizontal="center"/>
    </xf>
    <xf numFmtId="206" fontId="23" fillId="0" borderId="16" xfId="0" applyNumberFormat="1" applyFont="1" applyBorder="1"/>
    <xf numFmtId="213" fontId="23" fillId="0" borderId="16" xfId="0" applyNumberFormat="1" applyFont="1" applyBorder="1"/>
    <xf numFmtId="206" fontId="23" fillId="2" borderId="7" xfId="0" applyNumberFormat="1" applyFont="1" applyFill="1" applyBorder="1" applyProtection="1">
      <protection locked="0"/>
    </xf>
    <xf numFmtId="213" fontId="23" fillId="2" borderId="7" xfId="0" applyNumberFormat="1" applyFont="1" applyFill="1" applyBorder="1" applyProtection="1">
      <protection locked="0"/>
    </xf>
    <xf numFmtId="213" fontId="23" fillId="2" borderId="8" xfId="0" applyNumberFormat="1" applyFont="1" applyFill="1" applyBorder="1" applyProtection="1">
      <protection locked="0"/>
    </xf>
    <xf numFmtId="232" fontId="23" fillId="2" borderId="7" xfId="0" applyNumberFormat="1" applyFont="1" applyFill="1" applyBorder="1" applyAlignment="1" applyProtection="1">
      <alignment horizontal="right" indent="2"/>
      <protection locked="0"/>
    </xf>
    <xf numFmtId="232" fontId="23" fillId="2" borderId="48" xfId="0" applyNumberFormat="1" applyFont="1" applyFill="1" applyBorder="1" applyAlignment="1" applyProtection="1">
      <alignment horizontal="right" indent="2"/>
      <protection locked="0"/>
    </xf>
    <xf numFmtId="0" fontId="20" fillId="0" borderId="10" xfId="0" applyFont="1" applyBorder="1" applyAlignment="1">
      <alignment horizontal="center" vertical="center" wrapText="1"/>
    </xf>
    <xf numFmtId="213" fontId="23" fillId="0" borderId="10" xfId="0" applyNumberFormat="1" applyFont="1" applyBorder="1" applyAlignment="1" applyProtection="1">
      <alignment horizontal="right"/>
      <protection locked="0"/>
    </xf>
    <xf numFmtId="0" fontId="34" fillId="0" borderId="10" xfId="0" applyFont="1" applyBorder="1" applyAlignment="1">
      <alignment horizontal="center" wrapText="1"/>
    </xf>
    <xf numFmtId="213" fontId="23" fillId="0" borderId="10" xfId="0" applyNumberFormat="1" applyFont="1" applyBorder="1"/>
    <xf numFmtId="206" fontId="23" fillId="0" borderId="10" xfId="0" applyNumberFormat="1" applyFont="1" applyBorder="1" applyAlignment="1" applyProtection="1">
      <alignment horizontal="right"/>
      <protection locked="0"/>
    </xf>
    <xf numFmtId="206" fontId="23" fillId="0" borderId="10" xfId="0" applyNumberFormat="1" applyFont="1" applyBorder="1"/>
    <xf numFmtId="206" fontId="23" fillId="0" borderId="10" xfId="0" applyNumberFormat="1" applyFont="1" applyBorder="1" applyProtection="1">
      <protection locked="0"/>
    </xf>
    <xf numFmtId="200" fontId="23" fillId="0" borderId="8" xfId="0" applyNumberFormat="1" applyFont="1" applyBorder="1" applyProtection="1"/>
    <xf numFmtId="200" fontId="23" fillId="0" borderId="16" xfId="0" applyNumberFormat="1" applyFont="1" applyBorder="1" applyProtection="1"/>
    <xf numFmtId="0" fontId="23" fillId="0" borderId="6" xfId="0" applyFont="1" applyBorder="1" applyProtection="1"/>
    <xf numFmtId="0" fontId="46" fillId="0" borderId="0" xfId="0" applyFont="1" applyProtection="1"/>
    <xf numFmtId="0" fontId="14" fillId="0" borderId="0" xfId="0" applyFont="1" applyProtection="1"/>
    <xf numFmtId="3" fontId="14" fillId="0" borderId="0" xfId="0" applyNumberFormat="1" applyFont="1" applyProtection="1"/>
    <xf numFmtId="9" fontId="14" fillId="0" borderId="0" xfId="0" applyNumberFormat="1" applyFont="1" applyProtection="1"/>
    <xf numFmtId="0" fontId="47" fillId="0" borderId="0" xfId="0" applyFont="1" applyProtection="1"/>
    <xf numFmtId="164" fontId="21" fillId="0" borderId="12" xfId="4" applyFont="1" applyFill="1" applyBorder="1" applyProtection="1"/>
    <xf numFmtId="164" fontId="17" fillId="0" borderId="18" xfId="4" applyFont="1" applyFill="1" applyBorder="1" applyAlignment="1" applyProtection="1">
      <alignment vertical="center"/>
    </xf>
    <xf numFmtId="9" fontId="17" fillId="1" borderId="7" xfId="6" applyFont="1" applyFill="1" applyBorder="1" applyAlignment="1" applyProtection="1">
      <alignment horizontal="right"/>
    </xf>
    <xf numFmtId="164" fontId="21" fillId="0" borderId="10" xfId="4" applyFont="1" applyFill="1" applyBorder="1" applyProtection="1"/>
    <xf numFmtId="206" fontId="23" fillId="0" borderId="24" xfId="0" applyNumberFormat="1" applyFont="1" applyBorder="1" applyAlignment="1" applyProtection="1">
      <alignment horizontal="right"/>
    </xf>
    <xf numFmtId="0" fontId="23" fillId="0" borderId="0" xfId="0" applyFont="1" applyProtection="1"/>
    <xf numFmtId="0" fontId="0" fillId="0" borderId="0" xfId="0" applyAlignment="1" applyProtection="1">
      <alignment horizontal="right"/>
    </xf>
    <xf numFmtId="233" fontId="17" fillId="0" borderId="14" xfId="0" applyNumberFormat="1" applyFont="1" applyBorder="1" applyAlignment="1" applyProtection="1">
      <alignment horizontal="center" wrapText="1"/>
    </xf>
    <xf numFmtId="233" fontId="17" fillId="0" borderId="11" xfId="0" applyNumberFormat="1" applyFont="1" applyBorder="1" applyAlignment="1" applyProtection="1">
      <alignment horizontal="center" wrapText="1"/>
    </xf>
    <xf numFmtId="233" fontId="21" fillId="2" borderId="38" xfId="0" applyNumberFormat="1" applyFont="1" applyFill="1" applyBorder="1" applyAlignment="1" applyProtection="1">
      <alignment vertical="center"/>
      <protection locked="0"/>
    </xf>
    <xf numFmtId="3" fontId="17" fillId="0" borderId="11" xfId="0" applyNumberFormat="1" applyFont="1" applyBorder="1" applyAlignment="1" applyProtection="1">
      <alignment horizontal="center" vertical="center" wrapText="1"/>
    </xf>
    <xf numFmtId="9" fontId="21" fillId="0" borderId="0" xfId="6" applyFont="1" applyFill="1" applyBorder="1" applyAlignment="1" applyProtection="1">
      <alignment horizontal="centerContinuous" vertical="center" shrinkToFit="1"/>
    </xf>
    <xf numFmtId="0" fontId="17" fillId="0" borderId="0" xfId="0" applyFont="1" applyAlignment="1" applyProtection="1">
      <alignment horizontal="centerContinuous" vertical="center" shrinkToFit="1"/>
    </xf>
    <xf numFmtId="0" fontId="21" fillId="0" borderId="0" xfId="0" applyFont="1" applyAlignment="1" applyProtection="1">
      <alignment horizontal="centerContinuous" vertical="center" shrinkToFit="1"/>
    </xf>
    <xf numFmtId="233" fontId="21" fillId="2" borderId="12" xfId="0" applyNumberFormat="1" applyFont="1" applyFill="1" applyBorder="1" applyAlignment="1" applyProtection="1">
      <alignment vertical="center"/>
      <protection locked="0"/>
    </xf>
    <xf numFmtId="200" fontId="20" fillId="0" borderId="16" xfId="0" applyNumberFormat="1" applyFont="1" applyBorder="1"/>
    <xf numFmtId="206" fontId="20" fillId="0" borderId="4" xfId="0" applyNumberFormat="1" applyFont="1" applyBorder="1" applyProtection="1"/>
    <xf numFmtId="0" fontId="20" fillId="0" borderId="84" xfId="0" applyFont="1" applyBorder="1" applyAlignment="1">
      <alignment horizontal="center"/>
    </xf>
    <xf numFmtId="232" fontId="20" fillId="0" borderId="57" xfId="0" applyNumberFormat="1" applyFont="1" applyBorder="1" applyAlignment="1">
      <alignment horizontal="center"/>
    </xf>
    <xf numFmtId="3" fontId="17" fillId="0" borderId="0" xfId="0" applyNumberFormat="1" applyFont="1" applyAlignment="1">
      <alignment horizontal="centerContinuous"/>
    </xf>
    <xf numFmtId="3" fontId="17" fillId="0" borderId="0" xfId="0" applyNumberFormat="1" applyFont="1" applyAlignment="1">
      <alignment horizontal="left"/>
    </xf>
    <xf numFmtId="3" fontId="17" fillId="0" borderId="0" xfId="0" applyNumberFormat="1" applyFont="1" applyAlignment="1">
      <alignment horizontal="right"/>
    </xf>
    <xf numFmtId="0" fontId="17" fillId="0" borderId="0" xfId="0" applyFont="1"/>
    <xf numFmtId="3" fontId="21" fillId="0" borderId="12" xfId="0" applyNumberFormat="1" applyFont="1" applyBorder="1"/>
    <xf numFmtId="3" fontId="21" fillId="0" borderId="19" xfId="0" applyNumberFormat="1" applyFont="1" applyBorder="1"/>
    <xf numFmtId="3" fontId="21" fillId="0" borderId="6" xfId="0" applyNumberFormat="1" applyFont="1" applyBorder="1"/>
    <xf numFmtId="166" fontId="21" fillId="0" borderId="0" xfId="0" applyNumberFormat="1" applyFont="1"/>
    <xf numFmtId="170" fontId="17" fillId="0" borderId="0" xfId="0" applyNumberFormat="1" applyFont="1"/>
    <xf numFmtId="170" fontId="21" fillId="0" borderId="0" xfId="0" applyNumberFormat="1" applyFont="1"/>
    <xf numFmtId="190" fontId="23" fillId="0" borderId="48" xfId="0" applyNumberFormat="1" applyFont="1" applyBorder="1"/>
    <xf numFmtId="189" fontId="23" fillId="0" borderId="85" xfId="0" applyNumberFormat="1" applyFont="1" applyBorder="1"/>
    <xf numFmtId="190" fontId="23" fillId="0" borderId="6" xfId="0" applyNumberFormat="1" applyFont="1" applyBorder="1"/>
    <xf numFmtId="189" fontId="23" fillId="0" borderId="6" xfId="0" applyNumberFormat="1" applyFont="1" applyBorder="1"/>
    <xf numFmtId="190" fontId="23" fillId="0" borderId="0" xfId="0" applyNumberFormat="1" applyFont="1"/>
    <xf numFmtId="189" fontId="23" fillId="0" borderId="0" xfId="0" applyNumberFormat="1" applyFont="1"/>
    <xf numFmtId="3" fontId="21" fillId="0" borderId="86" xfId="0" applyNumberFormat="1" applyFont="1" applyBorder="1" applyAlignment="1">
      <alignment horizontal="center"/>
    </xf>
    <xf numFmtId="3" fontId="21" fillId="0" borderId="84" xfId="0" applyNumberFormat="1" applyFont="1" applyBorder="1" applyAlignment="1">
      <alignment horizontal="center"/>
    </xf>
    <xf numFmtId="3" fontId="21" fillId="0" borderId="87" xfId="0" applyNumberFormat="1" applyFont="1" applyBorder="1" applyAlignment="1">
      <alignment horizontal="center"/>
    </xf>
    <xf numFmtId="230" fontId="23" fillId="0" borderId="48" xfId="0" applyNumberFormat="1" applyFont="1" applyBorder="1"/>
    <xf numFmtId="237" fontId="23" fillId="0" borderId="85" xfId="0" applyNumberFormat="1" applyFont="1" applyBorder="1"/>
    <xf numFmtId="237" fontId="23" fillId="0" borderId="6" xfId="0" applyNumberFormat="1" applyFont="1" applyBorder="1"/>
    <xf numFmtId="237" fontId="23" fillId="0" borderId="0" xfId="0" applyNumberFormat="1" applyFont="1"/>
    <xf numFmtId="0" fontId="17" fillId="0" borderId="56" xfId="0" applyFont="1" applyBorder="1" applyAlignment="1">
      <alignment horizontal="center" vertical="center"/>
    </xf>
    <xf numFmtId="233" fontId="21" fillId="0" borderId="12" xfId="0" applyNumberFormat="1" applyFont="1" applyBorder="1" applyAlignment="1" applyProtection="1">
      <alignment vertical="center"/>
    </xf>
    <xf numFmtId="233" fontId="21" fillId="0" borderId="13" xfId="0" applyNumberFormat="1" applyFont="1" applyBorder="1" applyAlignment="1" applyProtection="1">
      <alignment vertical="center"/>
    </xf>
    <xf numFmtId="0" fontId="20" fillId="0" borderId="0" xfId="0" applyFont="1"/>
    <xf numFmtId="0" fontId="17" fillId="0" borderId="6" xfId="0" applyFont="1" applyBorder="1" applyAlignment="1">
      <alignment horizontal="centerContinuous"/>
    </xf>
    <xf numFmtId="0" fontId="17" fillId="0" borderId="0" xfId="0" applyFont="1" applyAlignment="1">
      <alignment horizontal="right"/>
    </xf>
    <xf numFmtId="0" fontId="17" fillId="0" borderId="49" xfId="0" applyFont="1" applyBorder="1" applyAlignment="1">
      <alignment horizontal="right" vertical="center"/>
    </xf>
    <xf numFmtId="0" fontId="14" fillId="0" borderId="41" xfId="0" applyFont="1" applyBorder="1" applyAlignment="1">
      <alignment vertical="center"/>
    </xf>
    <xf numFmtId="0" fontId="17" fillId="0" borderId="57" xfId="0" applyFont="1" applyBorder="1" applyAlignment="1">
      <alignment horizontal="right" vertical="center"/>
    </xf>
    <xf numFmtId="0" fontId="20" fillId="0" borderId="64" xfId="0" applyFont="1" applyBorder="1" applyAlignment="1">
      <alignment vertical="center"/>
    </xf>
    <xf numFmtId="208" fontId="17" fillId="0" borderId="21" xfId="0" applyNumberFormat="1" applyFont="1" applyBorder="1" applyAlignment="1">
      <alignment horizontal="center"/>
    </xf>
    <xf numFmtId="208" fontId="17" fillId="0" borderId="71" xfId="0" applyNumberFormat="1" applyFont="1" applyBorder="1" applyAlignment="1">
      <alignment horizontal="center"/>
    </xf>
    <xf numFmtId="208" fontId="17" fillId="0" borderId="42" xfId="0" applyNumberFormat="1" applyFont="1" applyBorder="1" applyAlignment="1">
      <alignment horizontal="center"/>
    </xf>
    <xf numFmtId="0" fontId="29" fillId="0" borderId="9" xfId="0" applyFont="1" applyBorder="1" applyAlignment="1">
      <alignment horizontal="centerContinuous"/>
    </xf>
    <xf numFmtId="0" fontId="20" fillId="0" borderId="6" xfId="0" applyFont="1" applyBorder="1" applyAlignment="1">
      <alignment horizontal="centerContinuous"/>
    </xf>
    <xf numFmtId="0" fontId="20" fillId="0" borderId="1" xfId="0" applyFont="1" applyBorder="1" applyAlignment="1">
      <alignment horizontal="centerContinuous"/>
    </xf>
    <xf numFmtId="0" fontId="32" fillId="0" borderId="0" xfId="0" applyFont="1"/>
    <xf numFmtId="9" fontId="46" fillId="2" borderId="15" xfId="0" applyNumberFormat="1" applyFont="1" applyFill="1" applyBorder="1" applyAlignment="1" applyProtection="1">
      <alignment horizontal="center"/>
      <protection locked="0"/>
    </xf>
    <xf numFmtId="9" fontId="46" fillId="2" borderId="12" xfId="0" applyNumberFormat="1" applyFont="1" applyFill="1" applyBorder="1" applyAlignment="1" applyProtection="1">
      <alignment horizontal="center"/>
      <protection locked="0"/>
    </xf>
    <xf numFmtId="9" fontId="46" fillId="2" borderId="19" xfId="0" applyNumberFormat="1" applyFont="1" applyFill="1" applyBorder="1" applyAlignment="1" applyProtection="1">
      <alignment horizontal="center"/>
      <protection locked="0"/>
    </xf>
    <xf numFmtId="9" fontId="46" fillId="2" borderId="2" xfId="0" applyNumberFormat="1" applyFont="1" applyFill="1" applyBorder="1" applyAlignment="1" applyProtection="1">
      <alignment horizontal="center"/>
      <protection locked="0"/>
    </xf>
    <xf numFmtId="0" fontId="38" fillId="0" borderId="22" xfId="0" applyFont="1" applyBorder="1" applyAlignment="1">
      <alignment horizontal="right" vertical="center"/>
    </xf>
    <xf numFmtId="0" fontId="38" fillId="0" borderId="87" xfId="0" applyFont="1" applyBorder="1" applyAlignment="1">
      <alignment horizontal="right" vertical="center"/>
    </xf>
    <xf numFmtId="0" fontId="23" fillId="0" borderId="6" xfId="0" applyFont="1" applyBorder="1" applyAlignment="1">
      <alignment horizontal="centerContinuous" vertical="center"/>
    </xf>
    <xf numFmtId="0" fontId="23" fillId="0" borderId="1" xfId="0" applyFont="1" applyBorder="1" applyAlignment="1">
      <alignment horizontal="centerContinuous" vertical="center"/>
    </xf>
    <xf numFmtId="0" fontId="21" fillId="0" borderId="11" xfId="0" applyFont="1" applyBorder="1" applyAlignment="1">
      <alignment horizontal="centerContinuous"/>
    </xf>
    <xf numFmtId="0" fontId="23" fillId="0" borderId="42" xfId="0" applyFont="1" applyBorder="1" applyAlignment="1">
      <alignment horizontal="centerContinuous" vertical="center"/>
    </xf>
    <xf numFmtId="0" fontId="23" fillId="0" borderId="61" xfId="0" applyFont="1" applyBorder="1" applyAlignment="1">
      <alignment horizontal="centerContinuous" vertical="center"/>
    </xf>
    <xf numFmtId="0" fontId="21" fillId="0" borderId="10" xfId="0" applyFont="1" applyBorder="1" applyAlignment="1">
      <alignment horizontal="centerContinuous" vertical="center"/>
    </xf>
    <xf numFmtId="0" fontId="22" fillId="0" borderId="9" xfId="0" applyFont="1" applyBorder="1" applyAlignment="1">
      <alignment horizontal="centerContinuous" vertical="center"/>
    </xf>
    <xf numFmtId="0" fontId="22" fillId="0" borderId="49" xfId="0" applyFont="1" applyBorder="1" applyAlignment="1">
      <alignment horizontal="centerContinuous" vertical="center"/>
    </xf>
    <xf numFmtId="0" fontId="35" fillId="0" borderId="9" xfId="0" applyFont="1" applyBorder="1" applyAlignment="1">
      <alignment horizontal="centerContinuous" vertical="center"/>
    </xf>
    <xf numFmtId="0" fontId="20" fillId="0" borderId="0" xfId="0" applyFont="1" applyAlignment="1">
      <alignment horizontal="centerContinuous" vertical="center"/>
    </xf>
    <xf numFmtId="0" fontId="17" fillId="0" borderId="56" xfId="0" applyFont="1" applyBorder="1" applyAlignment="1" applyProtection="1">
      <alignment horizontal="centerContinuous" vertical="center"/>
    </xf>
    <xf numFmtId="233" fontId="21" fillId="0" borderId="38" xfId="0" applyNumberFormat="1" applyFont="1" applyBorder="1" applyAlignment="1" applyProtection="1">
      <alignment vertical="center"/>
    </xf>
    <xf numFmtId="0" fontId="15" fillId="0" borderId="0" xfId="0" applyFont="1" applyAlignment="1" applyProtection="1">
      <alignment horizontal="centerContinuous" vertical="center"/>
    </xf>
    <xf numFmtId="0" fontId="14" fillId="0" borderId="0" xfId="0" applyFont="1" applyAlignment="1">
      <alignment horizontal="centerContinuous" vertical="center"/>
    </xf>
    <xf numFmtId="0" fontId="33" fillId="0" borderId="0" xfId="0" applyFont="1" applyAlignment="1">
      <alignment horizontal="left"/>
    </xf>
    <xf numFmtId="0" fontId="20" fillId="0" borderId="0" xfId="0" applyFont="1" applyAlignment="1">
      <alignment horizontal="left"/>
    </xf>
    <xf numFmtId="0" fontId="17" fillId="0" borderId="0" xfId="0" applyFont="1" applyAlignment="1">
      <alignment horizontal="left"/>
    </xf>
    <xf numFmtId="0" fontId="14" fillId="0" borderId="0" xfId="0" applyFont="1" applyAlignment="1">
      <alignment horizontal="left"/>
    </xf>
    <xf numFmtId="0" fontId="14" fillId="0" borderId="0" xfId="0" applyFont="1" applyAlignment="1">
      <alignment horizontal="right"/>
    </xf>
    <xf numFmtId="0" fontId="22" fillId="0" borderId="0" xfId="0" applyFont="1" applyAlignment="1">
      <alignment vertical="center"/>
    </xf>
    <xf numFmtId="0" fontId="22" fillId="0" borderId="0" xfId="0" applyFont="1" applyAlignment="1">
      <alignment horizontal="centerContinuous"/>
    </xf>
    <xf numFmtId="0" fontId="22" fillId="0" borderId="0" xfId="0" applyFont="1"/>
    <xf numFmtId="0" fontId="53" fillId="0" borderId="0" xfId="0" applyFont="1" applyAlignment="1">
      <alignment horizontal="centerContinuous"/>
    </xf>
    <xf numFmtId="174" fontId="54" fillId="0" borderId="0" xfId="0" applyNumberFormat="1" applyFont="1" applyAlignment="1">
      <alignment horizontal="center" vertical="center"/>
    </xf>
    <xf numFmtId="175" fontId="33" fillId="0" borderId="0" xfId="0" applyNumberFormat="1" applyFont="1"/>
    <xf numFmtId="174" fontId="54" fillId="0" borderId="0" xfId="0" applyNumberFormat="1" applyFont="1" applyAlignment="1">
      <alignment vertical="center"/>
    </xf>
    <xf numFmtId="4" fontId="20" fillId="0" borderId="0" xfId="0" applyNumberFormat="1" applyFont="1"/>
    <xf numFmtId="3" fontId="14" fillId="0" borderId="0" xfId="0" applyNumberFormat="1" applyFont="1" applyAlignment="1">
      <alignment horizontal="left"/>
    </xf>
    <xf numFmtId="3" fontId="14" fillId="0" borderId="0" xfId="0" applyNumberFormat="1" applyFont="1" applyAlignment="1">
      <alignment horizontal="right"/>
    </xf>
    <xf numFmtId="0" fontId="14" fillId="0" borderId="9" xfId="0" applyFont="1" applyBorder="1" applyAlignment="1">
      <alignment horizontal="centerContinuous" vertical="center"/>
    </xf>
    <xf numFmtId="0" fontId="50" fillId="0" borderId="0" xfId="0" applyFont="1" applyAlignment="1">
      <alignment horizontal="center"/>
    </xf>
    <xf numFmtId="0" fontId="20" fillId="0" borderId="6" xfId="0" applyFont="1" applyBorder="1" applyAlignment="1">
      <alignment horizontal="centerContinuous" vertical="center"/>
    </xf>
    <xf numFmtId="0" fontId="21" fillId="0" borderId="56" xfId="0" applyFont="1" applyBorder="1" applyAlignment="1">
      <alignment horizontal="left" vertical="center" indent="1"/>
    </xf>
    <xf numFmtId="0" fontId="21" fillId="0" borderId="9" xfId="0" applyFont="1" applyBorder="1" applyAlignment="1">
      <alignment horizontal="left" vertical="center" indent="1"/>
    </xf>
    <xf numFmtId="0" fontId="21" fillId="2" borderId="9" xfId="0" applyFont="1" applyFill="1" applyBorder="1" applyAlignment="1" applyProtection="1">
      <alignment horizontal="left" vertical="center" indent="1"/>
      <protection locked="0"/>
    </xf>
    <xf numFmtId="0" fontId="21" fillId="0" borderId="11" xfId="0" applyFont="1" applyBorder="1" applyAlignment="1">
      <alignment horizontal="left" vertical="center" indent="1"/>
    </xf>
    <xf numFmtId="0" fontId="38" fillId="0" borderId="56" xfId="0" applyFont="1" applyBorder="1"/>
    <xf numFmtId="0" fontId="17" fillId="0" borderId="21" xfId="0" applyFont="1" applyBorder="1" applyAlignment="1" applyProtection="1">
      <alignment horizontal="center"/>
      <protection locked="0"/>
    </xf>
    <xf numFmtId="9" fontId="46" fillId="0" borderId="4" xfId="0" applyNumberFormat="1" applyFont="1" applyBorder="1" applyAlignment="1" applyProtection="1">
      <alignment horizontal="center" vertical="center"/>
    </xf>
    <xf numFmtId="0" fontId="17" fillId="0" borderId="1" xfId="0" applyFont="1" applyBorder="1" applyAlignment="1">
      <alignment horizontal="centerContinuous"/>
    </xf>
    <xf numFmtId="0" fontId="23" fillId="0" borderId="0" xfId="0" applyFont="1" applyAlignment="1">
      <alignment horizontal="centerContinuous"/>
    </xf>
    <xf numFmtId="0" fontId="21" fillId="0" borderId="34" xfId="0" applyFont="1" applyBorder="1" applyAlignment="1">
      <alignment horizontal="centerContinuous" wrapText="1"/>
    </xf>
    <xf numFmtId="0" fontId="21" fillId="0" borderId="62" xfId="0" applyFont="1" applyBorder="1" applyAlignment="1">
      <alignment horizontal="centerContinuous"/>
    </xf>
    <xf numFmtId="0" fontId="21" fillId="0" borderId="0" xfId="0" applyFont="1" applyAlignment="1">
      <alignment horizontal="left" vertical="center" indent="1"/>
    </xf>
    <xf numFmtId="0" fontId="47" fillId="0" borderId="0" xfId="0" applyFont="1" applyAlignment="1">
      <alignment horizontal="centerContinuous" vertical="center"/>
    </xf>
    <xf numFmtId="0" fontId="46" fillId="0" borderId="0" xfId="0" applyFont="1" applyAlignment="1">
      <alignment horizontal="centerContinuous" vertical="center"/>
    </xf>
    <xf numFmtId="0" fontId="35" fillId="0" borderId="0" xfId="0" applyFont="1" applyAlignment="1">
      <alignment horizontal="centerContinuous"/>
    </xf>
    <xf numFmtId="0" fontId="20" fillId="0" borderId="0" xfId="0" applyFont="1" applyAlignment="1">
      <alignment horizontal="center"/>
    </xf>
    <xf numFmtId="0" fontId="20" fillId="0" borderId="9" xfId="0" applyFont="1" applyBorder="1" applyAlignment="1">
      <alignment horizontal="centerContinuous"/>
    </xf>
    <xf numFmtId="0" fontId="20" fillId="0" borderId="1" xfId="0" applyFont="1" applyBorder="1" applyAlignment="1">
      <alignment horizontal="centerContinuous" vertical="center"/>
    </xf>
    <xf numFmtId="0" fontId="20" fillId="0" borderId="37" xfId="0" applyFont="1" applyBorder="1" applyAlignment="1">
      <alignment horizontal="center" vertical="center"/>
    </xf>
    <xf numFmtId="0" fontId="20" fillId="0" borderId="25" xfId="0" applyFont="1" applyBorder="1" applyAlignment="1">
      <alignment horizontal="center" vertical="center"/>
    </xf>
    <xf numFmtId="0" fontId="20" fillId="0" borderId="37" xfId="0" applyFont="1" applyBorder="1" applyAlignment="1">
      <alignment horizontal="center" wrapText="1"/>
    </xf>
    <xf numFmtId="0" fontId="20" fillId="0" borderId="25" xfId="0" applyFont="1" applyBorder="1" applyAlignment="1">
      <alignment horizontal="center" wrapText="1"/>
    </xf>
    <xf numFmtId="0" fontId="32" fillId="0" borderId="0" xfId="0" applyFont="1" applyAlignment="1">
      <alignment horizontal="center"/>
    </xf>
    <xf numFmtId="0" fontId="33" fillId="0" borderId="0" xfId="0" applyFont="1"/>
    <xf numFmtId="0" fontId="36" fillId="0" borderId="0" xfId="0" applyFont="1"/>
    <xf numFmtId="0" fontId="56" fillId="0" borderId="0" xfId="0" applyFont="1" applyAlignment="1">
      <alignment horizontal="center"/>
    </xf>
    <xf numFmtId="0" fontId="33" fillId="0" borderId="0" xfId="0" applyFont="1" applyAlignment="1">
      <alignment horizontal="center"/>
    </xf>
    <xf numFmtId="0" fontId="46" fillId="0" borderId="0" xfId="0" applyFont="1"/>
    <xf numFmtId="0" fontId="17" fillId="0" borderId="6" xfId="0" applyFont="1" applyBorder="1" applyAlignment="1">
      <alignment horizontal="centerContinuous" vertical="center"/>
    </xf>
    <xf numFmtId="0" fontId="17" fillId="0" borderId="9" xfId="0" applyFont="1" applyBorder="1" applyAlignment="1">
      <alignment horizontal="center" vertical="center"/>
    </xf>
    <xf numFmtId="0" fontId="20" fillId="0" borderId="26" xfId="0" applyFont="1" applyBorder="1" applyAlignment="1">
      <alignment vertical="center"/>
    </xf>
    <xf numFmtId="0" fontId="21" fillId="0" borderId="26" xfId="0" applyFont="1" applyBorder="1" applyAlignment="1">
      <alignment vertical="center"/>
    </xf>
    <xf numFmtId="0" fontId="17" fillId="0" borderId="20" xfId="0" applyFont="1" applyBorder="1" applyAlignment="1">
      <alignment horizontal="center" vertical="center"/>
    </xf>
    <xf numFmtId="0" fontId="23" fillId="0" borderId="22" xfId="0" applyFont="1" applyBorder="1" applyAlignment="1">
      <alignment horizontal="center" vertical="center"/>
    </xf>
    <xf numFmtId="0" fontId="20" fillId="0" borderId="48" xfId="0" applyFont="1" applyBorder="1" applyAlignment="1">
      <alignment horizontal="center" vertical="center"/>
    </xf>
    <xf numFmtId="0" fontId="20" fillId="0" borderId="22" xfId="0" applyFont="1" applyBorder="1" applyAlignment="1">
      <alignment horizontal="center" vertical="center"/>
    </xf>
    <xf numFmtId="0" fontId="17" fillId="0" borderId="0" xfId="0" applyFont="1" applyAlignment="1">
      <alignment vertical="center"/>
    </xf>
    <xf numFmtId="0" fontId="17" fillId="0" borderId="7" xfId="0" applyFont="1" applyBorder="1" applyAlignment="1">
      <alignment horizontal="center" vertical="center"/>
    </xf>
    <xf numFmtId="0" fontId="21" fillId="0" borderId="13" xfId="0" applyFont="1" applyBorder="1" applyAlignment="1">
      <alignment vertical="center"/>
    </xf>
    <xf numFmtId="0" fontId="17" fillId="0" borderId="23" xfId="0" applyFont="1" applyBorder="1" applyAlignment="1">
      <alignment horizontal="center" vertical="center"/>
    </xf>
    <xf numFmtId="0" fontId="23" fillId="0" borderId="24" xfId="0" applyFont="1" applyBorder="1" applyAlignment="1">
      <alignment horizontal="center" vertical="center"/>
    </xf>
    <xf numFmtId="0" fontId="20" fillId="0" borderId="23" xfId="0" applyFont="1" applyBorder="1" applyAlignment="1">
      <alignment horizontal="center" vertical="center"/>
    </xf>
    <xf numFmtId="0" fontId="20" fillId="0" borderId="24" xfId="0" applyFont="1" applyBorder="1" applyAlignment="1">
      <alignment horizontal="center" vertical="center"/>
    </xf>
    <xf numFmtId="0" fontId="17" fillId="0" borderId="34" xfId="0" applyFont="1" applyBorder="1" applyAlignment="1">
      <alignment horizontal="center" vertical="center"/>
    </xf>
    <xf numFmtId="0" fontId="23" fillId="0" borderId="4" xfId="0" applyFont="1" applyBorder="1" applyAlignment="1">
      <alignment horizontal="center" vertical="center"/>
    </xf>
    <xf numFmtId="0" fontId="14" fillId="0" borderId="0" xfId="0" applyFont="1" applyAlignment="1">
      <alignment vertical="center"/>
    </xf>
    <xf numFmtId="0" fontId="20" fillId="0" borderId="0" xfId="0" applyFont="1" applyAlignment="1">
      <alignment vertical="center"/>
    </xf>
    <xf numFmtId="0" fontId="20" fillId="0" borderId="56" xfId="0" applyFont="1" applyBorder="1" applyAlignment="1">
      <alignment vertical="center"/>
    </xf>
    <xf numFmtId="0" fontId="20" fillId="0" borderId="40" xfId="0" applyFont="1" applyBorder="1" applyAlignment="1">
      <alignment horizontal="right" vertical="center"/>
    </xf>
    <xf numFmtId="0" fontId="17" fillId="0" borderId="30" xfId="0" applyFont="1" applyBorder="1" applyAlignment="1">
      <alignment horizontal="center" vertical="center"/>
    </xf>
    <xf numFmtId="0" fontId="17" fillId="0" borderId="22" xfId="0" applyFont="1" applyBorder="1" applyAlignment="1">
      <alignment horizontal="center" vertical="center"/>
    </xf>
    <xf numFmtId="0" fontId="20" fillId="0" borderId="16" xfId="0" applyFont="1" applyBorder="1" applyAlignment="1">
      <alignment vertical="center"/>
    </xf>
    <xf numFmtId="0" fontId="20" fillId="0" borderId="62" xfId="0" applyFont="1" applyBorder="1" applyAlignment="1">
      <alignment vertical="center"/>
    </xf>
    <xf numFmtId="0" fontId="20" fillId="0" borderId="44" xfId="0" applyFont="1" applyBorder="1" applyAlignment="1">
      <alignment horizontal="right" vertical="center"/>
    </xf>
    <xf numFmtId="0" fontId="17" fillId="0" borderId="19" xfId="0" applyFont="1" applyBorder="1" applyAlignment="1">
      <alignment horizontal="center" vertical="center"/>
    </xf>
    <xf numFmtId="0" fontId="20" fillId="0" borderId="34" xfId="0" applyFont="1" applyBorder="1" applyAlignment="1">
      <alignment horizontal="center" vertical="center"/>
    </xf>
    <xf numFmtId="0" fontId="20" fillId="0" borderId="4" xfId="0" applyFont="1" applyBorder="1" applyAlignment="1">
      <alignment horizontal="center" vertical="center"/>
    </xf>
    <xf numFmtId="0" fontId="17" fillId="0" borderId="6" xfId="0" applyFont="1" applyBorder="1" applyAlignment="1" applyProtection="1">
      <alignment horizontal="left" indent="1"/>
    </xf>
    <xf numFmtId="233" fontId="21" fillId="0" borderId="19" xfId="0" applyNumberFormat="1" applyFont="1" applyBorder="1" applyAlignment="1" applyProtection="1">
      <alignment vertical="center"/>
    </xf>
    <xf numFmtId="0" fontId="27" fillId="0" borderId="88" xfId="0" applyFont="1" applyBorder="1" applyAlignment="1" applyProtection="1">
      <alignment horizontal="centerContinuous" vertical="center" wrapText="1"/>
    </xf>
    <xf numFmtId="0" fontId="27" fillId="0" borderId="89" xfId="0" applyFont="1" applyBorder="1" applyAlignment="1" applyProtection="1">
      <alignment horizontal="centerContinuous" vertical="center" wrapText="1"/>
    </xf>
    <xf numFmtId="10" fontId="21" fillId="2" borderId="13" xfId="0" applyNumberFormat="1" applyFont="1" applyFill="1" applyBorder="1" applyAlignment="1" applyProtection="1">
      <alignment horizontal="center" vertical="center"/>
      <protection locked="0"/>
    </xf>
    <xf numFmtId="3" fontId="21" fillId="2" borderId="13" xfId="0" applyNumberFormat="1" applyFont="1" applyFill="1" applyBorder="1" applyAlignment="1" applyProtection="1">
      <alignment horizontal="center" vertical="center"/>
      <protection locked="0"/>
    </xf>
    <xf numFmtId="0" fontId="21" fillId="0" borderId="67" xfId="0" applyFont="1" applyBorder="1" applyProtection="1"/>
    <xf numFmtId="10" fontId="21" fillId="2" borderId="43" xfId="0" applyNumberFormat="1" applyFont="1" applyFill="1" applyBorder="1" applyAlignment="1" applyProtection="1">
      <alignment horizontal="center" vertical="center"/>
      <protection locked="0"/>
    </xf>
    <xf numFmtId="0" fontId="21" fillId="0" borderId="43" xfId="0" applyFont="1" applyBorder="1" applyAlignment="1" applyProtection="1">
      <alignment vertical="center"/>
    </xf>
    <xf numFmtId="3" fontId="21" fillId="2" borderId="43" xfId="0" applyNumberFormat="1" applyFont="1" applyFill="1" applyBorder="1" applyAlignment="1" applyProtection="1">
      <alignment horizontal="center" vertical="center"/>
      <protection locked="0"/>
    </xf>
    <xf numFmtId="0" fontId="21" fillId="0" borderId="70" xfId="0" applyFont="1" applyBorder="1" applyProtection="1"/>
    <xf numFmtId="10" fontId="21" fillId="2" borderId="12" xfId="0" applyNumberFormat="1" applyFont="1" applyFill="1" applyBorder="1" applyAlignment="1" applyProtection="1">
      <alignment horizontal="center" vertical="center"/>
      <protection locked="0"/>
    </xf>
    <xf numFmtId="3" fontId="21" fillId="2" borderId="12" xfId="0" applyNumberFormat="1" applyFont="1" applyFill="1" applyBorder="1" applyAlignment="1" applyProtection="1">
      <alignment horizontal="center" vertical="center"/>
      <protection locked="0"/>
    </xf>
    <xf numFmtId="0" fontId="21" fillId="0" borderId="38" xfId="0" applyFont="1" applyBorder="1" applyProtection="1"/>
    <xf numFmtId="235" fontId="21" fillId="0" borderId="19" xfId="4" applyNumberFormat="1" applyFont="1" applyFill="1" applyBorder="1" applyAlignment="1" applyProtection="1">
      <alignment vertical="center"/>
    </xf>
    <xf numFmtId="235" fontId="21" fillId="0" borderId="62" xfId="4" applyNumberFormat="1" applyFont="1" applyFill="1" applyBorder="1" applyAlignment="1" applyProtection="1">
      <alignment vertical="center"/>
    </xf>
    <xf numFmtId="236" fontId="17" fillId="0" borderId="12" xfId="4" applyNumberFormat="1" applyFont="1" applyFill="1" applyBorder="1" applyAlignment="1" applyProtection="1"/>
    <xf numFmtId="235" fontId="21" fillId="0" borderId="12" xfId="4" applyNumberFormat="1" applyFont="1" applyFill="1" applyBorder="1" applyProtection="1"/>
    <xf numFmtId="236" fontId="17" fillId="0" borderId="18" xfId="4" applyNumberFormat="1" applyFont="1" applyFill="1" applyBorder="1" applyAlignment="1" applyProtection="1"/>
    <xf numFmtId="235" fontId="21" fillId="0" borderId="19" xfId="4" applyNumberFormat="1" applyFont="1" applyFill="1" applyBorder="1" applyProtection="1"/>
    <xf numFmtId="0" fontId="46" fillId="0" borderId="0" xfId="0" applyFont="1" applyAlignment="1" applyProtection="1">
      <alignment vertical="center"/>
    </xf>
    <xf numFmtId="0" fontId="21" fillId="0" borderId="56" xfId="0" applyFont="1" applyBorder="1" applyAlignment="1">
      <alignment vertical="center"/>
    </xf>
    <xf numFmtId="0" fontId="21" fillId="0" borderId="40" xfId="0" applyFont="1" applyBorder="1" applyAlignment="1">
      <alignment vertical="center"/>
    </xf>
    <xf numFmtId="0" fontId="21" fillId="0" borderId="16" xfId="0" applyFont="1" applyBorder="1" applyAlignment="1">
      <alignment vertical="center"/>
    </xf>
    <xf numFmtId="0" fontId="21" fillId="0" borderId="62" xfId="0" applyFont="1" applyBorder="1" applyAlignment="1">
      <alignment vertical="center"/>
    </xf>
    <xf numFmtId="0" fontId="21" fillId="0" borderId="44" xfId="0" applyFont="1" applyBorder="1" applyAlignment="1">
      <alignment vertical="center"/>
    </xf>
    <xf numFmtId="0" fontId="17" fillId="0" borderId="26" xfId="0" applyFont="1" applyBorder="1" applyAlignment="1">
      <alignment horizontal="left" vertical="center" indent="1"/>
    </xf>
    <xf numFmtId="0" fontId="41" fillId="0" borderId="62" xfId="0" applyFont="1" applyBorder="1" applyAlignment="1">
      <alignment horizontal="left" vertical="center" indent="1"/>
    </xf>
    <xf numFmtId="0" fontId="21" fillId="0" borderId="49" xfId="0" applyFont="1" applyBorder="1" applyAlignment="1">
      <alignment vertical="center"/>
    </xf>
    <xf numFmtId="0" fontId="22" fillId="0" borderId="61" xfId="0" applyFont="1" applyBorder="1" applyAlignment="1">
      <alignment horizontal="right" vertical="center"/>
    </xf>
    <xf numFmtId="0" fontId="21" fillId="0" borderId="61" xfId="0" applyFont="1" applyBorder="1" applyAlignment="1">
      <alignment vertical="center"/>
    </xf>
    <xf numFmtId="0" fontId="21" fillId="0" borderId="42" xfId="0" applyFont="1" applyBorder="1" applyAlignment="1">
      <alignment vertical="center"/>
    </xf>
    <xf numFmtId="200" fontId="38" fillId="0" borderId="18" xfId="0" applyNumberFormat="1" applyFont="1" applyBorder="1" applyAlignment="1">
      <alignment vertical="center"/>
    </xf>
    <xf numFmtId="200" fontId="38" fillId="0" borderId="61" xfId="0" applyNumberFormat="1" applyFont="1" applyBorder="1" applyAlignment="1">
      <alignment vertical="center"/>
    </xf>
    <xf numFmtId="0" fontId="21" fillId="0" borderId="57" xfId="0" applyFont="1" applyBorder="1" applyAlignment="1">
      <alignment vertical="center"/>
    </xf>
    <xf numFmtId="200" fontId="38" fillId="0" borderId="17" xfId="0" applyNumberFormat="1" applyFont="1" applyBorder="1" applyAlignment="1">
      <alignment vertical="center"/>
    </xf>
    <xf numFmtId="200" fontId="38" fillId="0" borderId="64" xfId="0" applyNumberFormat="1" applyFont="1" applyBorder="1" applyAlignment="1">
      <alignment vertical="center"/>
    </xf>
    <xf numFmtId="0" fontId="21" fillId="0" borderId="64" xfId="0" applyFont="1" applyBorder="1" applyAlignment="1">
      <alignment vertical="center"/>
    </xf>
    <xf numFmtId="0" fontId="21" fillId="0" borderId="90" xfId="0" applyFont="1" applyBorder="1" applyAlignment="1">
      <alignment vertical="center"/>
    </xf>
    <xf numFmtId="2" fontId="17" fillId="0" borderId="18" xfId="0" applyNumberFormat="1" applyFont="1" applyBorder="1" applyAlignment="1">
      <alignment horizontal="center" vertical="center"/>
    </xf>
    <xf numFmtId="2" fontId="17" fillId="0" borderId="61" xfId="0" applyNumberFormat="1" applyFont="1" applyBorder="1" applyAlignment="1">
      <alignment horizontal="center" vertical="center"/>
    </xf>
    <xf numFmtId="0" fontId="17" fillId="0" borderId="26" xfId="0" quotePrefix="1" applyFont="1" applyBorder="1" applyAlignment="1">
      <alignment vertical="center"/>
    </xf>
    <xf numFmtId="0" fontId="22" fillId="0" borderId="64" xfId="0" applyFont="1" applyBorder="1" applyAlignment="1">
      <alignment horizontal="right" vertical="center"/>
    </xf>
    <xf numFmtId="2" fontId="17" fillId="0" borderId="17" xfId="0" applyNumberFormat="1" applyFont="1" applyBorder="1" applyAlignment="1">
      <alignment horizontal="center" vertical="center"/>
    </xf>
    <xf numFmtId="2" fontId="17" fillId="0" borderId="64" xfId="0" applyNumberFormat="1" applyFont="1" applyBorder="1" applyAlignment="1">
      <alignment horizontal="center" vertical="center"/>
    </xf>
    <xf numFmtId="0" fontId="17" fillId="0" borderId="57" xfId="0" quotePrefix="1" applyFont="1" applyBorder="1" applyAlignment="1">
      <alignment vertical="center"/>
    </xf>
    <xf numFmtId="3" fontId="23" fillId="0" borderId="0" xfId="0" applyNumberFormat="1" applyFont="1" applyAlignment="1">
      <alignment vertical="center"/>
    </xf>
    <xf numFmtId="3" fontId="20" fillId="0" borderId="0" xfId="0" applyNumberFormat="1" applyFont="1" applyAlignment="1">
      <alignment vertical="center"/>
    </xf>
    <xf numFmtId="0" fontId="21" fillId="0" borderId="61" xfId="0" applyFont="1" applyBorder="1" applyAlignment="1">
      <alignment horizontal="left" vertical="center" indent="1"/>
    </xf>
    <xf numFmtId="0" fontId="38" fillId="0" borderId="61" xfId="0" applyFont="1" applyBorder="1" applyAlignment="1">
      <alignment horizontal="left" vertical="center" indent="1"/>
    </xf>
    <xf numFmtId="0" fontId="38" fillId="0" borderId="62" xfId="0" applyFont="1" applyBorder="1" applyAlignment="1">
      <alignment horizontal="left" vertical="center" indent="1"/>
    </xf>
    <xf numFmtId="0" fontId="21" fillId="0" borderId="0" xfId="0" applyFont="1" applyAlignment="1">
      <alignment horizontal="left"/>
    </xf>
    <xf numFmtId="3" fontId="14" fillId="0" borderId="14" xfId="0" applyNumberFormat="1" applyFont="1" applyBorder="1" applyAlignment="1" applyProtection="1">
      <alignment horizontal="centerContinuous" vertical="center"/>
    </xf>
    <xf numFmtId="3" fontId="21" fillId="0" borderId="12" xfId="0" applyNumberFormat="1" applyFont="1" applyBorder="1" applyAlignment="1" applyProtection="1">
      <alignment horizontal="left" vertical="center" indent="4"/>
    </xf>
    <xf numFmtId="10" fontId="21" fillId="0" borderId="12" xfId="0" applyNumberFormat="1" applyFont="1" applyBorder="1" applyAlignment="1" applyProtection="1">
      <alignment horizontal="center"/>
      <protection locked="0"/>
    </xf>
    <xf numFmtId="3" fontId="21" fillId="0" borderId="12" xfId="0" applyNumberFormat="1" applyFont="1" applyBorder="1" applyAlignment="1" applyProtection="1">
      <alignment horizontal="center"/>
      <protection locked="0"/>
    </xf>
    <xf numFmtId="3" fontId="17" fillId="0" borderId="9" xfId="0" applyNumberFormat="1" applyFont="1" applyBorder="1" applyAlignment="1" applyProtection="1">
      <alignment horizontal="centerContinuous" vertical="center"/>
    </xf>
    <xf numFmtId="236" fontId="21" fillId="0" borderId="15" xfId="4" applyNumberFormat="1" applyFont="1" applyFill="1" applyBorder="1" applyAlignment="1" applyProtection="1">
      <alignment vertical="center"/>
      <protection locked="0"/>
    </xf>
    <xf numFmtId="3" fontId="21" fillId="0" borderId="15" xfId="0" applyNumberFormat="1" applyFont="1" applyBorder="1" applyAlignment="1" applyProtection="1">
      <alignment horizontal="left" vertical="center" indent="1"/>
    </xf>
    <xf numFmtId="242" fontId="21" fillId="0" borderId="11" xfId="0" applyNumberFormat="1" applyFont="1" applyBorder="1" applyAlignment="1" applyProtection="1">
      <alignment horizontal="right" vertical="center"/>
    </xf>
    <xf numFmtId="3" fontId="21" fillId="0" borderId="11" xfId="0" applyNumberFormat="1" applyFont="1" applyBorder="1" applyAlignment="1" applyProtection="1">
      <alignment horizontal="right" indent="1"/>
    </xf>
    <xf numFmtId="173" fontId="21" fillId="0" borderId="19" xfId="0" applyNumberFormat="1" applyFont="1" applyBorder="1" applyAlignment="1" applyProtection="1">
      <alignment horizontal="center"/>
      <protection locked="0"/>
    </xf>
    <xf numFmtId="243" fontId="21" fillId="0" borderId="11" xfId="0" applyNumberFormat="1" applyFont="1" applyBorder="1" applyAlignment="1" applyProtection="1">
      <alignment horizontal="right" vertical="center"/>
    </xf>
    <xf numFmtId="3" fontId="22" fillId="0" borderId="9" xfId="0" applyNumberFormat="1" applyFont="1" applyBorder="1" applyAlignment="1" applyProtection="1">
      <alignment horizontal="centerContinuous" vertical="center" wrapText="1"/>
    </xf>
    <xf numFmtId="3" fontId="22" fillId="0" borderId="11" xfId="0" applyNumberFormat="1" applyFont="1" applyBorder="1" applyAlignment="1" applyProtection="1">
      <alignment horizontal="centerContinuous" vertical="center" wrapText="1"/>
    </xf>
    <xf numFmtId="207" fontId="21" fillId="0" borderId="23" xfId="0" applyNumberFormat="1" applyFont="1" applyBorder="1" applyAlignment="1" applyProtection="1">
      <alignment vertical="center"/>
    </xf>
    <xf numFmtId="207" fontId="21" fillId="0" borderId="34" xfId="0" applyNumberFormat="1" applyFont="1" applyBorder="1" applyAlignment="1" applyProtection="1">
      <alignment vertical="center"/>
    </xf>
    <xf numFmtId="207" fontId="21" fillId="0" borderId="35" xfId="0" applyNumberFormat="1" applyFont="1" applyBorder="1" applyAlignment="1" applyProtection="1">
      <alignment vertical="center"/>
    </xf>
    <xf numFmtId="207" fontId="21" fillId="0" borderId="4" xfId="0" applyNumberFormat="1" applyFont="1" applyBorder="1" applyAlignment="1" applyProtection="1">
      <alignment vertical="center"/>
    </xf>
    <xf numFmtId="233" fontId="21" fillId="0" borderId="67" xfId="0" applyNumberFormat="1" applyFont="1" applyBorder="1" applyAlignment="1" applyProtection="1">
      <alignment vertical="center"/>
    </xf>
    <xf numFmtId="233" fontId="21" fillId="0" borderId="15" xfId="0" applyNumberFormat="1" applyFont="1" applyBorder="1" applyAlignment="1" applyProtection="1">
      <alignment vertical="center"/>
    </xf>
    <xf numFmtId="233" fontId="21" fillId="0" borderId="77" xfId="0" applyNumberFormat="1" applyFont="1" applyBorder="1" applyAlignment="1" applyProtection="1">
      <alignment vertical="center"/>
    </xf>
    <xf numFmtId="0" fontId="17" fillId="0" borderId="9" xfId="0" applyFont="1" applyBorder="1" applyAlignment="1">
      <alignment vertical="center"/>
    </xf>
    <xf numFmtId="0" fontId="17" fillId="3" borderId="11" xfId="0" applyFont="1" applyFill="1" applyBorder="1" applyAlignment="1" applyProtection="1">
      <alignment horizontal="center" vertical="center"/>
      <protection locked="0"/>
    </xf>
    <xf numFmtId="227" fontId="23" fillId="0" borderId="2" xfId="0" applyNumberFormat="1" applyFont="1" applyBorder="1" applyProtection="1">
      <protection locked="0"/>
    </xf>
    <xf numFmtId="227" fontId="23" fillId="0" borderId="50" xfId="0" applyNumberFormat="1" applyFont="1" applyBorder="1" applyProtection="1">
      <protection locked="0"/>
    </xf>
    <xf numFmtId="0" fontId="21" fillId="0" borderId="25" xfId="0" applyFont="1" applyBorder="1" applyAlignment="1">
      <alignment horizontal="centerContinuous"/>
    </xf>
    <xf numFmtId="2" fontId="21" fillId="0" borderId="24" xfId="0" applyNumberFormat="1" applyFont="1" applyBorder="1" applyAlignment="1">
      <alignment horizontal="center"/>
    </xf>
    <xf numFmtId="2" fontId="21" fillId="0" borderId="4" xfId="0" applyNumberFormat="1" applyFont="1" applyBorder="1" applyAlignment="1">
      <alignment horizontal="center"/>
    </xf>
    <xf numFmtId="0" fontId="35" fillId="0" borderId="0" xfId="0" applyFont="1" applyAlignment="1" applyProtection="1">
      <alignment horizontal="centerContinuous"/>
    </xf>
    <xf numFmtId="0" fontId="38" fillId="0" borderId="0" xfId="0" applyFont="1" applyAlignment="1">
      <alignment vertical="center"/>
    </xf>
    <xf numFmtId="0" fontId="38" fillId="0" borderId="0" xfId="0" applyFont="1"/>
    <xf numFmtId="0" fontId="38" fillId="0" borderId="13" xfId="0" applyFont="1" applyBorder="1"/>
    <xf numFmtId="0" fontId="38" fillId="0" borderId="0" xfId="0" applyFont="1" applyAlignment="1">
      <alignment horizontal="left" indent="1"/>
    </xf>
    <xf numFmtId="0" fontId="38" fillId="0" borderId="0" xfId="0" applyFont="1" applyAlignment="1" applyProtection="1">
      <alignment horizontal="left" indent="2"/>
    </xf>
    <xf numFmtId="3" fontId="38" fillId="0" borderId="0" xfId="0" applyNumberFormat="1" applyFont="1"/>
    <xf numFmtId="190" fontId="21" fillId="0" borderId="2" xfId="0" applyNumberFormat="1" applyFont="1" applyBorder="1"/>
    <xf numFmtId="0" fontId="38" fillId="0" borderId="2" xfId="0" applyFont="1" applyBorder="1"/>
    <xf numFmtId="190" fontId="21" fillId="0" borderId="24" xfId="0" applyNumberFormat="1" applyFont="1" applyBorder="1"/>
    <xf numFmtId="3" fontId="21" fillId="0" borderId="2" xfId="0" applyNumberFormat="1" applyFont="1" applyBorder="1"/>
    <xf numFmtId="3" fontId="21" fillId="0" borderId="24" xfId="0" applyNumberFormat="1" applyFont="1" applyBorder="1"/>
    <xf numFmtId="0" fontId="38" fillId="0" borderId="23" xfId="0" applyFont="1" applyBorder="1" applyAlignment="1">
      <alignment horizontal="right" vertical="center" indent="2"/>
    </xf>
    <xf numFmtId="0" fontId="38" fillId="0" borderId="34" xfId="0" applyFont="1" applyBorder="1" applyAlignment="1">
      <alignment horizontal="right" vertical="center" indent="2"/>
    </xf>
    <xf numFmtId="0" fontId="46" fillId="0" borderId="37" xfId="0" applyFont="1" applyBorder="1" applyAlignment="1">
      <alignment horizontal="centerContinuous"/>
    </xf>
    <xf numFmtId="0" fontId="21" fillId="0" borderId="37" xfId="0" applyFont="1" applyBorder="1" applyAlignment="1">
      <alignment horizontal="centerContinuous"/>
    </xf>
    <xf numFmtId="0" fontId="21" fillId="0" borderId="58" xfId="0" applyFont="1" applyBorder="1" applyAlignment="1">
      <alignment horizontal="center"/>
    </xf>
    <xf numFmtId="0" fontId="21" fillId="0" borderId="32" xfId="0" applyFont="1" applyBorder="1" applyAlignment="1">
      <alignment horizontal="center"/>
    </xf>
    <xf numFmtId="0" fontId="50" fillId="0" borderId="23" xfId="0" applyFont="1" applyBorder="1" applyAlignment="1">
      <alignment horizontal="center"/>
    </xf>
    <xf numFmtId="0" fontId="50" fillId="0" borderId="34" xfId="0" applyFont="1" applyBorder="1" applyAlignment="1">
      <alignment horizontal="center"/>
    </xf>
    <xf numFmtId="0" fontId="21" fillId="0" borderId="56" xfId="0" applyFont="1" applyBorder="1" applyAlignment="1">
      <alignment horizontal="centerContinuous"/>
    </xf>
    <xf numFmtId="0" fontId="50" fillId="0" borderId="20" xfId="0" applyFont="1" applyBorder="1" applyAlignment="1">
      <alignment horizontal="center"/>
    </xf>
    <xf numFmtId="199" fontId="50" fillId="0" borderId="22" xfId="0" applyNumberFormat="1" applyFont="1" applyBorder="1" applyAlignment="1">
      <alignment horizontal="center"/>
    </xf>
    <xf numFmtId="199" fontId="50" fillId="0" borderId="24" xfId="0" applyNumberFormat="1" applyFont="1" applyBorder="1" applyAlignment="1">
      <alignment horizontal="center"/>
    </xf>
    <xf numFmtId="200" fontId="17" fillId="0" borderId="18" xfId="0" applyNumberFormat="1" applyFont="1" applyBorder="1" applyProtection="1"/>
    <xf numFmtId="0" fontId="21" fillId="0" borderId="50" xfId="0" applyFont="1" applyBorder="1" applyAlignment="1" applyProtection="1">
      <alignment vertical="center"/>
    </xf>
    <xf numFmtId="2" fontId="17" fillId="0" borderId="2" xfId="6" applyNumberFormat="1" applyFont="1" applyFill="1" applyBorder="1" applyAlignment="1" applyProtection="1">
      <alignment horizontal="center" vertical="center"/>
    </xf>
    <xf numFmtId="9" fontId="21" fillId="0" borderId="51" xfId="6" applyFont="1" applyFill="1" applyBorder="1" applyAlignment="1" applyProtection="1">
      <alignment horizontal="right" vertical="center" indent="1"/>
    </xf>
    <xf numFmtId="3" fontId="21" fillId="0" borderId="18" xfId="0" applyNumberFormat="1" applyFont="1" applyBorder="1" applyAlignment="1" applyProtection="1">
      <alignment horizontal="left" vertical="center" indent="4"/>
    </xf>
    <xf numFmtId="3" fontId="21" fillId="0" borderId="19" xfId="0" applyNumberFormat="1" applyFont="1" applyBorder="1" applyAlignment="1" applyProtection="1">
      <alignment horizontal="left" vertical="center" indent="4"/>
    </xf>
    <xf numFmtId="241" fontId="21" fillId="0" borderId="13" xfId="0" applyNumberFormat="1" applyFont="1" applyBorder="1" applyAlignment="1" applyProtection="1">
      <alignment horizontal="right" vertical="center"/>
    </xf>
    <xf numFmtId="241" fontId="21" fillId="0" borderId="12" xfId="0" applyNumberFormat="1" applyFont="1" applyBorder="1" applyAlignment="1" applyProtection="1">
      <alignment horizontal="right" vertical="center"/>
    </xf>
    <xf numFmtId="3" fontId="17" fillId="0" borderId="19" xfId="0" applyNumberFormat="1" applyFont="1" applyBorder="1" applyAlignment="1" applyProtection="1">
      <alignment horizontal="right" indent="2"/>
    </xf>
    <xf numFmtId="0" fontId="38" fillId="0" borderId="0" xfId="0" applyFont="1" applyAlignment="1" applyProtection="1">
      <alignment horizontal="left" indent="1"/>
    </xf>
    <xf numFmtId="0" fontId="38" fillId="0" borderId="0" xfId="0" applyFont="1" applyAlignment="1" applyProtection="1">
      <alignment horizontal="left" vertical="center" indent="3"/>
    </xf>
    <xf numFmtId="241" fontId="21" fillId="2" borderId="17" xfId="0" applyNumberFormat="1" applyFont="1" applyFill="1" applyBorder="1" applyAlignment="1" applyProtection="1">
      <alignment vertical="center"/>
      <protection locked="0"/>
    </xf>
    <xf numFmtId="200" fontId="23" fillId="0" borderId="39" xfId="0" applyNumberFormat="1" applyFont="1" applyBorder="1"/>
    <xf numFmtId="200" fontId="23" fillId="0" borderId="36" xfId="0" applyNumberFormat="1" applyFont="1" applyBorder="1"/>
    <xf numFmtId="200" fontId="23" fillId="0" borderId="72" xfId="0" applyNumberFormat="1" applyFont="1" applyBorder="1"/>
    <xf numFmtId="200" fontId="20" fillId="0" borderId="15" xfId="0" applyNumberFormat="1" applyFont="1" applyBorder="1"/>
    <xf numFmtId="0" fontId="21" fillId="0" borderId="0" xfId="0" quotePrefix="1" applyFont="1"/>
    <xf numFmtId="164" fontId="50" fillId="0" borderId="0" xfId="0" applyNumberFormat="1" applyFont="1"/>
    <xf numFmtId="0" fontId="28" fillId="0" borderId="0" xfId="0" applyFont="1" applyAlignment="1" applyProtection="1">
      <alignment horizontal="centerContinuous"/>
    </xf>
    <xf numFmtId="0" fontId="28" fillId="0" borderId="0" xfId="0" applyFont="1" applyAlignment="1">
      <alignment horizontal="centerContinuous"/>
    </xf>
    <xf numFmtId="0" fontId="28" fillId="0" borderId="0" xfId="0" applyFont="1"/>
    <xf numFmtId="0" fontId="27" fillId="0" borderId="0" xfId="0" applyFont="1" applyAlignment="1" applyProtection="1">
      <alignment horizontal="centerContinuous"/>
    </xf>
    <xf numFmtId="3" fontId="38" fillId="0" borderId="12" xfId="0" applyNumberFormat="1" applyFont="1" applyBorder="1" applyAlignment="1">
      <alignment horizontal="left" indent="3"/>
    </xf>
    <xf numFmtId="3" fontId="15" fillId="0" borderId="0" xfId="0" applyNumberFormat="1" applyFont="1"/>
    <xf numFmtId="3" fontId="20" fillId="0" borderId="0" xfId="0" applyNumberFormat="1" applyFont="1" applyAlignment="1">
      <alignment horizontal="center" vertical="center"/>
    </xf>
    <xf numFmtId="196" fontId="23" fillId="0" borderId="22" xfId="6" applyNumberFormat="1" applyFont="1" applyFill="1" applyBorder="1" applyProtection="1"/>
    <xf numFmtId="196" fontId="23" fillId="0" borderId="24" xfId="6" applyNumberFormat="1" applyFont="1" applyFill="1" applyBorder="1" applyProtection="1"/>
    <xf numFmtId="3" fontId="25" fillId="0" borderId="0" xfId="0" applyNumberFormat="1" applyFont="1" applyAlignment="1">
      <alignment horizontal="left" indent="1"/>
    </xf>
    <xf numFmtId="3" fontId="38" fillId="0" borderId="0" xfId="0" applyNumberFormat="1" applyFont="1" applyAlignment="1">
      <alignment vertical="center"/>
    </xf>
    <xf numFmtId="3" fontId="38" fillId="0" borderId="17" xfId="0" applyNumberFormat="1" applyFont="1" applyBorder="1" applyAlignment="1">
      <alignment horizontal="center" vertical="center"/>
    </xf>
    <xf numFmtId="3" fontId="38" fillId="0" borderId="86" xfId="0" applyNumberFormat="1" applyFont="1" applyBorder="1" applyAlignment="1">
      <alignment horizontal="center" vertical="center"/>
    </xf>
    <xf numFmtId="3" fontId="38" fillId="0" borderId="90" xfId="0" applyNumberFormat="1" applyFont="1" applyBorder="1" applyAlignment="1">
      <alignment horizontal="center" vertical="center"/>
    </xf>
    <xf numFmtId="3" fontId="38" fillId="0" borderId="65" xfId="0" applyNumberFormat="1" applyFont="1" applyBorder="1" applyAlignment="1">
      <alignment horizontal="center" vertical="center"/>
    </xf>
    <xf numFmtId="3" fontId="38" fillId="0" borderId="64" xfId="0" applyNumberFormat="1" applyFont="1" applyBorder="1" applyAlignment="1">
      <alignment horizontal="center" vertical="center"/>
    </xf>
    <xf numFmtId="3" fontId="21" fillId="0" borderId="7" xfId="0" applyNumberFormat="1" applyFont="1" applyBorder="1" applyAlignment="1" applyProtection="1">
      <alignment horizontal="left" vertical="center" indent="3"/>
    </xf>
    <xf numFmtId="3" fontId="21" fillId="0" borderId="49" xfId="0" applyNumberFormat="1" applyFont="1" applyBorder="1" applyAlignment="1" applyProtection="1">
      <alignment horizontal="left" vertical="center" indent="3"/>
    </xf>
    <xf numFmtId="3" fontId="57" fillId="0" borderId="0" xfId="0" applyNumberFormat="1" applyFont="1" applyAlignment="1" applyProtection="1">
      <alignment horizontal="center"/>
    </xf>
    <xf numFmtId="3" fontId="58" fillId="0" borderId="0" xfId="0" applyNumberFormat="1" applyFont="1" applyAlignment="1" applyProtection="1">
      <alignment horizontal="center"/>
    </xf>
    <xf numFmtId="3" fontId="27" fillId="0" borderId="0" xfId="0" applyNumberFormat="1" applyFont="1" applyAlignment="1" applyProtection="1">
      <alignment horizontal="left"/>
    </xf>
    <xf numFmtId="3" fontId="38" fillId="0" borderId="7" xfId="0" applyNumberFormat="1" applyFont="1" applyBorder="1" applyAlignment="1" applyProtection="1">
      <alignment horizontal="left" indent="2"/>
    </xf>
    <xf numFmtId="3" fontId="38" fillId="0" borderId="7" xfId="0" applyNumberFormat="1" applyFont="1" applyBorder="1" applyAlignment="1" applyProtection="1">
      <alignment horizontal="left" vertical="center" indent="2"/>
    </xf>
    <xf numFmtId="3" fontId="38" fillId="0" borderId="8" xfId="0" applyNumberFormat="1" applyFont="1" applyBorder="1" applyAlignment="1" applyProtection="1">
      <alignment horizontal="left" vertical="center" indent="2"/>
    </xf>
    <xf numFmtId="3" fontId="22" fillId="0" borderId="7" xfId="0" applyNumberFormat="1" applyFont="1" applyBorder="1" applyAlignment="1" applyProtection="1">
      <alignment horizontal="left" vertical="center" indent="2"/>
    </xf>
    <xf numFmtId="3" fontId="22" fillId="0" borderId="16" xfId="0" applyNumberFormat="1" applyFont="1" applyBorder="1" applyAlignment="1" applyProtection="1">
      <alignment horizontal="left" vertical="center" indent="2"/>
    </xf>
    <xf numFmtId="217" fontId="38" fillId="0" borderId="5" xfId="6" applyNumberFormat="1" applyFont="1" applyBorder="1" applyAlignment="1" applyProtection="1">
      <alignment vertical="center"/>
    </xf>
    <xf numFmtId="168" fontId="22" fillId="0" borderId="54" xfId="0" applyNumberFormat="1" applyFont="1" applyBorder="1" applyAlignment="1" applyProtection="1">
      <alignment vertical="center"/>
    </xf>
    <xf numFmtId="217" fontId="38" fillId="0" borderId="3" xfId="6" applyNumberFormat="1" applyFont="1" applyBorder="1" applyAlignment="1" applyProtection="1">
      <alignment vertical="center"/>
    </xf>
    <xf numFmtId="217" fontId="22" fillId="0" borderId="55" xfId="0" applyNumberFormat="1" applyFont="1" applyBorder="1" applyAlignment="1" applyProtection="1">
      <alignment vertical="center"/>
    </xf>
    <xf numFmtId="168" fontId="22" fillId="0" borderId="48" xfId="0" applyNumberFormat="1" applyFont="1" applyBorder="1" applyAlignment="1" applyProtection="1">
      <alignment vertical="center"/>
    </xf>
    <xf numFmtId="217" fontId="38" fillId="0" borderId="5" xfId="0" applyNumberFormat="1" applyFont="1" applyBorder="1" applyAlignment="1" applyProtection="1">
      <alignment vertical="center"/>
    </xf>
    <xf numFmtId="217" fontId="38" fillId="0" borderId="55" xfId="0" applyNumberFormat="1" applyFont="1" applyBorder="1" applyAlignment="1" applyProtection="1">
      <alignment vertical="center"/>
    </xf>
    <xf numFmtId="168" fontId="22" fillId="0" borderId="23" xfId="0" applyNumberFormat="1" applyFont="1" applyBorder="1" applyProtection="1"/>
    <xf numFmtId="217" fontId="22" fillId="0" borderId="24" xfId="6" applyNumberFormat="1" applyFont="1" applyBorder="1" applyProtection="1"/>
    <xf numFmtId="168" fontId="22" fillId="0" borderId="51" xfId="0" applyNumberFormat="1" applyFont="1" applyBorder="1" applyProtection="1"/>
    <xf numFmtId="217" fontId="22" fillId="0" borderId="2" xfId="6" applyNumberFormat="1" applyFont="1" applyBorder="1" applyProtection="1"/>
    <xf numFmtId="217" fontId="22" fillId="0" borderId="50" xfId="0" applyNumberFormat="1" applyFont="1" applyBorder="1" applyProtection="1"/>
    <xf numFmtId="217" fontId="22" fillId="0" borderId="24" xfId="0" applyNumberFormat="1" applyFont="1" applyBorder="1" applyProtection="1"/>
    <xf numFmtId="219" fontId="22" fillId="0" borderId="23" xfId="0" applyNumberFormat="1" applyFont="1" applyBorder="1" applyAlignment="1" applyProtection="1">
      <alignment vertical="center"/>
    </xf>
    <xf numFmtId="217" fontId="38" fillId="0" borderId="24" xfId="6" applyNumberFormat="1" applyFont="1" applyFill="1" applyBorder="1" applyAlignment="1" applyProtection="1">
      <alignment vertical="center"/>
    </xf>
    <xf numFmtId="217" fontId="38" fillId="0" borderId="2" xfId="6" applyNumberFormat="1" applyFont="1" applyFill="1" applyBorder="1" applyAlignment="1" applyProtection="1">
      <alignment vertical="center"/>
    </xf>
    <xf numFmtId="217" fontId="38" fillId="0" borderId="50" xfId="0" applyNumberFormat="1" applyFont="1" applyBorder="1" applyAlignment="1" applyProtection="1">
      <alignment vertical="center"/>
    </xf>
    <xf numFmtId="217" fontId="22" fillId="0" borderId="24" xfId="0" applyNumberFormat="1" applyFont="1" applyBorder="1" applyAlignment="1" applyProtection="1">
      <alignment vertical="center"/>
    </xf>
    <xf numFmtId="217" fontId="22" fillId="0" borderId="50" xfId="0" applyNumberFormat="1" applyFont="1" applyBorder="1" applyAlignment="1" applyProtection="1">
      <alignment vertical="center"/>
    </xf>
    <xf numFmtId="217" fontId="38" fillId="0" borderId="24" xfId="0" applyNumberFormat="1" applyFont="1" applyBorder="1" applyAlignment="1" applyProtection="1">
      <alignment vertical="center"/>
    </xf>
    <xf numFmtId="217" fontId="38" fillId="0" borderId="24" xfId="6" applyNumberFormat="1" applyFont="1" applyBorder="1" applyAlignment="1" applyProtection="1">
      <alignment vertical="center"/>
    </xf>
    <xf numFmtId="219" fontId="22" fillId="0" borderId="51" xfId="0" applyNumberFormat="1" applyFont="1" applyBorder="1" applyAlignment="1" applyProtection="1">
      <alignment vertical="center"/>
    </xf>
    <xf numFmtId="219" fontId="22" fillId="0" borderId="63" xfId="0" applyNumberFormat="1" applyFont="1" applyBorder="1" applyAlignment="1" applyProtection="1">
      <alignment vertical="center"/>
    </xf>
    <xf numFmtId="217" fontId="22" fillId="0" borderId="60" xfId="0" applyNumberFormat="1" applyFont="1" applyBorder="1" applyAlignment="1" applyProtection="1">
      <alignment vertical="center"/>
    </xf>
    <xf numFmtId="219" fontId="22" fillId="0" borderId="34" xfId="0" applyNumberFormat="1" applyFont="1" applyBorder="1" applyAlignment="1" applyProtection="1">
      <alignment vertical="center"/>
    </xf>
    <xf numFmtId="217" fontId="22" fillId="0" borderId="4" xfId="0" applyNumberFormat="1" applyFont="1" applyBorder="1" applyAlignment="1" applyProtection="1">
      <alignment vertical="center"/>
    </xf>
    <xf numFmtId="0" fontId="17" fillId="0" borderId="9" xfId="0" applyFont="1" applyBorder="1" applyAlignment="1" applyProtection="1">
      <alignment horizontal="left" vertical="center"/>
    </xf>
    <xf numFmtId="1" fontId="17" fillId="0" borderId="9" xfId="0" applyNumberFormat="1" applyFont="1" applyBorder="1" applyAlignment="1" applyProtection="1">
      <alignment horizontal="center" vertical="center"/>
    </xf>
    <xf numFmtId="0" fontId="17" fillId="0" borderId="25" xfId="0" applyFont="1" applyBorder="1" applyAlignment="1" applyProtection="1">
      <alignment horizontal="center" vertical="center"/>
    </xf>
    <xf numFmtId="1" fontId="17" fillId="0" borderId="6" xfId="0" applyNumberFormat="1" applyFont="1" applyBorder="1" applyAlignment="1" applyProtection="1">
      <alignment horizontal="center" vertical="center"/>
    </xf>
    <xf numFmtId="0" fontId="17" fillId="0" borderId="36" xfId="0" applyFont="1" applyBorder="1" applyAlignment="1" applyProtection="1">
      <alignment horizontal="center" vertical="center"/>
    </xf>
    <xf numFmtId="1" fontId="17" fillId="0" borderId="37" xfId="0" applyNumberFormat="1" applyFont="1" applyBorder="1" applyAlignment="1" applyProtection="1">
      <alignment horizontal="center" vertical="center"/>
    </xf>
    <xf numFmtId="0" fontId="17" fillId="0" borderId="1" xfId="0" applyFont="1" applyBorder="1" applyAlignment="1" applyProtection="1">
      <alignment horizontal="center" vertical="center"/>
    </xf>
    <xf numFmtId="1" fontId="17" fillId="0" borderId="39" xfId="0" applyNumberFormat="1" applyFont="1" applyBorder="1" applyAlignment="1" applyProtection="1">
      <alignment horizontal="center" vertical="center"/>
    </xf>
    <xf numFmtId="0" fontId="17" fillId="0" borderId="11" xfId="0" applyFont="1" applyBorder="1" applyAlignment="1" applyProtection="1">
      <alignment horizontal="center" vertical="center"/>
    </xf>
    <xf numFmtId="10" fontId="21" fillId="0" borderId="0" xfId="0" applyNumberFormat="1" applyFont="1"/>
    <xf numFmtId="0" fontId="23" fillId="0" borderId="13" xfId="0" applyFont="1" applyBorder="1" applyAlignment="1">
      <alignment horizontal="right"/>
    </xf>
    <xf numFmtId="4" fontId="21" fillId="0" borderId="0" xfId="0" applyNumberFormat="1" applyFont="1"/>
    <xf numFmtId="0" fontId="21" fillId="0" borderId="2" xfId="0" applyFont="1" applyBorder="1"/>
    <xf numFmtId="0" fontId="17" fillId="0" borderId="60" xfId="0" applyFont="1" applyBorder="1" applyAlignment="1">
      <alignment horizontal="right"/>
    </xf>
    <xf numFmtId="3" fontId="59" fillId="0" borderId="0" xfId="0" applyNumberFormat="1" applyFont="1" applyAlignment="1" applyProtection="1">
      <alignment horizontal="center"/>
    </xf>
    <xf numFmtId="3" fontId="23" fillId="0" borderId="0" xfId="0" applyNumberFormat="1" applyFont="1" applyAlignment="1">
      <alignment horizontal="center"/>
    </xf>
    <xf numFmtId="0" fontId="38" fillId="0" borderId="30" xfId="0" applyFont="1" applyBorder="1"/>
    <xf numFmtId="0" fontId="38" fillId="0" borderId="26" xfId="0" applyFont="1" applyBorder="1"/>
    <xf numFmtId="190" fontId="38" fillId="0" borderId="12" xfId="0" applyNumberFormat="1" applyFont="1" applyBorder="1"/>
    <xf numFmtId="190" fontId="38" fillId="0" borderId="13" xfId="0" applyNumberFormat="1" applyFont="1" applyBorder="1"/>
    <xf numFmtId="190" fontId="38" fillId="0" borderId="7" xfId="0" applyNumberFormat="1" applyFont="1" applyBorder="1"/>
    <xf numFmtId="0" fontId="38" fillId="0" borderId="12" xfId="0" applyFont="1" applyBorder="1"/>
    <xf numFmtId="0" fontId="38" fillId="0" borderId="7" xfId="0" applyFont="1" applyBorder="1"/>
    <xf numFmtId="219" fontId="22" fillId="0" borderId="14" xfId="0" applyNumberFormat="1" applyFont="1" applyBorder="1"/>
    <xf numFmtId="219" fontId="22" fillId="0" borderId="0" xfId="0" applyNumberFormat="1" applyFont="1"/>
    <xf numFmtId="219" fontId="22" fillId="0" borderId="10" xfId="0" applyNumberFormat="1" applyFont="1" applyBorder="1"/>
    <xf numFmtId="219" fontId="38" fillId="0" borderId="30" xfId="0" applyNumberFormat="1" applyFont="1" applyBorder="1"/>
    <xf numFmtId="219" fontId="38" fillId="0" borderId="26" xfId="0" applyNumberFormat="1" applyFont="1" applyBorder="1"/>
    <xf numFmtId="219" fontId="38" fillId="0" borderId="56" xfId="0" applyNumberFormat="1" applyFont="1" applyBorder="1"/>
    <xf numFmtId="215" fontId="38" fillId="0" borderId="20" xfId="0" applyNumberFormat="1" applyFont="1" applyBorder="1"/>
    <xf numFmtId="215" fontId="38" fillId="0" borderId="21" xfId="0" applyNumberFormat="1" applyFont="1" applyBorder="1"/>
    <xf numFmtId="215" fontId="38" fillId="0" borderId="23" xfId="0" applyNumberFormat="1" applyFont="1" applyBorder="1"/>
    <xf numFmtId="215" fontId="38" fillId="0" borderId="2" xfId="0" applyNumberFormat="1" applyFont="1" applyBorder="1"/>
    <xf numFmtId="0" fontId="21" fillId="0" borderId="91" xfId="0" applyFont="1" applyBorder="1"/>
    <xf numFmtId="0" fontId="21" fillId="0" borderId="92" xfId="0" applyFont="1" applyBorder="1"/>
    <xf numFmtId="0" fontId="21" fillId="0" borderId="93" xfId="0" applyFont="1" applyBorder="1"/>
    <xf numFmtId="3" fontId="17" fillId="0" borderId="94" xfId="0" applyNumberFormat="1" applyFont="1" applyBorder="1" applyAlignment="1">
      <alignment horizontal="left" indent="1"/>
    </xf>
    <xf numFmtId="0" fontId="38" fillId="0" borderId="95" xfId="0" applyFont="1" applyBorder="1"/>
    <xf numFmtId="0" fontId="21" fillId="0" borderId="96" xfId="0" applyFont="1" applyBorder="1"/>
    <xf numFmtId="0" fontId="21" fillId="0" borderId="97" xfId="0" applyFont="1" applyBorder="1"/>
    <xf numFmtId="190" fontId="38" fillId="0" borderId="98" xfId="0" applyNumberFormat="1" applyFont="1" applyBorder="1"/>
    <xf numFmtId="0" fontId="21" fillId="0" borderId="99" xfId="0" applyFont="1" applyBorder="1"/>
    <xf numFmtId="0" fontId="38" fillId="0" borderId="98" xfId="0" applyFont="1" applyBorder="1"/>
    <xf numFmtId="0" fontId="21" fillId="0" borderId="100" xfId="0" applyFont="1" applyBorder="1"/>
    <xf numFmtId="219" fontId="22" fillId="0" borderId="101" xfId="0" applyNumberFormat="1" applyFont="1" applyBorder="1"/>
    <xf numFmtId="3" fontId="22" fillId="0" borderId="94" xfId="0" applyNumberFormat="1" applyFont="1" applyBorder="1" applyAlignment="1">
      <alignment horizontal="left" indent="1"/>
    </xf>
    <xf numFmtId="219" fontId="38" fillId="0" borderId="95" xfId="0" applyNumberFormat="1" applyFont="1" applyBorder="1"/>
    <xf numFmtId="0" fontId="38" fillId="0" borderId="102" xfId="0" applyFont="1" applyBorder="1"/>
    <xf numFmtId="0" fontId="38" fillId="0" borderId="103" xfId="0" applyFont="1" applyBorder="1" applyAlignment="1">
      <alignment horizontal="right"/>
    </xf>
    <xf numFmtId="0" fontId="21" fillId="0" borderId="92" xfId="0" applyFont="1" applyBorder="1" applyAlignment="1">
      <alignment horizontal="centerContinuous"/>
    </xf>
    <xf numFmtId="0" fontId="21" fillId="0" borderId="104" xfId="0" applyFont="1" applyBorder="1" applyAlignment="1">
      <alignment horizontal="centerContinuous"/>
    </xf>
    <xf numFmtId="0" fontId="22" fillId="0" borderId="105" xfId="0" applyFont="1" applyBorder="1" applyAlignment="1">
      <alignment horizontal="centerContinuous"/>
    </xf>
    <xf numFmtId="0" fontId="22" fillId="0" borderId="91" xfId="0" applyFont="1" applyBorder="1" applyAlignment="1">
      <alignment horizontal="centerContinuous" vertical="center"/>
    </xf>
    <xf numFmtId="0" fontId="22" fillId="0" borderId="92" xfId="0" applyFont="1" applyBorder="1" applyAlignment="1">
      <alignment horizontal="centerContinuous" vertical="center"/>
    </xf>
    <xf numFmtId="0" fontId="22" fillId="0" borderId="104" xfId="0" applyFont="1" applyBorder="1" applyAlignment="1">
      <alignment horizontal="centerContinuous" vertical="center"/>
    </xf>
    <xf numFmtId="215" fontId="38" fillId="0" borderId="106" xfId="0" applyNumberFormat="1" applyFont="1" applyBorder="1"/>
    <xf numFmtId="215" fontId="38" fillId="0" borderId="107" xfId="0" applyNumberFormat="1" applyFont="1" applyBorder="1"/>
    <xf numFmtId="0" fontId="38" fillId="0" borderId="103" xfId="0" applyFont="1" applyBorder="1"/>
    <xf numFmtId="215" fontId="38" fillId="0" borderId="108" xfId="0" applyNumberFormat="1" applyFont="1" applyBorder="1"/>
    <xf numFmtId="215" fontId="38" fillId="0" borderId="109" xfId="0" applyNumberFormat="1" applyFont="1" applyBorder="1"/>
    <xf numFmtId="215" fontId="38" fillId="0" borderId="110" xfId="0" applyNumberFormat="1" applyFont="1" applyBorder="1"/>
    <xf numFmtId="3" fontId="23" fillId="0" borderId="111" xfId="0" applyNumberFormat="1" applyFont="1" applyBorder="1"/>
    <xf numFmtId="0" fontId="17" fillId="0" borderId="91" xfId="0" applyFont="1" applyBorder="1" applyAlignment="1">
      <alignment horizontal="centerContinuous"/>
    </xf>
    <xf numFmtId="0" fontId="17" fillId="0" borderId="92" xfId="0" applyFont="1" applyBorder="1" applyAlignment="1">
      <alignment horizontal="centerContinuous"/>
    </xf>
    <xf numFmtId="0" fontId="17" fillId="0" borderId="113" xfId="0" applyFont="1" applyBorder="1" applyAlignment="1">
      <alignment horizontal="centerContinuous"/>
    </xf>
    <xf numFmtId="0" fontId="21" fillId="0" borderId="114" xfId="0" applyFont="1" applyBorder="1" applyAlignment="1">
      <alignment vertical="center"/>
    </xf>
    <xf numFmtId="3" fontId="34" fillId="0" borderId="0" xfId="0" applyNumberFormat="1" applyFont="1" applyAlignment="1" applyProtection="1">
      <alignment horizontal="center"/>
    </xf>
    <xf numFmtId="206" fontId="43" fillId="0" borderId="15" xfId="0" applyNumberFormat="1" applyFont="1" applyBorder="1" applyProtection="1"/>
    <xf numFmtId="206" fontId="43" fillId="0" borderId="14" xfId="0" applyNumberFormat="1" applyFont="1" applyBorder="1" applyProtection="1"/>
    <xf numFmtId="3" fontId="38" fillId="0" borderId="0" xfId="0" applyNumberFormat="1" applyFont="1" applyAlignment="1" applyProtection="1">
      <alignment horizontal="right"/>
    </xf>
    <xf numFmtId="3" fontId="23" fillId="0" borderId="0" xfId="0" applyNumberFormat="1" applyFont="1" applyAlignment="1" applyProtection="1">
      <alignment horizontal="center"/>
    </xf>
    <xf numFmtId="226" fontId="43" fillId="0" borderId="15" xfId="0" applyNumberFormat="1" applyFont="1" applyBorder="1" applyProtection="1"/>
    <xf numFmtId="226" fontId="43" fillId="2" borderId="15" xfId="0" applyNumberFormat="1" applyFont="1" applyFill="1" applyBorder="1" applyProtection="1"/>
    <xf numFmtId="226" fontId="43" fillId="0" borderId="12" xfId="0" applyNumberFormat="1" applyFont="1" applyBorder="1" applyProtection="1"/>
    <xf numFmtId="9" fontId="34" fillId="0" borderId="0" xfId="6" applyFont="1" applyFill="1" applyBorder="1" applyAlignment="1" applyProtection="1">
      <alignment horizontal="center"/>
    </xf>
    <xf numFmtId="3" fontId="43" fillId="0" borderId="9" xfId="0" applyNumberFormat="1" applyFont="1" applyBorder="1" applyAlignment="1" applyProtection="1">
      <alignment vertical="center"/>
    </xf>
    <xf numFmtId="3" fontId="43" fillId="0" borderId="6" xfId="0" applyNumberFormat="1" applyFont="1" applyBorder="1" applyAlignment="1" applyProtection="1">
      <alignment vertical="center"/>
    </xf>
    <xf numFmtId="206" fontId="43" fillId="0" borderId="11" xfId="0" applyNumberFormat="1" applyFont="1" applyBorder="1" applyAlignment="1" applyProtection="1">
      <alignment vertical="center"/>
    </xf>
    <xf numFmtId="206" fontId="43" fillId="0" borderId="1" xfId="0" applyNumberFormat="1" applyFont="1" applyBorder="1" applyAlignment="1" applyProtection="1">
      <alignment vertical="center"/>
    </xf>
    <xf numFmtId="206" fontId="43" fillId="2" borderId="15" xfId="0" applyNumberFormat="1" applyFont="1" applyFill="1" applyBorder="1" applyProtection="1"/>
    <xf numFmtId="3" fontId="23" fillId="0" borderId="9" xfId="0" applyNumberFormat="1" applyFont="1" applyBorder="1" applyProtection="1"/>
    <xf numFmtId="3" fontId="43" fillId="0" borderId="6" xfId="0" applyNumberFormat="1" applyFont="1" applyBorder="1" applyProtection="1"/>
    <xf numFmtId="1" fontId="23" fillId="0" borderId="0" xfId="0" applyNumberFormat="1" applyFont="1" applyAlignment="1" applyProtection="1">
      <alignment horizontal="center"/>
    </xf>
    <xf numFmtId="3" fontId="27" fillId="0" borderId="0" xfId="0" applyNumberFormat="1" applyFont="1" applyAlignment="1" applyProtection="1">
      <alignment horizontal="center"/>
    </xf>
    <xf numFmtId="9" fontId="23" fillId="0" borderId="0" xfId="0" applyNumberFormat="1" applyFont="1" applyProtection="1"/>
    <xf numFmtId="3" fontId="43" fillId="0" borderId="0" xfId="0" applyNumberFormat="1" applyFont="1" applyAlignment="1" applyProtection="1">
      <alignment horizontal="left"/>
    </xf>
    <xf numFmtId="225" fontId="43" fillId="0" borderId="12" xfId="0" applyNumberFormat="1" applyFont="1" applyBorder="1" applyProtection="1"/>
    <xf numFmtId="1" fontId="23" fillId="0" borderId="0" xfId="0" quotePrefix="1" applyNumberFormat="1" applyFont="1" applyAlignment="1" applyProtection="1">
      <alignment horizontal="center"/>
    </xf>
    <xf numFmtId="3" fontId="23" fillId="0" borderId="6" xfId="0" applyNumberFormat="1" applyFont="1" applyBorder="1" applyAlignment="1" applyProtection="1">
      <alignment horizontal="right" vertical="center" indent="1"/>
    </xf>
    <xf numFmtId="3" fontId="23" fillId="0" borderId="1" xfId="0" applyNumberFormat="1" applyFont="1" applyBorder="1" applyAlignment="1" applyProtection="1">
      <alignment horizontal="right" vertical="center" indent="1"/>
    </xf>
    <xf numFmtId="3" fontId="23" fillId="0" borderId="6" xfId="0" applyNumberFormat="1" applyFont="1" applyBorder="1" applyAlignment="1" applyProtection="1">
      <alignment horizontal="right" indent="1"/>
    </xf>
    <xf numFmtId="206" fontId="20" fillId="0" borderId="11" xfId="0" applyNumberFormat="1" applyFont="1" applyBorder="1" applyProtection="1"/>
    <xf numFmtId="0" fontId="23" fillId="0" borderId="50" xfId="0" applyFont="1" applyBorder="1" applyAlignment="1">
      <alignment horizontal="right" indent="1"/>
    </xf>
    <xf numFmtId="0" fontId="20" fillId="0" borderId="50" xfId="0" applyFont="1" applyBorder="1" applyAlignment="1">
      <alignment horizontal="right" indent="1"/>
    </xf>
    <xf numFmtId="0" fontId="38" fillId="0" borderId="55" xfId="0" applyFont="1" applyBorder="1" applyAlignment="1">
      <alignment horizontal="right" indent="1"/>
    </xf>
    <xf numFmtId="0" fontId="23" fillId="0" borderId="13" xfId="0" applyFont="1" applyBorder="1" applyAlignment="1">
      <alignment horizontal="right" indent="1"/>
    </xf>
    <xf numFmtId="207" fontId="38" fillId="0" borderId="71" xfId="3" applyNumberFormat="1" applyFont="1" applyFill="1" applyBorder="1"/>
    <xf numFmtId="207" fontId="38" fillId="0" borderId="50" xfId="3" applyNumberFormat="1" applyFont="1" applyBorder="1"/>
    <xf numFmtId="207" fontId="38" fillId="0" borderId="115" xfId="3" applyNumberFormat="1" applyFont="1" applyBorder="1"/>
    <xf numFmtId="207" fontId="60" fillId="0" borderId="99" xfId="0" applyNumberFormat="1" applyFont="1" applyBorder="1"/>
    <xf numFmtId="207" fontId="38" fillId="0" borderId="99" xfId="0" applyNumberFormat="1" applyFont="1" applyBorder="1"/>
    <xf numFmtId="207" fontId="38" fillId="0" borderId="102" xfId="0" applyNumberFormat="1" applyFont="1" applyBorder="1"/>
    <xf numFmtId="213" fontId="20" fillId="0" borderId="2" xfId="0" applyNumberFormat="1" applyFont="1" applyBorder="1"/>
    <xf numFmtId="168" fontId="20" fillId="0" borderId="46" xfId="0" applyNumberFormat="1" applyFont="1" applyBorder="1"/>
    <xf numFmtId="0" fontId="22" fillId="0" borderId="0" xfId="0" applyFont="1" applyAlignment="1">
      <alignment horizontal="right"/>
    </xf>
    <xf numFmtId="3" fontId="42" fillId="0" borderId="0" xfId="0" applyNumberFormat="1" applyFont="1" applyAlignment="1" applyProtection="1">
      <alignment horizontal="center"/>
    </xf>
    <xf numFmtId="3" fontId="20" fillId="0" borderId="20" xfId="0" applyNumberFormat="1" applyFont="1" applyBorder="1"/>
    <xf numFmtId="3" fontId="20" fillId="0" borderId="21" xfId="0" applyNumberFormat="1" applyFont="1" applyBorder="1" applyAlignment="1">
      <alignment horizontal="center"/>
    </xf>
    <xf numFmtId="3" fontId="20" fillId="0" borderId="22" xfId="0" applyNumberFormat="1" applyFont="1" applyBorder="1" applyAlignment="1">
      <alignment horizontal="center"/>
    </xf>
    <xf numFmtId="213" fontId="20" fillId="0" borderId="24" xfId="0" applyNumberFormat="1" applyFont="1" applyBorder="1"/>
    <xf numFmtId="168" fontId="20" fillId="0" borderId="47" xfId="0" applyNumberFormat="1" applyFont="1" applyBorder="1"/>
    <xf numFmtId="3" fontId="17" fillId="0" borderId="34" xfId="0" applyNumberFormat="1" applyFont="1" applyBorder="1" applyAlignment="1">
      <alignment horizontal="left" indent="1"/>
    </xf>
    <xf numFmtId="0" fontId="21" fillId="0" borderId="35" xfId="0" applyFont="1" applyBorder="1"/>
    <xf numFmtId="168" fontId="17" fillId="2" borderId="35" xfId="0" applyNumberFormat="1" applyFont="1" applyFill="1" applyBorder="1"/>
    <xf numFmtId="168" fontId="17" fillId="0" borderId="35" xfId="0" applyNumberFormat="1" applyFont="1" applyBorder="1"/>
    <xf numFmtId="3" fontId="20" fillId="0" borderId="0" xfId="0" applyNumberFormat="1" applyFont="1" applyAlignment="1">
      <alignment horizontal="left" indent="3"/>
    </xf>
    <xf numFmtId="194" fontId="23" fillId="0" borderId="21" xfId="0" applyNumberFormat="1" applyFont="1" applyBorder="1"/>
    <xf numFmtId="194" fontId="23" fillId="0" borderId="2" xfId="0" applyNumberFormat="1" applyFont="1" applyBorder="1"/>
    <xf numFmtId="194" fontId="23" fillId="0" borderId="24" xfId="0" applyNumberFormat="1" applyFont="1" applyBorder="1"/>
    <xf numFmtId="9" fontId="20" fillId="0" borderId="13" xfId="6" applyFont="1" applyFill="1" applyBorder="1" applyAlignment="1">
      <alignment horizontal="center"/>
    </xf>
    <xf numFmtId="3" fontId="20" fillId="0" borderId="13" xfId="6" applyNumberFormat="1" applyFont="1" applyFill="1" applyBorder="1" applyAlignment="1">
      <alignment horizontal="center"/>
    </xf>
    <xf numFmtId="3" fontId="20" fillId="0" borderId="67" xfId="6" applyNumberFormat="1" applyFont="1" applyFill="1" applyBorder="1" applyAlignment="1">
      <alignment horizontal="center"/>
    </xf>
    <xf numFmtId="194" fontId="23" fillId="0" borderId="35" xfId="0" applyNumberFormat="1" applyFont="1" applyBorder="1"/>
    <xf numFmtId="194" fontId="23" fillId="0" borderId="46" xfId="0" applyNumberFormat="1" applyFont="1" applyBorder="1"/>
    <xf numFmtId="194" fontId="23" fillId="0" borderId="47" xfId="0" applyNumberFormat="1" applyFont="1" applyBorder="1"/>
    <xf numFmtId="3" fontId="17" fillId="0" borderId="0" xfId="0" applyNumberFormat="1" applyFont="1" applyAlignment="1">
      <alignment horizontal="left" indent="1"/>
    </xf>
    <xf numFmtId="168" fontId="17" fillId="0" borderId="0" xfId="0" applyNumberFormat="1" applyFont="1"/>
    <xf numFmtId="9" fontId="20" fillId="0" borderId="18" xfId="6" applyFont="1" applyBorder="1" applyAlignment="1">
      <alignment horizontal="center"/>
    </xf>
    <xf numFmtId="3" fontId="23" fillId="0" borderId="21" xfId="0" applyNumberFormat="1" applyFont="1" applyBorder="1"/>
    <xf numFmtId="9" fontId="20" fillId="0" borderId="12" xfId="6" applyFont="1" applyBorder="1" applyAlignment="1">
      <alignment horizontal="center"/>
    </xf>
    <xf numFmtId="3" fontId="23" fillId="0" borderId="2" xfId="0" applyNumberFormat="1" applyFont="1" applyBorder="1"/>
    <xf numFmtId="9" fontId="20" fillId="0" borderId="19" xfId="6" applyFont="1" applyBorder="1" applyAlignment="1">
      <alignment horizontal="center"/>
    </xf>
    <xf numFmtId="3" fontId="23" fillId="0" borderId="35" xfId="0" applyNumberFormat="1" applyFont="1" applyBorder="1"/>
    <xf numFmtId="0" fontId="21" fillId="0" borderId="0" xfId="0" applyFont="1" applyAlignment="1">
      <alignment horizontal="left" indent="3"/>
    </xf>
    <xf numFmtId="186" fontId="20" fillId="0" borderId="49" xfId="0" applyNumberFormat="1" applyFont="1" applyBorder="1"/>
    <xf numFmtId="186" fontId="20" fillId="0" borderId="21" xfId="0" applyNumberFormat="1" applyFont="1" applyBorder="1"/>
    <xf numFmtId="186" fontId="20" fillId="0" borderId="71" xfId="0" applyNumberFormat="1" applyFont="1" applyBorder="1"/>
    <xf numFmtId="186" fontId="20" fillId="0" borderId="7" xfId="0" applyNumberFormat="1" applyFont="1" applyBorder="1"/>
    <xf numFmtId="186" fontId="20" fillId="0" borderId="2" xfId="0" applyNumberFormat="1" applyFont="1" applyBorder="1"/>
    <xf numFmtId="186" fontId="20" fillId="0" borderId="50" xfId="0" applyNumberFormat="1" applyFont="1" applyBorder="1"/>
    <xf numFmtId="190" fontId="20" fillId="0" borderId="24" xfId="0" applyNumberFormat="1" applyFont="1" applyBorder="1"/>
    <xf numFmtId="190" fontId="20" fillId="0" borderId="4" xfId="0" applyNumberFormat="1" applyFont="1" applyBorder="1"/>
    <xf numFmtId="3" fontId="20" fillId="0" borderId="28" xfId="0" applyNumberFormat="1" applyFont="1" applyBorder="1" applyAlignment="1">
      <alignment horizontal="center"/>
    </xf>
    <xf numFmtId="3" fontId="20" fillId="0" borderId="29" xfId="0" applyNumberFormat="1" applyFont="1" applyBorder="1" applyAlignment="1">
      <alignment horizontal="center"/>
    </xf>
    <xf numFmtId="0" fontId="21" fillId="0" borderId="21" xfId="0" applyFont="1" applyBorder="1"/>
    <xf numFmtId="190" fontId="20" fillId="0" borderId="22" xfId="0" applyNumberFormat="1" applyFont="1" applyBorder="1"/>
    <xf numFmtId="190" fontId="38" fillId="0" borderId="24" xfId="0" applyNumberFormat="1" applyFont="1" applyBorder="1"/>
    <xf numFmtId="0" fontId="21" fillId="0" borderId="25" xfId="0" applyFont="1" applyBorder="1" applyAlignment="1">
      <alignment horizontal="center"/>
    </xf>
    <xf numFmtId="3" fontId="17" fillId="0" borderId="9" xfId="0" applyNumberFormat="1" applyFont="1" applyBorder="1" applyAlignment="1">
      <alignment horizontal="left" indent="5"/>
    </xf>
    <xf numFmtId="190" fontId="20" fillId="0" borderId="12" xfId="0" applyNumberFormat="1" applyFont="1" applyBorder="1"/>
    <xf numFmtId="190" fontId="20" fillId="0" borderId="38" xfId="0" applyNumberFormat="1" applyFont="1" applyBorder="1"/>
    <xf numFmtId="3" fontId="38" fillId="0" borderId="8" xfId="0" applyNumberFormat="1" applyFont="1" applyBorder="1" applyAlignment="1">
      <alignment horizontal="left" indent="3"/>
    </xf>
    <xf numFmtId="3" fontId="38" fillId="0" borderId="7" xfId="0" applyNumberFormat="1" applyFont="1" applyBorder="1" applyAlignment="1">
      <alignment horizontal="left" indent="3"/>
    </xf>
    <xf numFmtId="3" fontId="38" fillId="0" borderId="69" xfId="0" applyNumberFormat="1" applyFont="1" applyBorder="1" applyAlignment="1">
      <alignment horizontal="left" indent="3"/>
    </xf>
    <xf numFmtId="3" fontId="20" fillId="0" borderId="9" xfId="0" applyNumberFormat="1" applyFont="1" applyBorder="1" applyAlignment="1">
      <alignment horizontal="center"/>
    </xf>
    <xf numFmtId="3" fontId="20" fillId="0" borderId="18" xfId="0" applyNumberFormat="1" applyFont="1" applyBorder="1"/>
    <xf numFmtId="3" fontId="20" fillId="0" borderId="12" xfId="0" applyNumberFormat="1" applyFont="1" applyBorder="1"/>
    <xf numFmtId="3" fontId="20" fillId="0" borderId="19" xfId="0" applyNumberFormat="1" applyFont="1" applyBorder="1"/>
    <xf numFmtId="0" fontId="21" fillId="0" borderId="49" xfId="0" applyFont="1" applyBorder="1" applyAlignment="1">
      <alignment horizontal="left" indent="1"/>
    </xf>
    <xf numFmtId="0" fontId="21" fillId="0" borderId="7" xfId="0" applyFont="1" applyBorder="1" applyAlignment="1">
      <alignment horizontal="left" indent="1"/>
    </xf>
    <xf numFmtId="0" fontId="21" fillId="0" borderId="16" xfId="0" applyFont="1" applyBorder="1" applyAlignment="1">
      <alignment horizontal="left" indent="1"/>
    </xf>
    <xf numFmtId="3" fontId="21" fillId="0" borderId="11" xfId="0" applyNumberFormat="1" applyFont="1" applyBorder="1" applyAlignment="1">
      <alignment horizontal="center"/>
    </xf>
    <xf numFmtId="0" fontId="21" fillId="0" borderId="11" xfId="0" applyFont="1" applyBorder="1" applyAlignment="1">
      <alignment horizontal="right" indent="1"/>
    </xf>
    <xf numFmtId="0" fontId="21" fillId="0" borderId="0" xfId="0" applyFont="1" applyAlignment="1">
      <alignment horizontal="right" indent="1"/>
    </xf>
    <xf numFmtId="246" fontId="20" fillId="0" borderId="35" xfId="0" applyNumberFormat="1" applyFont="1" applyBorder="1"/>
    <xf numFmtId="190" fontId="38" fillId="0" borderId="5" xfId="0" applyNumberFormat="1" applyFont="1" applyBorder="1"/>
    <xf numFmtId="194" fontId="38" fillId="0" borderId="35" xfId="0" applyNumberFormat="1" applyFont="1" applyBorder="1"/>
    <xf numFmtId="190" fontId="38" fillId="0" borderId="4" xfId="0" applyNumberFormat="1" applyFont="1" applyBorder="1"/>
    <xf numFmtId="194" fontId="20" fillId="0" borderId="39" xfId="0" applyNumberFormat="1" applyFont="1" applyBorder="1"/>
    <xf numFmtId="194" fontId="20" fillId="0" borderId="36" xfId="0" applyNumberFormat="1" applyFont="1" applyBorder="1"/>
    <xf numFmtId="194" fontId="20" fillId="0" borderId="25" xfId="0" applyNumberFormat="1" applyFont="1" applyBorder="1"/>
    <xf numFmtId="190" fontId="20" fillId="0" borderId="11" xfId="0" applyNumberFormat="1" applyFont="1" applyBorder="1"/>
    <xf numFmtId="227" fontId="20" fillId="0" borderId="37" xfId="0" applyNumberFormat="1" applyFont="1" applyBorder="1"/>
    <xf numFmtId="227" fontId="20" fillId="0" borderId="36" xfId="0" applyNumberFormat="1" applyFont="1" applyBorder="1"/>
    <xf numFmtId="227" fontId="20" fillId="0" borderId="25" xfId="0" applyNumberFormat="1" applyFont="1" applyBorder="1"/>
    <xf numFmtId="206" fontId="20" fillId="0" borderId="37" xfId="0" applyNumberFormat="1" applyFont="1" applyBorder="1"/>
    <xf numFmtId="206" fontId="20" fillId="0" borderId="36" xfId="0" applyNumberFormat="1" applyFont="1" applyBorder="1"/>
    <xf numFmtId="206" fontId="20" fillId="0" borderId="25" xfId="0" applyNumberFormat="1" applyFont="1" applyBorder="1"/>
    <xf numFmtId="0" fontId="22" fillId="0" borderId="56" xfId="0" applyFont="1" applyBorder="1" applyAlignment="1">
      <alignment horizontal="center"/>
    </xf>
    <xf numFmtId="0" fontId="14" fillId="0" borderId="10" xfId="0" applyFont="1" applyBorder="1" applyAlignment="1">
      <alignment horizontal="center"/>
    </xf>
    <xf numFmtId="227" fontId="23" fillId="0" borderId="51" xfId="0" applyNumberFormat="1" applyFont="1" applyBorder="1" applyProtection="1">
      <protection locked="0"/>
    </xf>
    <xf numFmtId="227" fontId="23" fillId="0" borderId="41" xfId="0" applyNumberFormat="1" applyFont="1" applyBorder="1" applyProtection="1">
      <protection locked="0"/>
    </xf>
    <xf numFmtId="166" fontId="23" fillId="2" borderId="18" xfId="6" applyNumberFormat="1" applyFont="1" applyFill="1" applyBorder="1" applyAlignment="1" applyProtection="1">
      <alignment horizontal="center"/>
      <protection locked="0"/>
    </xf>
    <xf numFmtId="4" fontId="23" fillId="2" borderId="12" xfId="6" applyNumberFormat="1" applyFont="1" applyFill="1" applyBorder="1" applyAlignment="1" applyProtection="1">
      <alignment horizontal="center"/>
    </xf>
    <xf numFmtId="3" fontId="21" fillId="0" borderId="2" xfId="0" quotePrefix="1" applyNumberFormat="1" applyFont="1" applyBorder="1" applyAlignment="1" applyProtection="1">
      <alignment horizontal="center" vertical="center" shrinkToFit="1"/>
    </xf>
    <xf numFmtId="3" fontId="21" fillId="0" borderId="2" xfId="0" applyNumberFormat="1" applyFont="1" applyBorder="1" applyAlignment="1" applyProtection="1">
      <alignment vertical="center" shrinkToFit="1"/>
    </xf>
    <xf numFmtId="3" fontId="21" fillId="0" borderId="2" xfId="0" applyNumberFormat="1" applyFont="1" applyBorder="1" applyAlignment="1" applyProtection="1">
      <alignment horizontal="center" vertical="center" shrinkToFit="1"/>
    </xf>
    <xf numFmtId="3" fontId="38" fillId="0" borderId="8" xfId="0" applyNumberFormat="1" applyFont="1" applyBorder="1" applyAlignment="1" applyProtection="1">
      <alignment horizontal="left" indent="1"/>
    </xf>
    <xf numFmtId="3" fontId="38" fillId="0" borderId="7" xfId="0" applyNumberFormat="1" applyFont="1" applyBorder="1" applyAlignment="1" applyProtection="1">
      <alignment horizontal="left" indent="1"/>
    </xf>
    <xf numFmtId="3" fontId="38" fillId="0" borderId="49" xfId="0" applyNumberFormat="1" applyFont="1" applyBorder="1" applyAlignment="1" applyProtection="1">
      <alignment horizontal="left" indent="1"/>
    </xf>
    <xf numFmtId="225" fontId="38" fillId="2" borderId="39" xfId="0" applyNumberFormat="1" applyFont="1" applyFill="1" applyBorder="1" applyAlignment="1" applyProtection="1">
      <alignment vertical="center"/>
    </xf>
    <xf numFmtId="225" fontId="38" fillId="0" borderId="36" xfId="0" applyNumberFormat="1" applyFont="1" applyBorder="1" applyAlignment="1" applyProtection="1">
      <alignment vertical="center"/>
      <protection locked="0"/>
    </xf>
    <xf numFmtId="225" fontId="38" fillId="0" borderId="39" xfId="0" applyNumberFormat="1" applyFont="1" applyBorder="1" applyAlignment="1" applyProtection="1">
      <alignment vertical="center"/>
      <protection locked="0"/>
    </xf>
    <xf numFmtId="225" fontId="38" fillId="0" borderId="6" xfId="0" applyNumberFormat="1" applyFont="1" applyBorder="1" applyAlignment="1" applyProtection="1">
      <alignment vertical="center"/>
      <protection locked="0"/>
    </xf>
    <xf numFmtId="168" fontId="38" fillId="0" borderId="11" xfId="0" applyNumberFormat="1" applyFont="1" applyBorder="1" applyAlignment="1" applyProtection="1">
      <alignment vertical="center"/>
    </xf>
    <xf numFmtId="3" fontId="20" fillId="0" borderId="39" xfId="0" applyNumberFormat="1" applyFont="1" applyBorder="1" applyAlignment="1" applyProtection="1">
      <alignment vertical="center"/>
    </xf>
    <xf numFmtId="3" fontId="20" fillId="0" borderId="58" xfId="0" applyNumberFormat="1" applyFont="1" applyBorder="1" applyAlignment="1" applyProtection="1">
      <alignment vertical="center"/>
    </xf>
    <xf numFmtId="3" fontId="38" fillId="0" borderId="14" xfId="0" applyNumberFormat="1" applyFont="1" applyBorder="1" applyAlignment="1" applyProtection="1">
      <alignment vertical="center"/>
    </xf>
    <xf numFmtId="190" fontId="38" fillId="2" borderId="11" xfId="0" applyNumberFormat="1" applyFont="1" applyFill="1" applyBorder="1" applyAlignment="1" applyProtection="1">
      <alignment vertical="center"/>
    </xf>
    <xf numFmtId="230" fontId="38" fillId="0" borderId="37" xfId="0" applyNumberFormat="1" applyFont="1" applyBorder="1" applyAlignment="1" applyProtection="1">
      <alignment vertical="center"/>
    </xf>
    <xf numFmtId="230" fontId="38" fillId="0" borderId="36" xfId="0" applyNumberFormat="1" applyFont="1" applyBorder="1" applyAlignment="1" applyProtection="1">
      <alignment vertical="center"/>
    </xf>
    <xf numFmtId="230" fontId="38" fillId="0" borderId="72" xfId="0" applyNumberFormat="1" applyFont="1" applyBorder="1" applyAlignment="1" applyProtection="1">
      <alignment vertical="center"/>
    </xf>
    <xf numFmtId="3" fontId="20" fillId="0" borderId="11" xfId="0" applyNumberFormat="1" applyFont="1" applyBorder="1" applyAlignment="1" applyProtection="1">
      <alignment vertical="center"/>
    </xf>
    <xf numFmtId="3" fontId="38" fillId="0" borderId="15" xfId="0" applyNumberFormat="1" applyFont="1" applyBorder="1" applyAlignment="1" applyProtection="1">
      <alignment vertical="center"/>
    </xf>
    <xf numFmtId="3" fontId="22" fillId="0" borderId="37" xfId="0" applyNumberFormat="1" applyFont="1" applyBorder="1" applyAlignment="1" applyProtection="1">
      <alignment horizontal="left" vertical="center" indent="1"/>
    </xf>
    <xf numFmtId="3" fontId="20" fillId="0" borderId="10" xfId="0" applyNumberFormat="1" applyFont="1" applyBorder="1" applyAlignment="1" applyProtection="1">
      <alignment horizontal="left" vertical="center" indent="1"/>
    </xf>
    <xf numFmtId="3" fontId="22" fillId="0" borderId="11" xfId="0" applyNumberFormat="1" applyFont="1" applyBorder="1" applyAlignment="1" applyProtection="1">
      <alignment horizontal="left" vertical="center" indent="1"/>
    </xf>
    <xf numFmtId="3" fontId="23" fillId="0" borderId="41" xfId="0" applyNumberFormat="1" applyFont="1" applyBorder="1" applyAlignment="1" applyProtection="1">
      <alignment vertical="center"/>
    </xf>
    <xf numFmtId="3" fontId="23" fillId="0" borderId="51" xfId="0" applyNumberFormat="1" applyFont="1" applyBorder="1" applyAlignment="1" applyProtection="1">
      <alignment vertical="center"/>
    </xf>
    <xf numFmtId="3" fontId="23" fillId="0" borderId="77" xfId="0" applyNumberFormat="1" applyFont="1" applyBorder="1" applyAlignment="1" applyProtection="1">
      <alignment vertical="center"/>
    </xf>
    <xf numFmtId="3" fontId="23" fillId="0" borderId="54" xfId="0" applyNumberFormat="1" applyFont="1" applyBorder="1" applyAlignment="1" applyProtection="1">
      <alignment vertical="center"/>
    </xf>
    <xf numFmtId="3" fontId="20" fillId="0" borderId="16" xfId="0" applyNumberFormat="1" applyFont="1" applyBorder="1" applyAlignment="1" applyProtection="1">
      <alignment horizontal="right" vertical="center"/>
    </xf>
    <xf numFmtId="3" fontId="20" fillId="0" borderId="63" xfId="0" applyNumberFormat="1" applyFont="1" applyBorder="1" applyAlignment="1" applyProtection="1">
      <alignment vertical="center"/>
    </xf>
    <xf numFmtId="3" fontId="38" fillId="0" borderId="49" xfId="0" applyNumberFormat="1" applyFont="1" applyBorder="1" applyAlignment="1" applyProtection="1">
      <alignment horizontal="left" vertical="center" indent="1"/>
    </xf>
    <xf numFmtId="3" fontId="38" fillId="0" borderId="7" xfId="0" applyNumberFormat="1" applyFont="1" applyBorder="1" applyAlignment="1" applyProtection="1">
      <alignment horizontal="left" vertical="center" indent="1"/>
    </xf>
    <xf numFmtId="3" fontId="23" fillId="0" borderId="10" xfId="0" applyNumberFormat="1" applyFont="1" applyBorder="1" applyAlignment="1" applyProtection="1">
      <alignment horizontal="left" vertical="center" indent="1"/>
    </xf>
    <xf numFmtId="3" fontId="38" fillId="0" borderId="8" xfId="0" applyNumberFormat="1" applyFont="1" applyBorder="1" applyAlignment="1" applyProtection="1">
      <alignment horizontal="left" vertical="center" indent="1"/>
    </xf>
    <xf numFmtId="3" fontId="22" fillId="0" borderId="8" xfId="0" applyNumberFormat="1" applyFont="1" applyBorder="1" applyAlignment="1" applyProtection="1">
      <alignment horizontal="left" vertical="center" indent="1"/>
    </xf>
    <xf numFmtId="3" fontId="22" fillId="0" borderId="16" xfId="0" applyNumberFormat="1" applyFont="1" applyBorder="1" applyAlignment="1" applyProtection="1">
      <alignment horizontal="right" vertical="center"/>
    </xf>
    <xf numFmtId="228" fontId="38" fillId="0" borderId="41" xfId="0" applyNumberFormat="1" applyFont="1" applyBorder="1" applyProtection="1"/>
    <xf numFmtId="228" fontId="38" fillId="0" borderId="61" xfId="0" applyNumberFormat="1" applyFont="1" applyBorder="1" applyProtection="1"/>
    <xf numFmtId="228" fontId="22" fillId="0" borderId="18" xfId="0" applyNumberFormat="1" applyFont="1" applyBorder="1" applyProtection="1"/>
    <xf numFmtId="228" fontId="38" fillId="0" borderId="54" xfId="0" quotePrefix="1" applyNumberFormat="1" applyFont="1" applyBorder="1" applyProtection="1"/>
    <xf numFmtId="228" fontId="38" fillId="0" borderId="54" xfId="0" applyNumberFormat="1" applyFont="1" applyBorder="1" applyProtection="1"/>
    <xf numFmtId="228" fontId="38" fillId="0" borderId="77" xfId="0" applyNumberFormat="1" applyFont="1" applyBorder="1" applyProtection="1"/>
    <xf numFmtId="228" fontId="22" fillId="0" borderId="12" xfId="0" applyNumberFormat="1" applyFont="1" applyBorder="1" applyProtection="1"/>
    <xf numFmtId="228" fontId="22" fillId="0" borderId="63" xfId="0" applyNumberFormat="1" applyFont="1" applyBorder="1" applyProtection="1"/>
    <xf numFmtId="228" fontId="22" fillId="0" borderId="62" xfId="0" applyNumberFormat="1" applyFont="1" applyBorder="1" applyProtection="1"/>
    <xf numFmtId="228" fontId="22" fillId="0" borderId="19" xfId="0" applyNumberFormat="1" applyFont="1" applyBorder="1" applyProtection="1"/>
    <xf numFmtId="229" fontId="38" fillId="0" borderId="41" xfId="0" applyNumberFormat="1" applyFont="1" applyBorder="1" applyAlignment="1" applyProtection="1">
      <alignment vertical="center"/>
    </xf>
    <xf numFmtId="229" fontId="38" fillId="0" borderId="61" xfId="0" applyNumberFormat="1" applyFont="1" applyBorder="1" applyAlignment="1" applyProtection="1">
      <alignment vertical="center"/>
    </xf>
    <xf numFmtId="229" fontId="22" fillId="0" borderId="18" xfId="0" applyNumberFormat="1" applyFont="1" applyBorder="1" applyAlignment="1" applyProtection="1">
      <alignment vertical="center"/>
    </xf>
    <xf numFmtId="229" fontId="38" fillId="0" borderId="54" xfId="0" applyNumberFormat="1" applyFont="1" applyBorder="1" applyAlignment="1" applyProtection="1">
      <alignment vertical="center"/>
    </xf>
    <xf numFmtId="229" fontId="38" fillId="0" borderId="77" xfId="0" applyNumberFormat="1" applyFont="1" applyBorder="1" applyAlignment="1" applyProtection="1">
      <alignment vertical="center"/>
    </xf>
    <xf numFmtId="229" fontId="22" fillId="0" borderId="12" xfId="0" applyNumberFormat="1" applyFont="1" applyBorder="1" applyAlignment="1" applyProtection="1">
      <alignment vertical="center"/>
    </xf>
    <xf numFmtId="3" fontId="38" fillId="0" borderId="77" xfId="0" applyNumberFormat="1" applyFont="1" applyBorder="1" applyAlignment="1" applyProtection="1">
      <alignment vertical="center"/>
    </xf>
    <xf numFmtId="3" fontId="38" fillId="0" borderId="3" xfId="0" applyNumberFormat="1" applyFont="1" applyBorder="1" applyAlignment="1" applyProtection="1">
      <alignment vertical="center"/>
    </xf>
    <xf numFmtId="3" fontId="38" fillId="0" borderId="54" xfId="0" applyNumberFormat="1" applyFont="1" applyBorder="1" applyAlignment="1" applyProtection="1">
      <alignment vertical="center"/>
    </xf>
    <xf numFmtId="3" fontId="38" fillId="0" borderId="55" xfId="0" applyNumberFormat="1" applyFont="1" applyBorder="1" applyAlignment="1" applyProtection="1">
      <alignment vertical="center"/>
    </xf>
    <xf numFmtId="3" fontId="22" fillId="0" borderId="15" xfId="0" applyNumberFormat="1" applyFont="1" applyBorder="1" applyAlignment="1" applyProtection="1">
      <alignment vertical="center"/>
    </xf>
    <xf numFmtId="229" fontId="22" fillId="0" borderId="65" xfId="0" applyNumberFormat="1" applyFont="1" applyBorder="1" applyAlignment="1" applyProtection="1">
      <alignment vertical="center"/>
    </xf>
    <xf numFmtId="229" fontId="22" fillId="0" borderId="64" xfId="0" applyNumberFormat="1" applyFont="1" applyBorder="1" applyAlignment="1" applyProtection="1">
      <alignment vertical="center"/>
    </xf>
    <xf numFmtId="229" fontId="22" fillId="0" borderId="19" xfId="0" applyNumberFormat="1" applyFont="1" applyBorder="1" applyAlignment="1" applyProtection="1">
      <alignment vertical="center"/>
    </xf>
    <xf numFmtId="3" fontId="23" fillId="0" borderId="61" xfId="0" applyNumberFormat="1" applyFont="1" applyBorder="1" applyAlignment="1" applyProtection="1">
      <alignment vertical="center"/>
    </xf>
    <xf numFmtId="3" fontId="23" fillId="0" borderId="13" xfId="0" applyNumberFormat="1" applyFont="1" applyBorder="1" applyAlignment="1" applyProtection="1">
      <alignment vertical="center"/>
    </xf>
    <xf numFmtId="3" fontId="23" fillId="0" borderId="49" xfId="0" applyNumberFormat="1" applyFont="1" applyBorder="1" applyAlignment="1" applyProtection="1">
      <alignment horizontal="left" vertical="center" indent="1"/>
    </xf>
    <xf numFmtId="3" fontId="23" fillId="0" borderId="7" xfId="0" applyNumberFormat="1" applyFont="1" applyBorder="1" applyAlignment="1" applyProtection="1">
      <alignment horizontal="left" vertical="center" indent="1"/>
    </xf>
    <xf numFmtId="225" fontId="23" fillId="0" borderId="18" xfId="0" applyNumberFormat="1" applyFont="1" applyBorder="1" applyAlignment="1" applyProtection="1">
      <alignment vertical="center"/>
    </xf>
    <xf numFmtId="225" fontId="23" fillId="0" borderId="61" xfId="0" applyNumberFormat="1" applyFont="1" applyBorder="1" applyAlignment="1" applyProtection="1">
      <alignment vertical="center"/>
    </xf>
    <xf numFmtId="225" fontId="23" fillId="0" borderId="15" xfId="0" applyNumberFormat="1" applyFont="1" applyBorder="1" applyAlignment="1" applyProtection="1">
      <alignment vertical="center"/>
    </xf>
    <xf numFmtId="225" fontId="23" fillId="0" borderId="77" xfId="0" applyNumberFormat="1" applyFont="1" applyBorder="1" applyAlignment="1" applyProtection="1">
      <alignment vertical="center"/>
    </xf>
    <xf numFmtId="225" fontId="23" fillId="0" borderId="15" xfId="0" quotePrefix="1" applyNumberFormat="1" applyFont="1" applyBorder="1" applyAlignment="1" applyProtection="1">
      <alignment vertical="center"/>
    </xf>
    <xf numFmtId="225" fontId="23" fillId="0" borderId="77" xfId="0" quotePrefix="1" applyNumberFormat="1" applyFont="1" applyBorder="1" applyAlignment="1" applyProtection="1">
      <alignment vertical="center"/>
    </xf>
    <xf numFmtId="3" fontId="20" fillId="0" borderId="62" xfId="0" applyNumberFormat="1" applyFont="1" applyBorder="1" applyAlignment="1" applyProtection="1">
      <alignment vertical="center"/>
    </xf>
    <xf numFmtId="225" fontId="20" fillId="0" borderId="19" xfId="0" applyNumberFormat="1" applyFont="1" applyBorder="1" applyAlignment="1" applyProtection="1">
      <alignment vertical="center"/>
    </xf>
    <xf numFmtId="225" fontId="20" fillId="0" borderId="62" xfId="0" applyNumberFormat="1" applyFont="1" applyBorder="1" applyAlignment="1" applyProtection="1">
      <alignment vertical="center"/>
    </xf>
    <xf numFmtId="225" fontId="20" fillId="0" borderId="17" xfId="0" applyNumberFormat="1" applyFont="1" applyBorder="1" applyAlignment="1" applyProtection="1">
      <alignment vertical="center"/>
    </xf>
    <xf numFmtId="225" fontId="20" fillId="0" borderId="64" xfId="0" applyNumberFormat="1" applyFont="1" applyBorder="1" applyAlignment="1" applyProtection="1">
      <alignment vertical="center"/>
    </xf>
    <xf numFmtId="224" fontId="20" fillId="0" borderId="49" xfId="0" applyNumberFormat="1" applyFont="1" applyBorder="1" applyAlignment="1" applyProtection="1">
      <alignment vertical="center"/>
      <protection locked="0"/>
    </xf>
    <xf numFmtId="224" fontId="20" fillId="0" borderId="18" xfId="0" applyNumberFormat="1" applyFont="1" applyBorder="1" applyAlignment="1" applyProtection="1">
      <alignment vertical="center"/>
      <protection locked="0"/>
    </xf>
    <xf numFmtId="224" fontId="20" fillId="0" borderId="61" xfId="0" applyNumberFormat="1" applyFont="1" applyBorder="1" applyAlignment="1" applyProtection="1">
      <alignment vertical="center"/>
      <protection locked="0"/>
    </xf>
    <xf numFmtId="224" fontId="20" fillId="0" borderId="42" xfId="0" applyNumberFormat="1" applyFont="1" applyBorder="1" applyAlignment="1" applyProtection="1">
      <alignment vertical="center"/>
      <protection locked="0"/>
    </xf>
    <xf numFmtId="201" fontId="20" fillId="0" borderId="72" xfId="6" applyNumberFormat="1" applyFont="1" applyBorder="1" applyAlignment="1">
      <alignment vertical="center"/>
    </xf>
    <xf numFmtId="206" fontId="20" fillId="0" borderId="11" xfId="0" applyNumberFormat="1" applyFont="1" applyBorder="1" applyAlignment="1">
      <alignment vertical="center"/>
    </xf>
    <xf numFmtId="217" fontId="20" fillId="0" borderId="6" xfId="6" applyNumberFormat="1" applyFont="1" applyBorder="1" applyAlignment="1">
      <alignment vertical="center"/>
    </xf>
    <xf numFmtId="206" fontId="20" fillId="0" borderId="37" xfId="0" applyNumberFormat="1" applyFont="1" applyBorder="1" applyAlignment="1">
      <alignment vertical="center"/>
    </xf>
    <xf numFmtId="217" fontId="20" fillId="0" borderId="25" xfId="6" applyNumberFormat="1" applyFont="1" applyBorder="1" applyAlignment="1">
      <alignment vertical="center"/>
    </xf>
    <xf numFmtId="206" fontId="20" fillId="0" borderId="39" xfId="0" applyNumberFormat="1" applyFont="1" applyBorder="1" applyAlignment="1">
      <alignment vertical="center"/>
    </xf>
    <xf numFmtId="217" fontId="20" fillId="0" borderId="11" xfId="6" applyNumberFormat="1" applyFont="1" applyBorder="1" applyAlignment="1">
      <alignment vertical="center"/>
    </xf>
    <xf numFmtId="3" fontId="38" fillId="0" borderId="10" xfId="0" applyNumberFormat="1" applyFont="1" applyBorder="1" applyAlignment="1">
      <alignment horizontal="center" vertical="center"/>
    </xf>
    <xf numFmtId="3" fontId="38" fillId="0" borderId="12" xfId="0" applyNumberFormat="1" applyFont="1" applyBorder="1" applyAlignment="1">
      <alignment horizontal="center" vertical="center"/>
    </xf>
    <xf numFmtId="3" fontId="38" fillId="0" borderId="8" xfId="0" applyNumberFormat="1" applyFont="1" applyBorder="1" applyAlignment="1">
      <alignment horizontal="center" vertical="center"/>
    </xf>
    <xf numFmtId="3" fontId="38" fillId="0" borderId="10" xfId="0" applyNumberFormat="1" applyFont="1" applyBorder="1" applyAlignment="1">
      <alignment horizontal="center"/>
    </xf>
    <xf numFmtId="3" fontId="38" fillId="0" borderId="69" xfId="0" applyNumberFormat="1" applyFont="1" applyBorder="1" applyAlignment="1">
      <alignment horizontal="center"/>
    </xf>
    <xf numFmtId="3" fontId="38" fillId="0" borderId="8" xfId="0" applyNumberFormat="1" applyFont="1" applyBorder="1" applyAlignment="1">
      <alignment horizontal="center"/>
    </xf>
    <xf numFmtId="3" fontId="38" fillId="0" borderId="30" xfId="0" applyNumberFormat="1" applyFont="1" applyBorder="1" applyAlignment="1">
      <alignment horizontal="center"/>
    </xf>
    <xf numFmtId="3" fontId="38" fillId="0" borderId="14" xfId="0" applyNumberFormat="1" applyFont="1" applyBorder="1" applyAlignment="1">
      <alignment horizontal="center"/>
    </xf>
    <xf numFmtId="3" fontId="38" fillId="0" borderId="38" xfId="0" applyNumberFormat="1" applyFont="1" applyBorder="1" applyAlignment="1">
      <alignment horizontal="center" vertical="center"/>
    </xf>
    <xf numFmtId="3" fontId="38" fillId="0" borderId="56" xfId="0" applyNumberFormat="1" applyFont="1" applyBorder="1" applyAlignment="1">
      <alignment horizontal="left" indent="1"/>
    </xf>
    <xf numFmtId="3" fontId="38" fillId="0" borderId="10" xfId="0" applyNumberFormat="1" applyFont="1" applyBorder="1"/>
    <xf numFmtId="3" fontId="38" fillId="0" borderId="7" xfId="0" applyNumberFormat="1" applyFont="1" applyBorder="1" applyAlignment="1">
      <alignment horizontal="left" vertical="center" indent="1"/>
    </xf>
    <xf numFmtId="3" fontId="38" fillId="0" borderId="69" xfId="0" applyNumberFormat="1" applyFont="1" applyBorder="1" applyAlignment="1">
      <alignment horizontal="left" vertical="center" indent="1"/>
    </xf>
    <xf numFmtId="3" fontId="38" fillId="0" borderId="10" xfId="0" applyNumberFormat="1" applyFont="1" applyBorder="1" applyAlignment="1">
      <alignment horizontal="left" vertical="center" indent="1"/>
    </xf>
    <xf numFmtId="3" fontId="38" fillId="0" borderId="12" xfId="0" applyNumberFormat="1" applyFont="1" applyBorder="1" applyAlignment="1">
      <alignment horizontal="left" vertical="center" indent="1"/>
    </xf>
    <xf numFmtId="3" fontId="38" fillId="0" borderId="19" xfId="0" applyNumberFormat="1" applyFont="1" applyBorder="1" applyAlignment="1">
      <alignment horizontal="left" vertical="center" indent="1"/>
    </xf>
    <xf numFmtId="3" fontId="38" fillId="0" borderId="10" xfId="0" applyNumberFormat="1" applyFont="1" applyBorder="1" applyAlignment="1">
      <alignment horizontal="left" indent="1"/>
    </xf>
    <xf numFmtId="3" fontId="38" fillId="0" borderId="69" xfId="0" applyNumberFormat="1" applyFont="1" applyBorder="1" applyAlignment="1">
      <alignment horizontal="left" indent="1"/>
    </xf>
    <xf numFmtId="3" fontId="38" fillId="0" borderId="8" xfId="0" applyNumberFormat="1" applyFont="1" applyBorder="1" applyAlignment="1">
      <alignment horizontal="left" indent="1"/>
    </xf>
    <xf numFmtId="0" fontId="21" fillId="0" borderId="0" xfId="0" applyFont="1" applyAlignment="1">
      <alignment horizontal="left" indent="2"/>
    </xf>
    <xf numFmtId="177" fontId="38" fillId="0" borderId="20" xfId="0" applyNumberFormat="1" applyFont="1" applyBorder="1" applyAlignment="1">
      <alignment horizontal="center" vertical="center"/>
    </xf>
    <xf numFmtId="177" fontId="38" fillId="0" borderId="21" xfId="0" applyNumberFormat="1" applyFont="1" applyBorder="1" applyAlignment="1">
      <alignment horizontal="center" vertical="center"/>
    </xf>
    <xf numFmtId="177" fontId="38" fillId="0" borderId="71" xfId="0" applyNumberFormat="1" applyFont="1" applyBorder="1" applyAlignment="1">
      <alignment horizontal="center" vertical="center"/>
    </xf>
    <xf numFmtId="177" fontId="38" fillId="0" borderId="42" xfId="0" applyNumberFormat="1" applyFont="1" applyBorder="1" applyAlignment="1">
      <alignment horizontal="center" vertical="center"/>
    </xf>
    <xf numFmtId="177" fontId="38" fillId="0" borderId="23" xfId="0" applyNumberFormat="1" applyFont="1" applyBorder="1" applyAlignment="1">
      <alignment horizontal="center" vertical="center"/>
    </xf>
    <xf numFmtId="177" fontId="38" fillId="0" borderId="2" xfId="0" applyNumberFormat="1" applyFont="1" applyBorder="1" applyAlignment="1">
      <alignment horizontal="center" vertical="center"/>
    </xf>
    <xf numFmtId="177" fontId="38" fillId="0" borderId="50" xfId="0" applyNumberFormat="1" applyFont="1" applyBorder="1" applyAlignment="1">
      <alignment horizontal="center" vertical="center"/>
    </xf>
    <xf numFmtId="177" fontId="38" fillId="0" borderId="43" xfId="0" applyNumberFormat="1" applyFont="1" applyBorder="1" applyAlignment="1">
      <alignment horizontal="center" vertical="center"/>
    </xf>
    <xf numFmtId="177" fontId="38" fillId="0" borderId="48" xfId="0" applyNumberFormat="1" applyFont="1" applyBorder="1" applyAlignment="1">
      <alignment horizontal="center" vertical="center"/>
    </xf>
    <xf numFmtId="177" fontId="38" fillId="0" borderId="3" xfId="0" applyNumberFormat="1" applyFont="1" applyBorder="1" applyAlignment="1">
      <alignment horizontal="center" vertical="center"/>
    </xf>
    <xf numFmtId="177" fontId="38" fillId="0" borderId="55" xfId="0" applyNumberFormat="1" applyFont="1" applyBorder="1" applyAlignment="1">
      <alignment horizontal="center" vertical="center"/>
    </xf>
    <xf numFmtId="177" fontId="38" fillId="0" borderId="85" xfId="0" applyNumberFormat="1" applyFont="1" applyBorder="1" applyAlignment="1">
      <alignment horizontal="center" vertical="center"/>
    </xf>
    <xf numFmtId="180" fontId="38" fillId="0" borderId="20" xfId="0" applyNumberFormat="1" applyFont="1" applyBorder="1" applyAlignment="1">
      <alignment horizontal="center" vertical="center"/>
    </xf>
    <xf numFmtId="180" fontId="38" fillId="0" borderId="41" xfId="0" applyNumberFormat="1" applyFont="1" applyBorder="1" applyAlignment="1">
      <alignment horizontal="center" vertical="center"/>
    </xf>
    <xf numFmtId="180" fontId="38" fillId="0" borderId="71" xfId="0" applyNumberFormat="1" applyFont="1" applyBorder="1" applyAlignment="1">
      <alignment horizontal="center" vertical="center"/>
    </xf>
    <xf numFmtId="180" fontId="38" fillId="0" borderId="21" xfId="0" applyNumberFormat="1" applyFont="1" applyBorder="1" applyAlignment="1">
      <alignment horizontal="center" vertical="center"/>
    </xf>
    <xf numFmtId="180" fontId="38" fillId="0" borderId="42" xfId="0" applyNumberFormat="1" applyFont="1" applyBorder="1" applyAlignment="1">
      <alignment horizontal="center" vertical="center"/>
    </xf>
    <xf numFmtId="180" fontId="38" fillId="0" borderId="23" xfId="0" applyNumberFormat="1" applyFont="1" applyBorder="1" applyAlignment="1">
      <alignment horizontal="center" vertical="center"/>
    </xf>
    <xf numFmtId="180" fontId="38" fillId="0" borderId="51" xfId="0" applyNumberFormat="1" applyFont="1" applyBorder="1" applyAlignment="1">
      <alignment horizontal="center" vertical="center"/>
    </xf>
    <xf numFmtId="180" fontId="38" fillId="0" borderId="50" xfId="0" applyNumberFormat="1" applyFont="1" applyBorder="1" applyAlignment="1">
      <alignment horizontal="center" vertical="center"/>
    </xf>
    <xf numFmtId="180" fontId="38" fillId="0" borderId="2" xfId="0" applyNumberFormat="1" applyFont="1" applyBorder="1" applyAlignment="1">
      <alignment horizontal="center" vertical="center"/>
    </xf>
    <xf numFmtId="180" fontId="38" fillId="0" borderId="43" xfId="0" applyNumberFormat="1" applyFont="1" applyBorder="1" applyAlignment="1">
      <alignment horizontal="center" vertical="center"/>
    </xf>
    <xf numFmtId="180" fontId="38" fillId="0" borderId="86" xfId="0" applyNumberFormat="1" applyFont="1" applyBorder="1" applyAlignment="1">
      <alignment horizontal="center" vertical="center"/>
    </xf>
    <xf numFmtId="180" fontId="38" fillId="0" borderId="65" xfId="0" applyNumberFormat="1" applyFont="1" applyBorder="1" applyAlignment="1">
      <alignment horizontal="center" vertical="center"/>
    </xf>
    <xf numFmtId="180" fontId="38" fillId="0" borderId="116" xfId="0" applyNumberFormat="1" applyFont="1" applyBorder="1" applyAlignment="1">
      <alignment horizontal="center" vertical="center"/>
    </xf>
    <xf numFmtId="180" fontId="38" fillId="0" borderId="84" xfId="0" applyNumberFormat="1" applyFont="1" applyBorder="1" applyAlignment="1">
      <alignment horizontal="center" vertical="center"/>
    </xf>
    <xf numFmtId="180" fontId="38" fillId="0" borderId="90" xfId="0" applyNumberFormat="1" applyFont="1" applyBorder="1" applyAlignment="1">
      <alignment horizontal="center" vertical="center"/>
    </xf>
    <xf numFmtId="2" fontId="38" fillId="0" borderId="10" xfId="6" applyNumberFormat="1" applyFont="1" applyBorder="1" applyAlignment="1">
      <alignment horizontal="center"/>
    </xf>
    <xf numFmtId="2" fontId="38" fillId="0" borderId="31" xfId="6" applyNumberFormat="1" applyFont="1" applyBorder="1" applyAlignment="1">
      <alignment horizontal="center"/>
    </xf>
    <xf numFmtId="2" fontId="38" fillId="0" borderId="0" xfId="6" applyNumberFormat="1" applyFont="1" applyBorder="1" applyAlignment="1">
      <alignment horizontal="center"/>
    </xf>
    <xf numFmtId="2" fontId="38" fillId="0" borderId="68" xfId="6" applyNumberFormat="1" applyFont="1" applyBorder="1" applyAlignment="1">
      <alignment horizontal="center"/>
    </xf>
    <xf numFmtId="2" fontId="38" fillId="0" borderId="8" xfId="6" applyNumberFormat="1" applyFont="1" applyBorder="1" applyAlignment="1">
      <alignment horizontal="center"/>
    </xf>
    <xf numFmtId="2" fontId="38" fillId="0" borderId="3" xfId="6" applyNumberFormat="1" applyFont="1" applyBorder="1" applyAlignment="1">
      <alignment horizontal="center"/>
    </xf>
    <xf numFmtId="2" fontId="38" fillId="0" borderId="77" xfId="6" applyNumberFormat="1" applyFont="1" applyBorder="1" applyAlignment="1">
      <alignment horizontal="center"/>
    </xf>
    <xf numFmtId="2" fontId="38" fillId="0" borderId="85" xfId="6" applyNumberFormat="1" applyFont="1" applyBorder="1" applyAlignment="1">
      <alignment horizontal="center"/>
    </xf>
    <xf numFmtId="248" fontId="21" fillId="0" borderId="61" xfId="0" applyNumberFormat="1" applyFont="1" applyBorder="1" applyAlignment="1" applyProtection="1">
      <alignment horizontal="right" vertical="center"/>
    </xf>
    <xf numFmtId="248" fontId="21" fillId="0" borderId="18" xfId="0" applyNumberFormat="1" applyFont="1" applyBorder="1" applyAlignment="1" applyProtection="1">
      <alignment horizontal="right" vertical="center"/>
    </xf>
    <xf numFmtId="239" fontId="31" fillId="0" borderId="0" xfId="0" applyNumberFormat="1" applyFont="1" applyAlignment="1" applyProtection="1">
      <alignment vertical="center"/>
    </xf>
    <xf numFmtId="3" fontId="21" fillId="0" borderId="19" xfId="0" applyNumberFormat="1" applyFont="1" applyBorder="1" applyAlignment="1" applyProtection="1">
      <alignment horizontal="center" vertical="center"/>
    </xf>
    <xf numFmtId="3" fontId="21" fillId="0" borderId="12" xfId="0" applyNumberFormat="1" applyFont="1" applyBorder="1" applyAlignment="1" applyProtection="1">
      <alignment horizontal="left" vertical="center" indent="1"/>
    </xf>
    <xf numFmtId="3" fontId="21" fillId="0" borderId="11" xfId="0" applyNumberFormat="1" applyFont="1" applyBorder="1" applyAlignment="1" applyProtection="1">
      <alignment horizontal="right" vertical="center" indent="1"/>
    </xf>
    <xf numFmtId="0" fontId="21" fillId="0" borderId="0" xfId="0" applyFont="1" applyAlignment="1">
      <alignment horizontal="centerContinuous" vertical="center"/>
    </xf>
    <xf numFmtId="0" fontId="17" fillId="0" borderId="0" xfId="0" applyFont="1" applyAlignment="1">
      <alignment horizontal="centerContinuous" vertical="center"/>
    </xf>
    <xf numFmtId="0" fontId="53" fillId="0" borderId="0" xfId="0" applyFont="1" applyAlignment="1" applyProtection="1">
      <alignment horizontal="center" vertical="center"/>
    </xf>
    <xf numFmtId="239" fontId="53" fillId="0" borderId="0" xfId="0" applyNumberFormat="1" applyFont="1" applyAlignment="1" applyProtection="1">
      <alignment vertical="center"/>
    </xf>
    <xf numFmtId="3" fontId="36" fillId="0" borderId="0" xfId="4" applyNumberFormat="1" applyFont="1" applyFill="1" applyBorder="1" applyAlignment="1" applyProtection="1">
      <alignment horizontal="left" vertical="center"/>
    </xf>
    <xf numFmtId="0" fontId="30" fillId="0" borderId="0" xfId="0" applyFont="1" applyProtection="1"/>
    <xf numFmtId="206" fontId="21" fillId="0" borderId="13" xfId="6" applyNumberFormat="1" applyFont="1" applyFill="1" applyBorder="1" applyAlignment="1" applyProtection="1"/>
    <xf numFmtId="206" fontId="21" fillId="0" borderId="12" xfId="6" applyNumberFormat="1" applyFont="1" applyFill="1" applyBorder="1" applyAlignment="1" applyProtection="1"/>
    <xf numFmtId="206" fontId="21" fillId="0" borderId="7" xfId="0" applyNumberFormat="1" applyFont="1" applyBorder="1" applyProtection="1"/>
    <xf numFmtId="206" fontId="21" fillId="0" borderId="12" xfId="0" applyNumberFormat="1" applyFont="1" applyBorder="1" applyProtection="1"/>
    <xf numFmtId="206" fontId="17" fillId="0" borderId="61" xfId="6" applyNumberFormat="1" applyFont="1" applyFill="1" applyBorder="1" applyAlignment="1" applyProtection="1">
      <alignment vertical="center"/>
    </xf>
    <xf numFmtId="206" fontId="17" fillId="0" borderId="18" xfId="6" applyNumberFormat="1" applyFont="1" applyFill="1" applyBorder="1" applyAlignment="1" applyProtection="1">
      <alignment vertical="center"/>
    </xf>
    <xf numFmtId="206" fontId="17" fillId="0" borderId="18" xfId="4" applyNumberFormat="1" applyFont="1" applyFill="1" applyBorder="1" applyAlignment="1" applyProtection="1">
      <alignment vertical="center"/>
    </xf>
    <xf numFmtId="206" fontId="17" fillId="0" borderId="49" xfId="4" applyNumberFormat="1" applyFont="1" applyFill="1" applyBorder="1" applyAlignment="1" applyProtection="1">
      <alignment vertical="center"/>
    </xf>
    <xf numFmtId="206" fontId="21" fillId="0" borderId="13" xfId="0" applyNumberFormat="1" applyFont="1" applyBorder="1" applyAlignment="1" applyProtection="1">
      <alignment horizontal="right"/>
    </xf>
    <xf numFmtId="206" fontId="21" fillId="0" borderId="7" xfId="0" applyNumberFormat="1" applyFont="1" applyBorder="1" applyAlignment="1" applyProtection="1">
      <alignment horizontal="right"/>
    </xf>
    <xf numFmtId="206" fontId="21" fillId="0" borderId="12" xfId="0" applyNumberFormat="1" applyFont="1" applyBorder="1" applyAlignment="1" applyProtection="1">
      <alignment horizontal="right"/>
    </xf>
    <xf numFmtId="3" fontId="30" fillId="0" borderId="0" xfId="0" applyNumberFormat="1" applyFont="1" applyProtection="1"/>
    <xf numFmtId="3" fontId="30" fillId="0" borderId="0" xfId="0" applyNumberFormat="1" applyFont="1" applyAlignment="1" applyProtection="1">
      <alignment vertical="center"/>
    </xf>
    <xf numFmtId="9" fontId="20" fillId="0" borderId="0" xfId="0" applyNumberFormat="1" applyFont="1" applyProtection="1"/>
    <xf numFmtId="3" fontId="34" fillId="0" borderId="0" xfId="0" applyNumberFormat="1" applyFont="1" applyAlignment="1" applyProtection="1">
      <alignment wrapText="1"/>
    </xf>
    <xf numFmtId="3" fontId="61" fillId="0" borderId="11" xfId="0" applyNumberFormat="1" applyFont="1" applyBorder="1" applyAlignment="1" applyProtection="1">
      <alignment horizontal="center" wrapText="1"/>
    </xf>
    <xf numFmtId="3" fontId="23" fillId="0" borderId="18" xfId="0" applyNumberFormat="1" applyFont="1" applyBorder="1" applyAlignment="1" applyProtection="1">
      <alignment horizontal="right" indent="1"/>
    </xf>
    <xf numFmtId="171" fontId="23" fillId="0" borderId="12" xfId="0" applyNumberFormat="1" applyFont="1" applyBorder="1" applyAlignment="1" applyProtection="1">
      <alignment horizontal="right" indent="1"/>
    </xf>
    <xf numFmtId="3" fontId="20" fillId="0" borderId="19" xfId="0" applyNumberFormat="1" applyFont="1" applyBorder="1" applyAlignment="1" applyProtection="1">
      <alignment horizontal="center"/>
    </xf>
    <xf numFmtId="230" fontId="34" fillId="0" borderId="17" xfId="0" applyNumberFormat="1" applyFont="1" applyBorder="1" applyProtection="1"/>
    <xf numFmtId="3" fontId="26" fillId="0" borderId="0" xfId="0" applyNumberFormat="1" applyFont="1" applyProtection="1"/>
    <xf numFmtId="230" fontId="43" fillId="0" borderId="18" xfId="0" applyNumberFormat="1" applyFont="1" applyBorder="1" applyProtection="1"/>
    <xf numFmtId="230" fontId="43" fillId="0" borderId="12" xfId="0" applyNumberFormat="1" applyFont="1" applyBorder="1" applyProtection="1"/>
    <xf numFmtId="0" fontId="37" fillId="0" borderId="7" xfId="2" applyFont="1" applyFill="1" applyBorder="1" applyAlignment="1" applyProtection="1">
      <alignment horizontal="left" vertical="center" indent="2"/>
    </xf>
    <xf numFmtId="0" fontId="17" fillId="0" borderId="9" xfId="0" applyFont="1" applyBorder="1" applyAlignment="1">
      <alignment horizontal="centerContinuous" vertical="center"/>
    </xf>
    <xf numFmtId="0" fontId="17" fillId="0" borderId="56" xfId="0" applyFont="1" applyBorder="1" applyAlignment="1">
      <alignment horizontal="left" vertical="center" indent="2"/>
    </xf>
    <xf numFmtId="0" fontId="37" fillId="0" borderId="57" xfId="2" applyFont="1" applyFill="1" applyBorder="1" applyAlignment="1" applyProtection="1">
      <alignment horizontal="left" vertical="center" indent="2"/>
    </xf>
    <xf numFmtId="0" fontId="55" fillId="0" borderId="0" xfId="2" applyFont="1" applyFill="1" applyBorder="1" applyAlignment="1" applyProtection="1"/>
    <xf numFmtId="3" fontId="21" fillId="0" borderId="0" xfId="6" applyNumberFormat="1" applyFont="1" applyFill="1" applyBorder="1" applyAlignment="1" applyProtection="1">
      <alignment vertical="center"/>
    </xf>
    <xf numFmtId="4" fontId="50" fillId="0" borderId="20" xfId="0" applyNumberFormat="1" applyFont="1" applyBorder="1" applyAlignment="1">
      <alignment horizontal="center" shrinkToFit="1"/>
    </xf>
    <xf numFmtId="199" fontId="50" fillId="0" borderId="4" xfId="0" applyNumberFormat="1" applyFont="1" applyBorder="1" applyAlignment="1">
      <alignment horizontal="center"/>
    </xf>
    <xf numFmtId="250" fontId="21" fillId="0" borderId="24" xfId="0" applyNumberFormat="1" applyFont="1" applyBorder="1"/>
    <xf numFmtId="250" fontId="21" fillId="0" borderId="4" xfId="0" applyNumberFormat="1" applyFont="1" applyBorder="1"/>
    <xf numFmtId="3" fontId="56" fillId="0" borderId="0" xfId="0" applyNumberFormat="1" applyFont="1" applyProtection="1"/>
    <xf numFmtId="3" fontId="56" fillId="0" borderId="0" xfId="0" applyNumberFormat="1" applyFont="1" applyAlignment="1" applyProtection="1">
      <alignment horizontal="right"/>
    </xf>
    <xf numFmtId="3" fontId="17" fillId="0" borderId="6" xfId="0" applyNumberFormat="1" applyFont="1" applyBorder="1" applyAlignment="1">
      <alignment horizontal="center"/>
    </xf>
    <xf numFmtId="10" fontId="21" fillId="2" borderId="18" xfId="0" applyNumberFormat="1" applyFont="1" applyFill="1" applyBorder="1" applyAlignment="1" applyProtection="1">
      <alignment horizontal="center" vertical="center"/>
      <protection locked="0"/>
    </xf>
    <xf numFmtId="0" fontId="21" fillId="2" borderId="49" xfId="0" applyFont="1" applyFill="1" applyBorder="1" applyAlignment="1" applyProtection="1">
      <alignment horizontal="left" vertical="center" indent="1"/>
      <protection locked="0"/>
    </xf>
    <xf numFmtId="0" fontId="21" fillId="0" borderId="12" xfId="0" applyFont="1" applyBorder="1" applyAlignment="1">
      <alignment horizontal="left" vertical="center" indent="1"/>
    </xf>
    <xf numFmtId="0" fontId="21" fillId="0" borderId="18" xfId="0" applyFont="1" applyBorder="1" applyAlignment="1">
      <alignment horizontal="left" indent="1"/>
    </xf>
    <xf numFmtId="0" fontId="21" fillId="0" borderId="12" xfId="0" applyFont="1" applyBorder="1" applyAlignment="1">
      <alignment horizontal="left" indent="1"/>
    </xf>
    <xf numFmtId="0" fontId="21" fillId="0" borderId="19" xfId="0" applyFont="1" applyBorder="1" applyAlignment="1">
      <alignment horizontal="left" indent="1"/>
    </xf>
    <xf numFmtId="0" fontId="21" fillId="0" borderId="44" xfId="0" applyFont="1" applyBorder="1" applyAlignment="1" applyProtection="1">
      <alignment vertical="center"/>
    </xf>
    <xf numFmtId="0" fontId="27" fillId="0" borderId="6" xfId="0" applyFont="1" applyBorder="1" applyAlignment="1" applyProtection="1">
      <alignment horizontal="centerContinuous" vertical="center" wrapText="1"/>
    </xf>
    <xf numFmtId="0" fontId="27" fillId="0" borderId="56" xfId="0" applyFont="1" applyBorder="1" applyAlignment="1" applyProtection="1">
      <alignment horizontal="centerContinuous" vertical="center" wrapText="1"/>
    </xf>
    <xf numFmtId="3" fontId="17" fillId="0" borderId="9" xfId="0" applyNumberFormat="1" applyFont="1" applyBorder="1" applyAlignment="1" applyProtection="1">
      <alignment horizontal="center" vertical="center"/>
    </xf>
    <xf numFmtId="251" fontId="33" fillId="0" borderId="0" xfId="0" applyNumberFormat="1" applyFont="1" applyProtection="1"/>
    <xf numFmtId="10" fontId="21" fillId="2" borderId="19" xfId="0" applyNumberFormat="1" applyFont="1" applyFill="1" applyBorder="1" applyAlignment="1" applyProtection="1">
      <alignment horizontal="center" vertical="center"/>
      <protection locked="0"/>
    </xf>
    <xf numFmtId="232" fontId="23" fillId="2" borderId="8" xfId="0" applyNumberFormat="1" applyFont="1" applyFill="1" applyBorder="1" applyAlignment="1" applyProtection="1">
      <alignment horizontal="right" indent="2"/>
      <protection locked="0"/>
    </xf>
    <xf numFmtId="3" fontId="23" fillId="2" borderId="3" xfId="0" applyNumberFormat="1" applyFont="1" applyFill="1" applyBorder="1" applyAlignment="1" applyProtection="1">
      <alignment horizontal="center"/>
      <protection locked="0"/>
    </xf>
    <xf numFmtId="206" fontId="23" fillId="0" borderId="5" xfId="0" applyNumberFormat="1" applyFont="1" applyBorder="1" applyAlignment="1" applyProtection="1">
      <alignment horizontal="right"/>
    </xf>
    <xf numFmtId="0" fontId="34" fillId="0" borderId="18" xfId="0" applyFont="1" applyBorder="1" applyAlignment="1">
      <alignment horizontal="center" wrapText="1"/>
    </xf>
    <xf numFmtId="0" fontId="34" fillId="0" borderId="49" xfId="0" applyFont="1" applyBorder="1" applyAlignment="1">
      <alignment horizontal="center" wrapText="1"/>
    </xf>
    <xf numFmtId="0" fontId="34" fillId="0" borderId="21" xfId="0" applyFont="1" applyBorder="1" applyAlignment="1">
      <alignment horizontal="center" wrapText="1"/>
    </xf>
    <xf numFmtId="0" fontId="24" fillId="0" borderId="22" xfId="0" applyFont="1" applyBorder="1" applyAlignment="1" applyProtection="1">
      <alignment horizontal="center" wrapText="1"/>
    </xf>
    <xf numFmtId="206" fontId="23" fillId="2" borderId="8" xfId="0" applyNumberFormat="1" applyFont="1" applyFill="1" applyBorder="1" applyProtection="1">
      <protection locked="0"/>
    </xf>
    <xf numFmtId="0" fontId="20" fillId="0" borderId="18" xfId="0" applyFont="1" applyBorder="1" applyAlignment="1">
      <alignment horizontal="center" vertical="center" wrapText="1"/>
    </xf>
    <xf numFmtId="0" fontId="34" fillId="0" borderId="22" xfId="0" applyFont="1" applyBorder="1" applyAlignment="1">
      <alignment horizontal="center" wrapText="1"/>
    </xf>
    <xf numFmtId="0" fontId="20" fillId="0" borderId="18" xfId="0" applyFont="1" applyBorder="1" applyAlignment="1" applyProtection="1">
      <alignment horizontal="center" vertical="center" wrapText="1"/>
    </xf>
    <xf numFmtId="235" fontId="21" fillId="0" borderId="15" xfId="4" applyNumberFormat="1" applyFont="1" applyFill="1" applyBorder="1" applyAlignment="1" applyProtection="1">
      <alignment vertical="center"/>
    </xf>
    <xf numFmtId="235" fontId="21" fillId="0" borderId="77" xfId="4" applyNumberFormat="1" applyFont="1" applyFill="1" applyBorder="1" applyAlignment="1" applyProtection="1">
      <alignment vertical="center"/>
    </xf>
    <xf numFmtId="3" fontId="17" fillId="0" borderId="18" xfId="0" applyNumberFormat="1" applyFont="1" applyBorder="1" applyAlignment="1" applyProtection="1">
      <alignment horizontal="center" vertical="center" wrapText="1"/>
    </xf>
    <xf numFmtId="3" fontId="27" fillId="0" borderId="11" xfId="0" applyNumberFormat="1" applyFont="1" applyBorder="1" applyAlignment="1" applyProtection="1">
      <alignment horizontal="centerContinuous" vertical="center"/>
    </xf>
    <xf numFmtId="3" fontId="25" fillId="0" borderId="11" xfId="0" applyNumberFormat="1" applyFont="1" applyBorder="1" applyAlignment="1" applyProtection="1">
      <alignment horizontal="centerContinuous" vertical="center"/>
    </xf>
    <xf numFmtId="0" fontId="27" fillId="0" borderId="9" xfId="0" applyFont="1" applyBorder="1" applyAlignment="1" applyProtection="1">
      <alignment horizontal="centerContinuous" vertical="center" wrapText="1"/>
    </xf>
    <xf numFmtId="0" fontId="21" fillId="0" borderId="15" xfId="0" applyFont="1" applyBorder="1" applyAlignment="1">
      <alignment horizontal="left" vertical="center" indent="1"/>
    </xf>
    <xf numFmtId="241" fontId="21" fillId="2" borderId="15" xfId="0" applyNumberFormat="1" applyFont="1" applyFill="1" applyBorder="1" applyAlignment="1" applyProtection="1">
      <alignment vertical="center"/>
      <protection locked="0"/>
    </xf>
    <xf numFmtId="3" fontId="17" fillId="0" borderId="117" xfId="0" applyNumberFormat="1" applyFont="1" applyBorder="1" applyAlignment="1" applyProtection="1">
      <alignment horizontal="center" vertical="center"/>
    </xf>
    <xf numFmtId="0" fontId="20" fillId="0" borderId="118" xfId="0" applyFont="1" applyBorder="1" applyAlignment="1">
      <alignment horizontal="center" vertical="center"/>
    </xf>
    <xf numFmtId="3" fontId="20" fillId="0" borderId="119" xfId="0" applyNumberFormat="1" applyFont="1" applyBorder="1" applyAlignment="1">
      <alignment horizontal="center" vertical="center"/>
    </xf>
    <xf numFmtId="3" fontId="20" fillId="0" borderId="120" xfId="0" applyNumberFormat="1" applyFont="1" applyBorder="1" applyAlignment="1">
      <alignment horizontal="center" vertical="center"/>
    </xf>
    <xf numFmtId="3" fontId="20" fillId="0" borderId="120" xfId="0" applyNumberFormat="1" applyFont="1" applyBorder="1" applyAlignment="1">
      <alignment horizontal="center" vertical="center" shrinkToFit="1"/>
    </xf>
    <xf numFmtId="3" fontId="20" fillId="0" borderId="121" xfId="0" applyNumberFormat="1" applyFont="1" applyBorder="1" applyAlignment="1">
      <alignment horizontal="center" vertical="center" shrinkToFit="1"/>
    </xf>
    <xf numFmtId="3" fontId="20" fillId="0" borderId="122" xfId="0" applyNumberFormat="1" applyFont="1" applyBorder="1" applyAlignment="1">
      <alignment horizontal="center" vertical="center" wrapText="1"/>
    </xf>
    <xf numFmtId="3" fontId="20" fillId="0" borderId="123" xfId="0" applyNumberFormat="1" applyFont="1" applyBorder="1" applyAlignment="1">
      <alignment horizontal="center" vertical="center"/>
    </xf>
    <xf numFmtId="0" fontId="20" fillId="0" borderId="59" xfId="0" applyFont="1" applyBorder="1" applyAlignment="1">
      <alignment horizontal="right"/>
    </xf>
    <xf numFmtId="3" fontId="17" fillId="0" borderId="61" xfId="0" applyNumberFormat="1" applyFont="1" applyBorder="1" applyAlignment="1">
      <alignment horizontal="center" vertical="center"/>
    </xf>
    <xf numFmtId="3" fontId="17" fillId="0" borderId="18" xfId="0" applyNumberFormat="1" applyFont="1" applyBorder="1" applyAlignment="1">
      <alignment horizontal="center" vertical="center"/>
    </xf>
    <xf numFmtId="232" fontId="20" fillId="0" borderId="57" xfId="0" applyNumberFormat="1" applyFont="1" applyBorder="1" applyAlignment="1" applyProtection="1">
      <alignment horizontal="center"/>
    </xf>
    <xf numFmtId="0" fontId="21" fillId="0" borderId="23" xfId="0" applyFont="1" applyBorder="1" applyAlignment="1">
      <alignment horizontal="right" vertical="center"/>
    </xf>
    <xf numFmtId="9" fontId="21" fillId="2" borderId="2" xfId="6" applyFont="1" applyFill="1" applyBorder="1" applyAlignment="1" applyProtection="1">
      <alignment horizontal="center" vertical="center"/>
      <protection locked="0"/>
    </xf>
    <xf numFmtId="9" fontId="21" fillId="2" borderId="50" xfId="6" applyFont="1" applyFill="1" applyBorder="1" applyAlignment="1" applyProtection="1">
      <alignment horizontal="center" vertical="center"/>
      <protection locked="0"/>
    </xf>
    <xf numFmtId="9" fontId="21" fillId="2" borderId="43" xfId="6" applyFont="1" applyFill="1" applyBorder="1" applyAlignment="1" applyProtection="1">
      <alignment horizontal="center" vertical="center"/>
      <protection locked="0"/>
    </xf>
    <xf numFmtId="0" fontId="21" fillId="0" borderId="34" xfId="0" applyFont="1" applyBorder="1" applyAlignment="1">
      <alignment horizontal="right" vertical="center"/>
    </xf>
    <xf numFmtId="9" fontId="21" fillId="0" borderId="35" xfId="6" applyFont="1" applyBorder="1" applyAlignment="1">
      <alignment horizontal="center" vertical="center"/>
    </xf>
    <xf numFmtId="9" fontId="21" fillId="0" borderId="60" xfId="6" applyFont="1" applyFill="1" applyBorder="1" applyAlignment="1">
      <alignment horizontal="center" vertical="center"/>
    </xf>
    <xf numFmtId="9" fontId="21" fillId="0" borderId="35" xfId="6" applyFont="1" applyFill="1" applyBorder="1" applyAlignment="1">
      <alignment horizontal="center" vertical="center"/>
    </xf>
    <xf numFmtId="9" fontId="21" fillId="0" borderId="44" xfId="6" applyFont="1" applyFill="1" applyBorder="1" applyAlignment="1">
      <alignment horizontal="center" vertical="center"/>
    </xf>
    <xf numFmtId="0" fontId="14" fillId="0" borderId="62" xfId="0" applyFont="1" applyBorder="1" applyAlignment="1">
      <alignment horizontal="center" vertical="center"/>
    </xf>
    <xf numFmtId="10" fontId="21" fillId="2" borderId="35" xfId="6" applyNumberFormat="1" applyFont="1" applyFill="1" applyBorder="1" applyAlignment="1" applyProtection="1">
      <alignment horizontal="center" vertical="center"/>
      <protection locked="0"/>
    </xf>
    <xf numFmtId="10" fontId="21" fillId="2" borderId="60" xfId="6" applyNumberFormat="1" applyFont="1" applyFill="1" applyBorder="1" applyAlignment="1" applyProtection="1">
      <alignment horizontal="center" vertical="center"/>
      <protection locked="0"/>
    </xf>
    <xf numFmtId="10" fontId="21" fillId="2" borderId="44" xfId="6" applyNumberFormat="1" applyFont="1" applyFill="1" applyBorder="1" applyAlignment="1" applyProtection="1">
      <alignment horizontal="center" vertical="center"/>
      <protection locked="0"/>
    </xf>
    <xf numFmtId="200" fontId="38" fillId="0" borderId="20" xfId="0" applyNumberFormat="1" applyFont="1" applyBorder="1" applyAlignment="1" applyProtection="1">
      <alignment vertical="center"/>
    </xf>
    <xf numFmtId="217" fontId="38" fillId="0" borderId="71" xfId="6" applyNumberFormat="1" applyFont="1" applyBorder="1" applyAlignment="1" applyProtection="1">
      <alignment vertical="center"/>
    </xf>
    <xf numFmtId="217" fontId="38" fillId="0" borderId="21" xfId="6" applyNumberFormat="1" applyFont="1" applyBorder="1" applyAlignment="1" applyProtection="1">
      <alignment vertical="center"/>
    </xf>
    <xf numFmtId="217" fontId="38" fillId="0" borderId="22" xfId="0" applyNumberFormat="1" applyFont="1" applyBorder="1" applyAlignment="1" applyProtection="1">
      <alignment vertical="center"/>
    </xf>
    <xf numFmtId="200" fontId="38" fillId="0" borderId="41" xfId="0" applyNumberFormat="1" applyFont="1" applyBorder="1" applyAlignment="1" applyProtection="1">
      <alignment vertical="center"/>
    </xf>
    <xf numFmtId="217" fontId="38" fillId="0" borderId="71" xfId="0" applyNumberFormat="1" applyFont="1" applyBorder="1" applyAlignment="1" applyProtection="1">
      <alignment vertical="center"/>
    </xf>
    <xf numFmtId="200" fontId="38" fillId="0" borderId="34" xfId="0" applyNumberFormat="1" applyFont="1" applyBorder="1" applyAlignment="1" applyProtection="1">
      <alignment vertical="center"/>
    </xf>
    <xf numFmtId="217" fontId="38" fillId="0" borderId="60" xfId="6" applyNumberFormat="1" applyFont="1" applyBorder="1" applyAlignment="1" applyProtection="1">
      <alignment vertical="center"/>
    </xf>
    <xf numFmtId="217" fontId="38" fillId="0" borderId="35" xfId="6" applyNumberFormat="1" applyFont="1" applyBorder="1" applyAlignment="1" applyProtection="1">
      <alignment vertical="center"/>
    </xf>
    <xf numFmtId="217" fontId="38" fillId="0" borderId="4" xfId="0" applyNumberFormat="1" applyFont="1" applyBorder="1" applyAlignment="1" applyProtection="1">
      <alignment vertical="center"/>
    </xf>
    <xf numFmtId="200" fontId="38" fillId="0" borderId="63" xfId="0" applyNumberFormat="1" applyFont="1" applyBorder="1" applyAlignment="1" applyProtection="1">
      <alignment vertical="center"/>
    </xf>
    <xf numFmtId="217" fontId="38" fillId="0" borderId="60" xfId="0" applyNumberFormat="1" applyFont="1" applyBorder="1" applyAlignment="1" applyProtection="1">
      <alignment vertical="center"/>
    </xf>
    <xf numFmtId="3" fontId="22" fillId="2" borderId="9" xfId="0" applyNumberFormat="1" applyFont="1" applyFill="1" applyBorder="1" applyAlignment="1">
      <alignment horizontal="left" vertical="center" indent="3"/>
    </xf>
    <xf numFmtId="3" fontId="22" fillId="2" borderId="9" xfId="0" applyNumberFormat="1" applyFont="1" applyFill="1" applyBorder="1" applyAlignment="1">
      <alignment horizontal="center" vertical="center"/>
    </xf>
    <xf numFmtId="0" fontId="38" fillId="0" borderId="61" xfId="0" applyFont="1" applyBorder="1"/>
    <xf numFmtId="0" fontId="38" fillId="0" borderId="42" xfId="0" applyFont="1" applyBorder="1"/>
    <xf numFmtId="0" fontId="38" fillId="0" borderId="43" xfId="0" applyFont="1" applyBorder="1"/>
    <xf numFmtId="0" fontId="38" fillId="0" borderId="62" xfId="0" applyFont="1" applyBorder="1"/>
    <xf numFmtId="0" fontId="38" fillId="0" borderId="44" xfId="0" applyFont="1" applyBorder="1"/>
    <xf numFmtId="0" fontId="38" fillId="0" borderId="49" xfId="0" applyFont="1" applyBorder="1" applyAlignment="1">
      <alignment horizontal="left" vertical="center" indent="2"/>
    </xf>
    <xf numFmtId="0" fontId="38" fillId="0" borderId="7" xfId="0" applyFont="1" applyBorder="1" applyAlignment="1">
      <alignment horizontal="left" vertical="center" indent="2"/>
    </xf>
    <xf numFmtId="0" fontId="38" fillId="0" borderId="16" xfId="0" applyFont="1" applyBorder="1" applyAlignment="1">
      <alignment horizontal="left" vertical="center" indent="2"/>
    </xf>
    <xf numFmtId="0" fontId="38" fillId="0" borderId="61" xfId="0" applyFont="1" applyBorder="1" applyAlignment="1">
      <alignment horizontal="left" indent="3"/>
    </xf>
    <xf numFmtId="0" fontId="38" fillId="0" borderId="42" xfId="0" applyFont="1" applyBorder="1" applyAlignment="1">
      <alignment horizontal="left" indent="3"/>
    </xf>
    <xf numFmtId="0" fontId="38" fillId="0" borderId="9" xfId="0" applyFont="1" applyBorder="1" applyAlignment="1">
      <alignment horizontal="right" vertical="center"/>
    </xf>
    <xf numFmtId="166" fontId="17" fillId="0" borderId="0" xfId="6" applyNumberFormat="1" applyFont="1" applyBorder="1" applyAlignment="1">
      <alignment horizontal="center"/>
    </xf>
    <xf numFmtId="197" fontId="38" fillId="0" borderId="0" xfId="0" applyNumberFormat="1" applyFont="1" applyAlignment="1">
      <alignment horizontal="center"/>
    </xf>
    <xf numFmtId="0" fontId="38" fillId="0" borderId="0" xfId="0" applyFont="1" applyAlignment="1">
      <alignment horizontal="right" vertical="center"/>
    </xf>
    <xf numFmtId="0" fontId="22" fillId="0" borderId="49" xfId="0" applyFont="1" applyBorder="1" applyAlignment="1" applyProtection="1">
      <alignment horizontal="left" vertical="center" indent="1"/>
    </xf>
    <xf numFmtId="0" fontId="22" fillId="0" borderId="7" xfId="0" applyFont="1" applyBorder="1" applyAlignment="1" applyProtection="1">
      <alignment horizontal="left" vertical="center" indent="1"/>
    </xf>
    <xf numFmtId="217" fontId="38" fillId="0" borderId="2" xfId="6" applyNumberFormat="1" applyFont="1" applyBorder="1" applyAlignment="1" applyProtection="1">
      <alignment vertical="center"/>
    </xf>
    <xf numFmtId="217" fontId="38" fillId="0" borderId="4" xfId="6" applyNumberFormat="1" applyFont="1" applyBorder="1" applyAlignment="1" applyProtection="1">
      <alignment vertical="center"/>
    </xf>
    <xf numFmtId="252" fontId="38" fillId="0" borderId="50" xfId="0" applyNumberFormat="1" applyFont="1" applyBorder="1" applyAlignment="1" applyProtection="1">
      <alignment vertical="center"/>
    </xf>
    <xf numFmtId="0" fontId="23" fillId="0" borderId="0" xfId="0" applyFont="1" applyAlignment="1" applyProtection="1">
      <alignment horizontal="left" indent="2"/>
    </xf>
    <xf numFmtId="3" fontId="21" fillId="0" borderId="12" xfId="0" applyNumberFormat="1" applyFont="1" applyBorder="1" applyAlignment="1">
      <alignment horizontal="left" indent="2"/>
    </xf>
    <xf numFmtId="3" fontId="21" fillId="0" borderId="0" xfId="0" quotePrefix="1" applyNumberFormat="1" applyFont="1"/>
    <xf numFmtId="0" fontId="21" fillId="0" borderId="0" xfId="0" applyFont="1" applyAlignment="1">
      <alignment horizontal="center"/>
    </xf>
    <xf numFmtId="3" fontId="21" fillId="0" borderId="0" xfId="0" applyNumberFormat="1" applyFont="1" applyAlignment="1">
      <alignment horizontal="center"/>
    </xf>
    <xf numFmtId="0" fontId="22" fillId="0" borderId="6" xfId="0" applyFont="1" applyBorder="1" applyAlignment="1">
      <alignment horizontal="left" indent="1"/>
    </xf>
    <xf numFmtId="0" fontId="22" fillId="0" borderId="1" xfId="0" applyFont="1" applyBorder="1" applyAlignment="1">
      <alignment horizontal="left" indent="1"/>
    </xf>
    <xf numFmtId="0" fontId="20" fillId="0" borderId="27" xfId="0" applyFont="1" applyBorder="1" applyAlignment="1">
      <alignment horizontal="center" vertical="center"/>
    </xf>
    <xf numFmtId="0" fontId="20" fillId="0" borderId="29" xfId="0" applyFont="1" applyBorder="1" applyAlignment="1">
      <alignment horizontal="center" vertical="center"/>
    </xf>
    <xf numFmtId="3" fontId="38" fillId="0" borderId="16" xfId="0" applyNumberFormat="1" applyFont="1" applyBorder="1" applyAlignment="1">
      <alignment horizontal="left" vertical="center" indent="1"/>
    </xf>
    <xf numFmtId="176" fontId="38" fillId="0" borderId="9" xfId="0" applyNumberFormat="1" applyFont="1" applyBorder="1" applyAlignment="1">
      <alignment horizontal="centerContinuous" vertical="center"/>
    </xf>
    <xf numFmtId="0" fontId="38" fillId="0" borderId="1" xfId="0" applyFont="1" applyBorder="1" applyAlignment="1">
      <alignment horizontal="centerContinuous" vertical="center"/>
    </xf>
    <xf numFmtId="0" fontId="22" fillId="0" borderId="49" xfId="0" applyFont="1" applyBorder="1" applyAlignment="1">
      <alignment horizontal="left" vertical="center" indent="2"/>
    </xf>
    <xf numFmtId="0" fontId="22" fillId="0" borderId="16" xfId="0" applyFont="1" applyBorder="1" applyAlignment="1" applyProtection="1">
      <alignment horizontal="left" vertical="center" indent="2"/>
    </xf>
    <xf numFmtId="0" fontId="38" fillId="0" borderId="49" xfId="0" applyFont="1" applyBorder="1" applyAlignment="1">
      <alignment horizontal="right" vertical="center" indent="2"/>
    </xf>
    <xf numFmtId="0" fontId="38" fillId="0" borderId="16" xfId="0" applyFont="1" applyBorder="1" applyAlignment="1">
      <alignment horizontal="right" vertical="center"/>
    </xf>
    <xf numFmtId="0" fontId="38" fillId="0" borderId="9" xfId="0" applyFont="1" applyBorder="1" applyAlignment="1">
      <alignment horizontal="center" vertical="center"/>
    </xf>
    <xf numFmtId="15" fontId="38" fillId="0" borderId="11" xfId="0" applyNumberFormat="1" applyFont="1" applyBorder="1" applyAlignment="1">
      <alignment horizontal="center" vertical="center"/>
    </xf>
    <xf numFmtId="166" fontId="38" fillId="0" borderId="22" xfId="6" applyNumberFormat="1" applyFont="1" applyBorder="1" applyAlignment="1">
      <alignment horizontal="center" vertical="center"/>
    </xf>
    <xf numFmtId="166" fontId="38" fillId="0" borderId="24" xfId="6" applyNumberFormat="1" applyFont="1" applyBorder="1" applyAlignment="1">
      <alignment horizontal="center" vertical="center"/>
    </xf>
    <xf numFmtId="166" fontId="38" fillId="0" borderId="4" xfId="6" applyNumberFormat="1" applyFont="1" applyBorder="1" applyAlignment="1">
      <alignment horizontal="center" vertical="center"/>
    </xf>
    <xf numFmtId="197" fontId="38" fillId="0" borderId="39" xfId="0" applyNumberFormat="1" applyFont="1" applyBorder="1" applyAlignment="1">
      <alignment horizontal="center" vertical="center"/>
    </xf>
    <xf numFmtId="0" fontId="38" fillId="0" borderId="25" xfId="0" applyFont="1" applyBorder="1" applyAlignment="1">
      <alignment vertical="center"/>
    </xf>
    <xf numFmtId="0" fontId="38" fillId="0" borderId="11" xfId="0" applyFont="1" applyBorder="1" applyAlignment="1">
      <alignment horizontal="right" vertical="center" indent="1"/>
    </xf>
    <xf numFmtId="0" fontId="38" fillId="0" borderId="24" xfId="0" applyFont="1" applyBorder="1" applyAlignment="1">
      <alignment vertical="center"/>
    </xf>
    <xf numFmtId="0" fontId="38" fillId="0" borderId="4" xfId="0" applyFont="1" applyBorder="1" applyAlignment="1">
      <alignment vertical="center"/>
    </xf>
    <xf numFmtId="0" fontId="38" fillId="0" borderId="20" xfId="0" applyFont="1" applyBorder="1" applyAlignment="1">
      <alignment horizontal="right" vertical="center" indent="2"/>
    </xf>
    <xf numFmtId="0" fontId="38" fillId="0" borderId="34" xfId="0" applyFont="1" applyBorder="1" applyAlignment="1">
      <alignment horizontal="left" vertical="center" indent="1"/>
    </xf>
    <xf numFmtId="0" fontId="21" fillId="0" borderId="37" xfId="0" applyFont="1" applyBorder="1" applyAlignment="1">
      <alignment horizontal="left" vertical="center" indent="1"/>
    </xf>
    <xf numFmtId="0" fontId="21" fillId="0" borderId="6" xfId="0" applyFont="1" applyBorder="1" applyAlignment="1">
      <alignment horizontal="right" vertical="center" indent="2"/>
    </xf>
    <xf numFmtId="0" fontId="21" fillId="0" borderId="0" xfId="0" quotePrefix="1" applyFont="1" applyAlignment="1">
      <alignment vertical="center"/>
    </xf>
    <xf numFmtId="2" fontId="21" fillId="0" borderId="0" xfId="0" applyNumberFormat="1" applyFont="1" applyAlignment="1">
      <alignment horizontal="center" vertical="center"/>
    </xf>
    <xf numFmtId="177" fontId="38" fillId="0" borderId="7" xfId="0" applyNumberFormat="1" applyFont="1" applyBorder="1" applyAlignment="1">
      <alignment horizontal="center" vertical="center"/>
    </xf>
    <xf numFmtId="177" fontId="38" fillId="0" borderId="13" xfId="0" applyNumberFormat="1" applyFont="1" applyBorder="1" applyAlignment="1">
      <alignment horizontal="center" vertical="center"/>
    </xf>
    <xf numFmtId="245" fontId="38" fillId="0" borderId="7" xfId="0" applyNumberFormat="1" applyFont="1" applyBorder="1" applyAlignment="1">
      <alignment horizontal="right" vertical="center"/>
    </xf>
    <xf numFmtId="245" fontId="38" fillId="0" borderId="2" xfId="0" applyNumberFormat="1" applyFont="1" applyBorder="1" applyAlignment="1">
      <alignment horizontal="right" vertical="center"/>
    </xf>
    <xf numFmtId="245" fontId="38" fillId="0" borderId="13" xfId="0" applyNumberFormat="1" applyFont="1" applyBorder="1" applyAlignment="1">
      <alignment horizontal="right" vertical="center"/>
    </xf>
    <xf numFmtId="245" fontId="38" fillId="0" borderId="43" xfId="0" applyNumberFormat="1" applyFont="1" applyBorder="1" applyAlignment="1">
      <alignment horizontal="right" vertical="center"/>
    </xf>
    <xf numFmtId="193" fontId="38" fillId="0" borderId="56" xfId="0" applyNumberFormat="1" applyFont="1" applyBorder="1" applyAlignment="1">
      <alignment horizontal="center"/>
    </xf>
    <xf numFmtId="193" fontId="38" fillId="0" borderId="28" xfId="0" applyNumberFormat="1" applyFont="1" applyBorder="1" applyAlignment="1">
      <alignment horizontal="center"/>
    </xf>
    <xf numFmtId="193" fontId="38" fillId="0" borderId="26" xfId="0" applyNumberFormat="1" applyFont="1" applyBorder="1" applyAlignment="1">
      <alignment horizontal="center"/>
    </xf>
    <xf numFmtId="193" fontId="38" fillId="0" borderId="40" xfId="0" applyNumberFormat="1" applyFont="1" applyBorder="1" applyAlignment="1">
      <alignment horizontal="center"/>
    </xf>
    <xf numFmtId="193" fontId="38" fillId="0" borderId="8" xfId="0" applyNumberFormat="1" applyFont="1" applyBorder="1" applyAlignment="1">
      <alignment horizontal="center"/>
    </xf>
    <xf numFmtId="193" fontId="38" fillId="0" borderId="3" xfId="0" applyNumberFormat="1" applyFont="1" applyBorder="1" applyAlignment="1">
      <alignment horizontal="center"/>
    </xf>
    <xf numFmtId="193" fontId="38" fillId="0" borderId="77" xfId="0" applyNumberFormat="1" applyFont="1" applyBorder="1" applyAlignment="1">
      <alignment horizontal="center"/>
    </xf>
    <xf numFmtId="193" fontId="38" fillId="0" borderId="85" xfId="0" applyNumberFormat="1" applyFont="1" applyBorder="1" applyAlignment="1">
      <alignment horizontal="center"/>
    </xf>
    <xf numFmtId="0" fontId="17" fillId="2" borderId="36" xfId="0" applyFont="1" applyFill="1" applyBorder="1" applyAlignment="1" applyProtection="1">
      <alignment horizontal="center" vertical="center"/>
      <protection locked="0"/>
    </xf>
    <xf numFmtId="0" fontId="46" fillId="2" borderId="36" xfId="0" applyFont="1" applyFill="1" applyBorder="1" applyAlignment="1" applyProtection="1">
      <alignment horizontal="center" vertical="center"/>
      <protection locked="0"/>
    </xf>
    <xf numFmtId="0" fontId="17" fillId="0" borderId="6" xfId="0" applyFont="1" applyBorder="1" applyAlignment="1">
      <alignment vertical="center"/>
    </xf>
    <xf numFmtId="3" fontId="46" fillId="0" borderId="72" xfId="0" applyNumberFormat="1" applyFont="1" applyBorder="1" applyAlignment="1">
      <alignment horizontal="left" vertical="center" indent="2"/>
    </xf>
    <xf numFmtId="0" fontId="46" fillId="0" borderId="57" xfId="0" applyFont="1" applyBorder="1" applyAlignment="1">
      <alignment horizontal="center" vertical="center"/>
    </xf>
    <xf numFmtId="10" fontId="21" fillId="2" borderId="25" xfId="6" applyNumberFormat="1" applyFont="1" applyFill="1" applyBorder="1" applyAlignment="1" applyProtection="1">
      <alignment horizontal="center" vertical="center"/>
      <protection locked="0"/>
    </xf>
    <xf numFmtId="0" fontId="21" fillId="0" borderId="2" xfId="0" applyFont="1" applyBorder="1" applyAlignment="1">
      <alignment vertical="center"/>
    </xf>
    <xf numFmtId="254" fontId="38" fillId="0" borderId="37" xfId="0" applyNumberFormat="1" applyFont="1" applyBorder="1" applyAlignment="1">
      <alignment horizontal="center" vertical="center"/>
    </xf>
    <xf numFmtId="254" fontId="38" fillId="0" borderId="36" xfId="0" applyNumberFormat="1" applyFont="1" applyBorder="1" applyAlignment="1">
      <alignment horizontal="center" vertical="center"/>
    </xf>
    <xf numFmtId="254" fontId="38" fillId="0" borderId="25" xfId="0" applyNumberFormat="1" applyFont="1" applyBorder="1" applyAlignment="1">
      <alignment horizontal="center" vertical="center"/>
    </xf>
    <xf numFmtId="4" fontId="21" fillId="0" borderId="2" xfId="0" applyNumberFormat="1" applyFont="1" applyBorder="1" applyAlignment="1">
      <alignment horizontal="center" vertical="center"/>
    </xf>
    <xf numFmtId="4" fontId="21" fillId="0" borderId="24" xfId="0" applyNumberFormat="1" applyFont="1" applyBorder="1" applyAlignment="1">
      <alignment horizontal="center" vertical="center"/>
    </xf>
    <xf numFmtId="0" fontId="38" fillId="0" borderId="22" xfId="0" applyFont="1" applyBorder="1" applyAlignment="1">
      <alignment horizontal="left" vertical="center" indent="1"/>
    </xf>
    <xf numFmtId="247" fontId="21" fillId="0" borderId="2" xfId="6" applyNumberFormat="1" applyFont="1" applyBorder="1" applyAlignment="1">
      <alignment horizontal="center" vertical="center"/>
    </xf>
    <xf numFmtId="247" fontId="21" fillId="0" borderId="24" xfId="6" applyNumberFormat="1" applyFont="1" applyBorder="1" applyAlignment="1">
      <alignment horizontal="center" vertical="center"/>
    </xf>
    <xf numFmtId="247" fontId="21" fillId="0" borderId="2" xfId="6" applyNumberFormat="1" applyFont="1" applyFill="1" applyBorder="1" applyAlignment="1">
      <alignment horizontal="center" vertical="center"/>
    </xf>
    <xf numFmtId="247" fontId="21" fillId="0" borderId="24" xfId="6" applyNumberFormat="1" applyFont="1" applyFill="1" applyBorder="1" applyAlignment="1">
      <alignment horizontal="center" vertical="center"/>
    </xf>
    <xf numFmtId="4" fontId="21" fillId="0" borderId="35" xfId="0" applyNumberFormat="1" applyFont="1" applyBorder="1" applyAlignment="1">
      <alignment horizontal="center" vertical="center"/>
    </xf>
    <xf numFmtId="4" fontId="21" fillId="0" borderId="4" xfId="0" applyNumberFormat="1" applyFont="1" applyBorder="1" applyAlignment="1">
      <alignment horizontal="center" vertical="center"/>
    </xf>
    <xf numFmtId="0" fontId="14" fillId="0" borderId="6" xfId="0" applyFont="1" applyBorder="1" applyAlignment="1">
      <alignment horizontal="centerContinuous" vertical="center"/>
    </xf>
    <xf numFmtId="0" fontId="14" fillId="0" borderId="1" xfId="0" applyFont="1" applyBorder="1" applyAlignment="1">
      <alignment horizontal="centerContinuous" vertical="center"/>
    </xf>
    <xf numFmtId="10" fontId="62" fillId="0" borderId="0" xfId="6" applyNumberFormat="1" applyFont="1" applyAlignment="1">
      <alignment horizontal="center" vertical="center"/>
    </xf>
    <xf numFmtId="3" fontId="36" fillId="0" borderId="126" xfId="0" applyNumberFormat="1" applyFont="1" applyBorder="1" applyAlignment="1">
      <alignment horizontal="left" vertical="center" indent="2"/>
    </xf>
    <xf numFmtId="3" fontId="36" fillId="0" borderId="126" xfId="0" applyNumberFormat="1" applyFont="1" applyBorder="1" applyAlignment="1">
      <alignment vertical="center"/>
    </xf>
    <xf numFmtId="166" fontId="62" fillId="0" borderId="126" xfId="6" applyNumberFormat="1" applyFont="1" applyBorder="1" applyAlignment="1">
      <alignment horizontal="center" vertical="center"/>
    </xf>
    <xf numFmtId="3" fontId="23" fillId="0" borderId="15" xfId="0" applyNumberFormat="1" applyFont="1" applyBorder="1" applyAlignment="1">
      <alignment horizontal="left" indent="1"/>
    </xf>
    <xf numFmtId="3" fontId="23" fillId="0" borderId="12" xfId="0" applyNumberFormat="1" applyFont="1" applyBorder="1" applyAlignment="1">
      <alignment horizontal="left" indent="1"/>
    </xf>
    <xf numFmtId="3" fontId="23" fillId="0" borderId="38" xfId="0" applyNumberFormat="1" applyFont="1" applyBorder="1" applyAlignment="1">
      <alignment horizontal="left" indent="1"/>
    </xf>
    <xf numFmtId="256" fontId="46" fillId="0" borderId="37" xfId="0" applyNumberFormat="1" applyFont="1" applyBorder="1" applyAlignment="1">
      <alignment horizontal="left" indent="3"/>
    </xf>
    <xf numFmtId="9" fontId="46" fillId="2" borderId="1" xfId="0" applyNumberFormat="1" applyFont="1" applyFill="1" applyBorder="1" applyAlignment="1" applyProtection="1">
      <alignment horizontal="center"/>
      <protection locked="0"/>
    </xf>
    <xf numFmtId="0" fontId="20" fillId="0" borderId="1" xfId="0" applyFont="1" applyBorder="1"/>
    <xf numFmtId="1" fontId="46" fillId="0" borderId="37" xfId="0" applyNumberFormat="1" applyFont="1" applyBorder="1" applyAlignment="1">
      <alignment horizontal="left" indent="3"/>
    </xf>
    <xf numFmtId="1" fontId="20" fillId="0" borderId="1" xfId="0" applyNumberFormat="1" applyFont="1" applyBorder="1"/>
    <xf numFmtId="0" fontId="46" fillId="0" borderId="9" xfId="0" applyFont="1" applyBorder="1" applyAlignment="1">
      <alignment horizontal="center" vertical="center"/>
    </xf>
    <xf numFmtId="0" fontId="46" fillId="0" borderId="39" xfId="0" quotePrefix="1" applyFont="1" applyBorder="1" applyAlignment="1">
      <alignment horizontal="center" vertical="center"/>
    </xf>
    <xf numFmtId="0" fontId="31" fillId="0" borderId="0" xfId="0" applyFont="1" applyAlignment="1" applyProtection="1">
      <alignment horizontal="centerContinuous" vertical="center"/>
    </xf>
    <xf numFmtId="3" fontId="21" fillId="0" borderId="0" xfId="0" applyNumberFormat="1" applyFont="1" applyAlignment="1" applyProtection="1">
      <alignment horizontal="centerContinuous" vertical="center"/>
    </xf>
    <xf numFmtId="3" fontId="23" fillId="0" borderId="7" xfId="0" applyNumberFormat="1" applyFont="1" applyBorder="1" applyAlignment="1">
      <alignment horizontal="left" indent="1"/>
    </xf>
    <xf numFmtId="0" fontId="46" fillId="0" borderId="23" xfId="0" applyFont="1" applyBorder="1" applyAlignment="1">
      <alignment vertical="center"/>
    </xf>
    <xf numFmtId="0" fontId="38" fillId="0" borderId="2" xfId="0" applyFont="1" applyBorder="1" applyAlignment="1">
      <alignment horizontal="right" vertical="center"/>
    </xf>
    <xf numFmtId="10" fontId="21" fillId="2" borderId="24" xfId="0" applyNumberFormat="1" applyFont="1" applyFill="1" applyBorder="1" applyAlignment="1" applyProtection="1">
      <alignment horizontal="center" vertical="center"/>
      <protection locked="0"/>
    </xf>
    <xf numFmtId="0" fontId="46" fillId="0" borderId="34" xfId="0" applyFont="1" applyBorder="1" applyAlignment="1">
      <alignment vertical="center"/>
    </xf>
    <xf numFmtId="0" fontId="38" fillId="0" borderId="35" xfId="0" applyFont="1" applyBorder="1" applyAlignment="1">
      <alignment horizontal="right" vertical="center"/>
    </xf>
    <xf numFmtId="10" fontId="21" fillId="2" borderId="4" xfId="0" applyNumberFormat="1" applyFont="1" applyFill="1" applyBorder="1" applyAlignment="1" applyProtection="1">
      <alignment horizontal="center" vertical="center"/>
      <protection locked="0"/>
    </xf>
    <xf numFmtId="200" fontId="17" fillId="0" borderId="18" xfId="0" applyNumberFormat="1" applyFont="1" applyBorder="1" applyAlignment="1" applyProtection="1">
      <alignment vertical="center"/>
    </xf>
    <xf numFmtId="0" fontId="34" fillId="0" borderId="49" xfId="0" applyFont="1" applyBorder="1" applyAlignment="1">
      <alignment horizontal="center" vertical="center" wrapText="1"/>
    </xf>
    <xf numFmtId="3" fontId="17" fillId="0" borderId="11" xfId="0" applyNumberFormat="1" applyFont="1" applyBorder="1" applyAlignment="1">
      <alignment horizontal="center" vertical="center"/>
    </xf>
    <xf numFmtId="3" fontId="17" fillId="0" borderId="6" xfId="0" applyNumberFormat="1" applyFont="1" applyBorder="1" applyAlignment="1">
      <alignment horizontal="center" vertical="center"/>
    </xf>
    <xf numFmtId="0" fontId="17" fillId="0" borderId="9" xfId="0" applyFont="1" applyBorder="1" applyAlignment="1">
      <alignment horizontal="right" vertical="center" indent="1"/>
    </xf>
    <xf numFmtId="0" fontId="21" fillId="0" borderId="0" xfId="0" quotePrefix="1" applyFont="1" applyProtection="1"/>
    <xf numFmtId="257" fontId="21" fillId="0" borderId="11" xfId="0" applyNumberFormat="1" applyFont="1" applyBorder="1"/>
    <xf numFmtId="0" fontId="21" fillId="0" borderId="0" xfId="0" applyFont="1" applyAlignment="1">
      <alignment horizontal="center" vertical="center"/>
    </xf>
    <xf numFmtId="9" fontId="46" fillId="0" borderId="22" xfId="0" applyNumberFormat="1" applyFont="1" applyBorder="1" applyAlignment="1" applyProtection="1">
      <alignment horizontal="center"/>
    </xf>
    <xf numFmtId="0" fontId="20" fillId="0" borderId="49" xfId="0" applyFont="1" applyBorder="1" applyAlignment="1" applyProtection="1">
      <alignment horizontal="left" vertical="center" indent="2"/>
    </xf>
    <xf numFmtId="0" fontId="20" fillId="0" borderId="16" xfId="0" applyFont="1" applyBorder="1" applyAlignment="1" applyProtection="1">
      <alignment horizontal="right" indent="2"/>
    </xf>
    <xf numFmtId="0" fontId="23" fillId="0" borderId="39" xfId="0" applyFont="1" applyBorder="1" applyAlignment="1" applyProtection="1">
      <alignment horizontal="left" indent="2"/>
    </xf>
    <xf numFmtId="0" fontId="20" fillId="0" borderId="49" xfId="0" applyFont="1" applyBorder="1" applyAlignment="1" applyProtection="1">
      <alignment horizontal="left" indent="2"/>
    </xf>
    <xf numFmtId="0" fontId="23" fillId="0" borderId="7" xfId="0" applyFont="1" applyBorder="1" applyAlignment="1" applyProtection="1">
      <alignment horizontal="left" indent="4"/>
    </xf>
    <xf numFmtId="0" fontId="20" fillId="0" borderId="16" xfId="0" applyFont="1" applyBorder="1" applyAlignment="1" applyProtection="1">
      <alignment horizontal="right" indent="4"/>
    </xf>
    <xf numFmtId="0" fontId="23" fillId="0" borderId="6" xfId="0" applyFont="1" applyBorder="1" applyAlignment="1" applyProtection="1">
      <alignment horizontal="left" indent="2"/>
    </xf>
    <xf numFmtId="213" fontId="23" fillId="0" borderId="15" xfId="0" applyNumberFormat="1" applyFont="1" applyBorder="1" applyAlignment="1" applyProtection="1">
      <alignment horizontal="right"/>
    </xf>
    <xf numFmtId="0" fontId="34" fillId="0" borderId="18" xfId="0" applyFont="1" applyBorder="1" applyAlignment="1" applyProtection="1">
      <alignment horizontal="center" wrapText="1"/>
    </xf>
    <xf numFmtId="213" fontId="23" fillId="0" borderId="12" xfId="0" applyNumberFormat="1" applyFont="1" applyBorder="1" applyAlignment="1" applyProtection="1">
      <alignment horizontal="right"/>
    </xf>
    <xf numFmtId="213" fontId="20" fillId="0" borderId="19" xfId="0" applyNumberFormat="1" applyFont="1" applyBorder="1" applyProtection="1"/>
    <xf numFmtId="206" fontId="23" fillId="0" borderId="15" xfId="0" applyNumberFormat="1" applyFont="1" applyBorder="1" applyAlignment="1" applyProtection="1">
      <alignment horizontal="right"/>
    </xf>
    <xf numFmtId="206" fontId="23" fillId="0" borderId="12" xfId="0" applyNumberFormat="1" applyFont="1" applyBorder="1" applyAlignment="1" applyProtection="1">
      <alignment horizontal="right"/>
    </xf>
    <xf numFmtId="206" fontId="20" fillId="0" borderId="16" xfId="0" applyNumberFormat="1" applyFont="1" applyBorder="1" applyProtection="1"/>
    <xf numFmtId="206" fontId="23" fillId="0" borderId="15" xfId="0" applyNumberFormat="1" applyFont="1" applyBorder="1" applyProtection="1"/>
    <xf numFmtId="206" fontId="23" fillId="0" borderId="12" xfId="0" applyNumberFormat="1" applyFont="1" applyBorder="1" applyProtection="1"/>
    <xf numFmtId="200" fontId="23" fillId="0" borderId="0" xfId="0" applyNumberFormat="1" applyFont="1" applyAlignment="1" applyProtection="1">
      <alignment horizontal="right"/>
    </xf>
    <xf numFmtId="200" fontId="23" fillId="0" borderId="0" xfId="0" applyNumberFormat="1" applyFont="1" applyProtection="1"/>
    <xf numFmtId="0" fontId="38" fillId="0" borderId="1" xfId="0" applyFont="1" applyBorder="1" applyAlignment="1">
      <alignment horizontal="right" vertical="center" indent="1"/>
    </xf>
    <xf numFmtId="3" fontId="38" fillId="0" borderId="49" xfId="0" applyNumberFormat="1" applyFont="1" applyBorder="1" applyAlignment="1" applyProtection="1">
      <alignment horizontal="left" vertical="center" indent="2"/>
    </xf>
    <xf numFmtId="3" fontId="38" fillId="0" borderId="16" xfId="0" applyNumberFormat="1" applyFont="1" applyBorder="1" applyAlignment="1" applyProtection="1">
      <alignment horizontal="left" vertical="center" indent="2"/>
    </xf>
    <xf numFmtId="9" fontId="33" fillId="0" borderId="0" xfId="0" applyNumberFormat="1" applyFont="1" applyAlignment="1">
      <alignment horizontal="center"/>
    </xf>
    <xf numFmtId="3" fontId="20" fillId="0" borderId="49" xfId="0" applyNumberFormat="1" applyFont="1" applyBorder="1"/>
    <xf numFmtId="3" fontId="17" fillId="0" borderId="69" xfId="0" applyNumberFormat="1" applyFont="1" applyBorder="1" applyAlignment="1">
      <alignment horizontal="left" indent="1"/>
    </xf>
    <xf numFmtId="9" fontId="17" fillId="0" borderId="0" xfId="0" applyNumberFormat="1" applyFont="1" applyAlignment="1">
      <alignment horizontal="center" vertical="center"/>
    </xf>
    <xf numFmtId="0" fontId="35" fillId="0" borderId="0" xfId="0" applyFont="1" applyAlignment="1">
      <alignment vertical="center"/>
    </xf>
    <xf numFmtId="0" fontId="21" fillId="0" borderId="0" xfId="0" applyFont="1" applyAlignment="1">
      <alignment horizontal="left" vertical="center"/>
    </xf>
    <xf numFmtId="0" fontId="20" fillId="0" borderId="8" xfId="0" applyFont="1" applyBorder="1" applyAlignment="1" applyProtection="1">
      <alignment horizontal="left" vertical="center" indent="2"/>
    </xf>
    <xf numFmtId="0" fontId="20" fillId="0" borderId="8" xfId="0" applyFont="1" applyBorder="1" applyAlignment="1" applyProtection="1">
      <alignment horizontal="center" vertical="center" wrapText="1"/>
    </xf>
    <xf numFmtId="0" fontId="20" fillId="0" borderId="8" xfId="0" applyFont="1" applyBorder="1" applyAlignment="1">
      <alignment horizontal="center" vertical="center" wrapText="1"/>
    </xf>
    <xf numFmtId="0" fontId="20" fillId="0" borderId="15" xfId="0" applyFont="1" applyBorder="1" applyAlignment="1">
      <alignment horizontal="center" vertical="center" wrapText="1"/>
    </xf>
    <xf numFmtId="0" fontId="17" fillId="0" borderId="49" xfId="0" applyFont="1" applyBorder="1" applyAlignment="1" applyProtection="1">
      <alignment horizontal="left" vertical="center" indent="2"/>
    </xf>
    <xf numFmtId="0" fontId="23" fillId="0" borderId="7" xfId="0" applyFont="1" applyBorder="1" applyAlignment="1" applyProtection="1">
      <alignment horizontal="left" indent="3"/>
    </xf>
    <xf numFmtId="0" fontId="20" fillId="0" borderId="8" xfId="0" applyFont="1" applyBorder="1" applyAlignment="1">
      <alignment horizontal="center" vertical="center"/>
    </xf>
    <xf numFmtId="0" fontId="20" fillId="0" borderId="3" xfId="0" applyFont="1" applyBorder="1" applyAlignment="1">
      <alignment horizontal="center" vertical="center" wrapText="1"/>
    </xf>
    <xf numFmtId="0" fontId="20" fillId="0" borderId="85" xfId="0" applyFont="1" applyBorder="1" applyAlignment="1" applyProtection="1">
      <alignment horizontal="center" vertical="center" wrapText="1"/>
    </xf>
    <xf numFmtId="0" fontId="20" fillId="0" borderId="15" xfId="0" applyFont="1" applyBorder="1" applyAlignment="1" applyProtection="1">
      <alignment horizontal="center" vertical="center" wrapText="1"/>
    </xf>
    <xf numFmtId="0" fontId="20" fillId="0" borderId="5" xfId="0" applyFont="1" applyBorder="1" applyAlignment="1">
      <alignment horizontal="center" vertical="center" wrapText="1"/>
    </xf>
    <xf numFmtId="200" fontId="21" fillId="2" borderId="25" xfId="0" applyNumberFormat="1" applyFont="1" applyFill="1" applyBorder="1" applyAlignment="1" applyProtection="1">
      <alignment vertical="center"/>
      <protection locked="0"/>
    </xf>
    <xf numFmtId="0" fontId="30" fillId="0" borderId="0" xfId="0" applyFont="1" applyAlignment="1" applyProtection="1">
      <alignment horizontal="center"/>
    </xf>
    <xf numFmtId="168" fontId="17" fillId="2" borderId="11" xfId="0" applyNumberFormat="1" applyFont="1" applyFill="1" applyBorder="1" applyAlignment="1" applyProtection="1">
      <alignment horizontal="center"/>
      <protection locked="0"/>
    </xf>
    <xf numFmtId="0" fontId="63" fillId="0" borderId="0" xfId="0" applyFont="1" applyAlignment="1" applyProtection="1">
      <alignment horizontal="right"/>
    </xf>
    <xf numFmtId="0" fontId="35" fillId="0" borderId="0" xfId="0" applyFont="1" applyAlignment="1" applyProtection="1">
      <alignment horizontal="center"/>
    </xf>
    <xf numFmtId="0" fontId="21" fillId="4" borderId="0" xfId="0" applyFont="1" applyFill="1"/>
    <xf numFmtId="190" fontId="23" fillId="4" borderId="48" xfId="0" applyNumberFormat="1" applyFont="1" applyFill="1" applyBorder="1"/>
    <xf numFmtId="189" fontId="23" fillId="4" borderId="85" xfId="0" applyNumberFormat="1" applyFont="1" applyFill="1" applyBorder="1"/>
    <xf numFmtId="230" fontId="23" fillId="4" borderId="48" xfId="0" applyNumberFormat="1" applyFont="1" applyFill="1" applyBorder="1"/>
    <xf numFmtId="237" fontId="23" fillId="4" borderId="85" xfId="0" applyNumberFormat="1" applyFont="1" applyFill="1" applyBorder="1"/>
    <xf numFmtId="3" fontId="38" fillId="0" borderId="15" xfId="0" applyNumberFormat="1" applyFont="1" applyBorder="1" applyAlignment="1">
      <alignment horizontal="left" indent="1"/>
    </xf>
    <xf numFmtId="3" fontId="22" fillId="0" borderId="15" xfId="0" applyNumberFormat="1" applyFont="1" applyBorder="1" applyAlignment="1">
      <alignment horizontal="left" indent="2"/>
    </xf>
    <xf numFmtId="224" fontId="34" fillId="0" borderId="15" xfId="0" applyNumberFormat="1" applyFont="1" applyBorder="1" applyAlignment="1" applyProtection="1">
      <alignment shrinkToFit="1"/>
      <protection locked="0"/>
    </xf>
    <xf numFmtId="3" fontId="21" fillId="0" borderId="49" xfId="0" applyNumberFormat="1" applyFont="1" applyBorder="1" applyAlignment="1" applyProtection="1">
      <alignment horizontal="left" vertical="center" indent="1"/>
    </xf>
    <xf numFmtId="3" fontId="21" fillId="0" borderId="8" xfId="0" applyNumberFormat="1" applyFont="1" applyBorder="1" applyAlignment="1" applyProtection="1">
      <alignment horizontal="left" vertical="center" indent="1"/>
    </xf>
    <xf numFmtId="190" fontId="21" fillId="0" borderId="48" xfId="0" applyNumberFormat="1" applyFont="1" applyBorder="1" applyAlignment="1" applyProtection="1">
      <alignment vertical="center"/>
    </xf>
    <xf numFmtId="3" fontId="22" fillId="0" borderId="15" xfId="0" applyNumberFormat="1" applyFont="1" applyBorder="1" applyAlignment="1">
      <alignment horizontal="center"/>
    </xf>
    <xf numFmtId="3" fontId="21" fillId="0" borderId="69" xfId="0" applyNumberFormat="1" applyFont="1" applyBorder="1" applyAlignment="1" applyProtection="1">
      <alignment horizontal="left" vertical="center" indent="3"/>
    </xf>
    <xf numFmtId="189" fontId="21" fillId="0" borderId="53" xfId="0" applyNumberFormat="1" applyFont="1" applyBorder="1" applyAlignment="1" applyProtection="1">
      <alignment vertical="center"/>
    </xf>
    <xf numFmtId="3" fontId="17" fillId="0" borderId="69" xfId="0" applyNumberFormat="1" applyFont="1" applyBorder="1" applyAlignment="1" applyProtection="1">
      <alignment horizontal="center" vertical="center"/>
    </xf>
    <xf numFmtId="195" fontId="44" fillId="0" borderId="15" xfId="0" applyNumberFormat="1" applyFont="1" applyBorder="1" applyAlignment="1">
      <alignment shrinkToFit="1"/>
    </xf>
    <xf numFmtId="0" fontId="21" fillId="5" borderId="0" xfId="0" applyFont="1" applyFill="1"/>
    <xf numFmtId="236" fontId="52" fillId="0" borderId="0" xfId="0" applyNumberFormat="1" applyFont="1" applyProtection="1"/>
    <xf numFmtId="190" fontId="23" fillId="5" borderId="48" xfId="0" applyNumberFormat="1" applyFont="1" applyFill="1" applyBorder="1"/>
    <xf numFmtId="189" fontId="23" fillId="5" borderId="85" xfId="0" applyNumberFormat="1" applyFont="1" applyFill="1" applyBorder="1"/>
    <xf numFmtId="230" fontId="23" fillId="5" borderId="48" xfId="0" applyNumberFormat="1" applyFont="1" applyFill="1" applyBorder="1"/>
    <xf numFmtId="237" fontId="23" fillId="5" borderId="85" xfId="0" applyNumberFormat="1" applyFont="1" applyFill="1" applyBorder="1"/>
    <xf numFmtId="0" fontId="22" fillId="0" borderId="9" xfId="0" applyFont="1" applyBorder="1" applyAlignment="1" applyProtection="1">
      <alignment horizontal="left" vertical="center" indent="1"/>
    </xf>
    <xf numFmtId="0" fontId="20" fillId="0" borderId="11" xfId="0" applyFont="1" applyBorder="1" applyAlignment="1" applyProtection="1">
      <alignment horizontal="center" vertical="center" wrapText="1"/>
    </xf>
    <xf numFmtId="0" fontId="34" fillId="0" borderId="49" xfId="0" applyFont="1" applyBorder="1" applyAlignment="1">
      <alignment horizontal="center" shrinkToFit="1"/>
    </xf>
    <xf numFmtId="0" fontId="44" fillId="0" borderId="49" xfId="0" applyFont="1" applyBorder="1" applyAlignment="1">
      <alignment horizontal="center" vertical="center" wrapText="1"/>
    </xf>
    <xf numFmtId="213" fontId="23" fillId="0" borderId="69" xfId="0" applyNumberFormat="1" applyFont="1" applyBorder="1" applyProtection="1"/>
    <xf numFmtId="213" fontId="23" fillId="0" borderId="38" xfId="0" applyNumberFormat="1" applyFont="1" applyBorder="1" applyProtection="1"/>
    <xf numFmtId="0" fontId="20" fillId="0" borderId="9" xfId="0" applyFont="1" applyBorder="1" applyAlignment="1" applyProtection="1">
      <alignment horizontal="right" indent="2"/>
    </xf>
    <xf numFmtId="213" fontId="20" fillId="0" borderId="9" xfId="0" applyNumberFormat="1" applyFont="1" applyBorder="1"/>
    <xf numFmtId="213" fontId="20" fillId="0" borderId="11" xfId="0" applyNumberFormat="1" applyFont="1" applyBorder="1"/>
    <xf numFmtId="206" fontId="20" fillId="0" borderId="9" xfId="0" applyNumberFormat="1" applyFont="1" applyBorder="1"/>
    <xf numFmtId="0" fontId="64" fillId="0" borderId="10" xfId="0" applyFont="1" applyBorder="1" applyAlignment="1">
      <alignment horizontal="center" vertical="center" wrapText="1"/>
    </xf>
    <xf numFmtId="0" fontId="44" fillId="0" borderId="22" xfId="0" applyFont="1" applyBorder="1" applyAlignment="1">
      <alignment horizontal="center" vertical="center" wrapText="1"/>
    </xf>
    <xf numFmtId="0" fontId="44" fillId="0" borderId="18" xfId="0" applyFont="1" applyBorder="1" applyAlignment="1">
      <alignment horizontal="center" vertical="center"/>
    </xf>
    <xf numFmtId="0" fontId="44" fillId="0" borderId="21" xfId="0" applyFont="1" applyBorder="1" applyAlignment="1">
      <alignment horizontal="center" vertical="center" wrapText="1"/>
    </xf>
    <xf numFmtId="0" fontId="44" fillId="0" borderId="42" xfId="0" applyFont="1" applyBorder="1" applyAlignment="1" applyProtection="1">
      <alignment horizontal="center" vertical="center" wrapText="1"/>
    </xf>
    <xf numFmtId="0" fontId="61" fillId="0" borderId="0" xfId="0" applyFont="1"/>
    <xf numFmtId="0" fontId="44" fillId="0" borderId="18" xfId="0" applyFont="1" applyBorder="1" applyAlignment="1" applyProtection="1">
      <alignment horizontal="center" vertical="center" wrapText="1"/>
    </xf>
    <xf numFmtId="0" fontId="65" fillId="0" borderId="49" xfId="0" applyFont="1" applyBorder="1" applyAlignment="1">
      <alignment horizontal="center" vertical="center" wrapText="1"/>
    </xf>
    <xf numFmtId="0" fontId="20" fillId="0" borderId="9" xfId="0" applyFont="1" applyBorder="1" applyAlignment="1" applyProtection="1">
      <alignment horizontal="left" vertical="center" indent="2"/>
    </xf>
    <xf numFmtId="0" fontId="34" fillId="0" borderId="11" xfId="0" applyFont="1" applyBorder="1" applyAlignment="1">
      <alignment horizontal="center" wrapText="1"/>
    </xf>
    <xf numFmtId="200" fontId="23" fillId="0" borderId="11" xfId="0" applyNumberFormat="1" applyFont="1" applyBorder="1"/>
    <xf numFmtId="190" fontId="17" fillId="0" borderId="11" xfId="0" applyNumberFormat="1" applyFont="1" applyBorder="1" applyAlignment="1" applyProtection="1">
      <alignment vertical="center"/>
    </xf>
    <xf numFmtId="0" fontId="14" fillId="0" borderId="10" xfId="0" applyFont="1" applyBorder="1" applyAlignment="1">
      <alignment horizontal="left" indent="1"/>
    </xf>
    <xf numFmtId="183" fontId="14" fillId="0" borderId="68" xfId="4" applyNumberFormat="1" applyFont="1" applyBorder="1"/>
    <xf numFmtId="169" fontId="21" fillId="0" borderId="68" xfId="4" applyNumberFormat="1" applyFont="1" applyBorder="1"/>
    <xf numFmtId="188" fontId="21" fillId="0" borderId="68" xfId="4" applyNumberFormat="1" applyFont="1" applyBorder="1"/>
    <xf numFmtId="182" fontId="21" fillId="0" borderId="68" xfId="4" applyNumberFormat="1" applyFont="1" applyBorder="1"/>
    <xf numFmtId="169" fontId="21" fillId="0" borderId="68" xfId="4" applyNumberFormat="1" applyFont="1" applyFill="1" applyBorder="1"/>
    <xf numFmtId="188" fontId="21" fillId="0" borderId="68" xfId="4" applyNumberFormat="1" applyFont="1" applyFill="1" applyBorder="1"/>
    <xf numFmtId="0" fontId="21" fillId="0" borderId="57" xfId="0" applyFont="1" applyBorder="1"/>
    <xf numFmtId="0" fontId="14" fillId="0" borderId="64" xfId="0" applyFont="1" applyBorder="1"/>
    <xf numFmtId="169" fontId="14" fillId="0" borderId="90" xfId="4" applyNumberFormat="1" applyFont="1" applyFill="1" applyBorder="1" applyAlignment="1"/>
    <xf numFmtId="164" fontId="21" fillId="0" borderId="68" xfId="0" applyNumberFormat="1" applyFont="1" applyBorder="1"/>
    <xf numFmtId="183" fontId="21" fillId="0" borderId="68" xfId="4" applyNumberFormat="1" applyFont="1" applyBorder="1"/>
    <xf numFmtId="164" fontId="17" fillId="0" borderId="68" xfId="4" applyFont="1" applyBorder="1"/>
    <xf numFmtId="169" fontId="21" fillId="0" borderId="68" xfId="4" applyNumberFormat="1" applyFont="1" applyBorder="1" applyAlignment="1"/>
    <xf numFmtId="0" fontId="14" fillId="0" borderId="64" xfId="0" applyFont="1" applyBorder="1" applyAlignment="1">
      <alignment horizontal="right"/>
    </xf>
    <xf numFmtId="0" fontId="29" fillId="0" borderId="26" xfId="0" applyFont="1" applyBorder="1" applyAlignment="1" applyProtection="1">
      <alignment horizontal="center"/>
    </xf>
    <xf numFmtId="0" fontId="29" fillId="0" borderId="26" xfId="0" applyFont="1" applyBorder="1" applyAlignment="1" applyProtection="1">
      <alignment horizontal="left"/>
    </xf>
    <xf numFmtId="3" fontId="21" fillId="5" borderId="12" xfId="0" applyNumberFormat="1" applyFont="1" applyFill="1" applyBorder="1" applyAlignment="1">
      <alignment horizontal="left" indent="2"/>
    </xf>
    <xf numFmtId="3" fontId="21" fillId="4" borderId="12" xfId="0" applyNumberFormat="1" applyFont="1" applyFill="1" applyBorder="1" applyAlignment="1">
      <alignment horizontal="left" indent="3"/>
    </xf>
    <xf numFmtId="3" fontId="21" fillId="0" borderId="0" xfId="0" applyNumberFormat="1" applyFont="1" applyAlignment="1">
      <alignment horizontal="left" indent="1"/>
    </xf>
    <xf numFmtId="3" fontId="17" fillId="0" borderId="37" xfId="0" applyNumberFormat="1" applyFont="1" applyBorder="1" applyAlignment="1">
      <alignment horizontal="centerContinuous"/>
    </xf>
    <xf numFmtId="3" fontId="17" fillId="0" borderId="25" xfId="0" applyNumberFormat="1" applyFont="1" applyBorder="1" applyAlignment="1">
      <alignment horizontal="centerContinuous"/>
    </xf>
    <xf numFmtId="190" fontId="20" fillId="0" borderId="37" xfId="0" applyNumberFormat="1" applyFont="1" applyBorder="1" applyAlignment="1">
      <alignment vertical="center"/>
    </xf>
    <xf numFmtId="189" fontId="20" fillId="0" borderId="1" xfId="0" applyNumberFormat="1" applyFont="1" applyBorder="1" applyAlignment="1">
      <alignment vertical="center"/>
    </xf>
    <xf numFmtId="230" fontId="20" fillId="0" borderId="37" xfId="0" applyNumberFormat="1" applyFont="1" applyBorder="1" applyAlignment="1">
      <alignment vertical="center"/>
    </xf>
    <xf numFmtId="237" fontId="20" fillId="0" borderId="1" xfId="0" applyNumberFormat="1" applyFont="1" applyBorder="1" applyAlignment="1">
      <alignment vertical="center"/>
    </xf>
    <xf numFmtId="3" fontId="17" fillId="0" borderId="9" xfId="0" applyNumberFormat="1" applyFont="1" applyBorder="1" applyAlignment="1">
      <alignment horizontal="left" vertical="center" indent="1"/>
    </xf>
    <xf numFmtId="190" fontId="20" fillId="2" borderId="37" xfId="0" applyNumberFormat="1" applyFont="1" applyFill="1" applyBorder="1" applyAlignment="1">
      <alignment vertical="center"/>
    </xf>
    <xf numFmtId="189" fontId="20" fillId="2" borderId="1" xfId="0" applyNumberFormat="1" applyFont="1" applyFill="1" applyBorder="1" applyAlignment="1">
      <alignment vertical="center"/>
    </xf>
    <xf numFmtId="230" fontId="20" fillId="2" borderId="37" xfId="0" applyNumberFormat="1" applyFont="1" applyFill="1" applyBorder="1" applyAlignment="1">
      <alignment vertical="center"/>
    </xf>
    <xf numFmtId="237" fontId="20" fillId="2" borderId="1" xfId="0" applyNumberFormat="1" applyFont="1" applyFill="1" applyBorder="1" applyAlignment="1">
      <alignment vertical="center"/>
    </xf>
    <xf numFmtId="3" fontId="17" fillId="2" borderId="9" xfId="0" applyNumberFormat="1" applyFont="1" applyFill="1" applyBorder="1" applyAlignment="1">
      <alignment horizontal="left" vertical="center" indent="1"/>
    </xf>
    <xf numFmtId="190" fontId="20" fillId="0" borderId="48" xfId="0" applyNumberFormat="1" applyFont="1" applyBorder="1" applyAlignment="1">
      <alignment vertical="center"/>
    </xf>
    <xf numFmtId="189" fontId="20" fillId="0" borderId="85" xfId="0" applyNumberFormat="1" applyFont="1" applyBorder="1" applyAlignment="1">
      <alignment vertical="center"/>
    </xf>
    <xf numFmtId="230" fontId="20" fillId="0" borderId="48" xfId="0" applyNumberFormat="1" applyFont="1" applyBorder="1" applyAlignment="1">
      <alignment vertical="center"/>
    </xf>
    <xf numFmtId="237" fontId="20" fillId="0" borderId="85" xfId="0" applyNumberFormat="1" applyFont="1" applyBorder="1" applyAlignment="1">
      <alignment vertical="center"/>
    </xf>
    <xf numFmtId="190" fontId="20" fillId="0" borderId="20" xfId="0" applyNumberFormat="1" applyFont="1" applyBorder="1" applyAlignment="1">
      <alignment vertical="center"/>
    </xf>
    <xf numFmtId="189" fontId="20" fillId="0" borderId="42" xfId="0" applyNumberFormat="1" applyFont="1" applyBorder="1" applyAlignment="1">
      <alignment vertical="center"/>
    </xf>
    <xf numFmtId="230" fontId="20" fillId="0" borderId="20" xfId="0" applyNumberFormat="1" applyFont="1" applyBorder="1" applyAlignment="1">
      <alignment vertical="center"/>
    </xf>
    <xf numFmtId="237" fontId="20" fillId="0" borderId="42" xfId="0" applyNumberFormat="1" applyFont="1" applyBorder="1" applyAlignment="1">
      <alignment vertical="center"/>
    </xf>
    <xf numFmtId="3" fontId="17" fillId="0" borderId="12" xfId="0" applyNumberFormat="1" applyFont="1" applyBorder="1" applyAlignment="1">
      <alignment horizontal="left" vertical="center" indent="1"/>
    </xf>
    <xf numFmtId="3" fontId="17" fillId="0" borderId="19" xfId="0" applyNumberFormat="1" applyFont="1" applyBorder="1" applyAlignment="1">
      <alignment horizontal="left" vertical="center" indent="1"/>
    </xf>
    <xf numFmtId="3" fontId="17" fillId="0" borderId="18" xfId="0" applyNumberFormat="1" applyFont="1" applyBorder="1" applyAlignment="1">
      <alignment horizontal="left" vertical="center" indent="1"/>
    </xf>
    <xf numFmtId="3" fontId="38" fillId="0" borderId="7" xfId="0" applyNumberFormat="1" applyFont="1" applyBorder="1" applyAlignment="1" applyProtection="1">
      <alignment horizontal="left" vertical="center"/>
    </xf>
    <xf numFmtId="168" fontId="22" fillId="0" borderId="51" xfId="0" applyNumberFormat="1" applyFont="1" applyBorder="1" applyAlignment="1" applyProtection="1">
      <alignment vertical="center"/>
    </xf>
    <xf numFmtId="168" fontId="22" fillId="0" borderId="23" xfId="0" applyNumberFormat="1" applyFont="1" applyBorder="1" applyAlignment="1" applyProtection="1">
      <alignment vertical="center"/>
    </xf>
    <xf numFmtId="217" fontId="22" fillId="0" borderId="24" xfId="6" applyNumberFormat="1" applyFont="1" applyBorder="1" applyAlignment="1" applyProtection="1">
      <alignment vertical="center"/>
    </xf>
    <xf numFmtId="217" fontId="22" fillId="0" borderId="2" xfId="6" applyNumberFormat="1" applyFont="1" applyBorder="1" applyAlignment="1" applyProtection="1">
      <alignment vertical="center"/>
    </xf>
    <xf numFmtId="168" fontId="38" fillId="0" borderId="23" xfId="0" applyNumberFormat="1" applyFont="1" applyBorder="1" applyAlignment="1" applyProtection="1">
      <alignment vertical="center"/>
    </xf>
    <xf numFmtId="217" fontId="22" fillId="0" borderId="13" xfId="0" applyNumberFormat="1" applyFont="1" applyBorder="1" applyAlignment="1" applyProtection="1">
      <alignment vertical="center"/>
    </xf>
    <xf numFmtId="217" fontId="38" fillId="0" borderId="13" xfId="0" applyNumberFormat="1" applyFont="1" applyBorder="1" applyAlignment="1" applyProtection="1">
      <alignment vertical="center"/>
    </xf>
    <xf numFmtId="3" fontId="38" fillId="0" borderId="7" xfId="0" applyNumberFormat="1" applyFont="1" applyBorder="1" applyAlignment="1" applyProtection="1">
      <alignment horizontal="right" vertical="center"/>
    </xf>
    <xf numFmtId="200" fontId="38" fillId="0" borderId="23" xfId="0" applyNumberFormat="1" applyFont="1" applyBorder="1" applyAlignment="1" applyProtection="1">
      <alignment vertical="center"/>
    </xf>
    <xf numFmtId="200" fontId="38" fillId="0" borderId="51" xfId="0" applyNumberFormat="1" applyFont="1" applyBorder="1" applyAlignment="1" applyProtection="1">
      <alignment vertical="center"/>
    </xf>
    <xf numFmtId="3" fontId="38" fillId="0" borderId="7" xfId="0" applyNumberFormat="1" applyFont="1" applyBorder="1" applyAlignment="1" applyProtection="1">
      <alignment vertical="center"/>
    </xf>
    <xf numFmtId="0" fontId="44" fillId="0" borderId="72" xfId="0" applyFont="1" applyBorder="1" applyAlignment="1" applyProtection="1">
      <alignment horizontal="center" vertical="center"/>
    </xf>
    <xf numFmtId="0" fontId="44" fillId="0" borderId="36" xfId="0" applyFont="1" applyBorder="1" applyAlignment="1" applyProtection="1">
      <alignment horizontal="center" vertical="center"/>
    </xf>
    <xf numFmtId="0" fontId="44" fillId="0" borderId="1" xfId="0" applyFont="1" applyBorder="1" applyAlignment="1" applyProtection="1">
      <alignment horizontal="center" vertical="center"/>
    </xf>
    <xf numFmtId="0" fontId="44" fillId="0" borderId="6" xfId="0" applyFont="1" applyBorder="1" applyAlignment="1" applyProtection="1">
      <alignment horizontal="center" vertical="center"/>
    </xf>
    <xf numFmtId="3" fontId="38" fillId="0" borderId="7" xfId="0" applyNumberFormat="1" applyFont="1" applyBorder="1" applyAlignment="1" applyProtection="1">
      <alignment horizontal="left" vertical="center" indent="3"/>
    </xf>
    <xf numFmtId="195" fontId="38" fillId="0" borderId="3" xfId="0" applyNumberFormat="1" applyFont="1" applyBorder="1" applyAlignment="1" applyProtection="1">
      <alignment vertical="center" shrinkToFit="1"/>
      <protection locked="0"/>
    </xf>
    <xf numFmtId="190" fontId="38" fillId="0" borderId="2" xfId="0" applyNumberFormat="1" applyFont="1" applyBorder="1" applyAlignment="1" applyProtection="1">
      <alignment vertical="center" shrinkToFit="1"/>
      <protection locked="0"/>
    </xf>
    <xf numFmtId="195" fontId="38" fillId="0" borderId="2" xfId="0" applyNumberFormat="1" applyFont="1" applyBorder="1" applyAlignment="1" applyProtection="1">
      <alignment vertical="center" shrinkToFit="1"/>
      <protection locked="0"/>
    </xf>
    <xf numFmtId="258" fontId="21" fillId="0" borderId="0" xfId="6" applyNumberFormat="1" applyFont="1" applyAlignment="1">
      <alignment horizontal="center"/>
    </xf>
    <xf numFmtId="259" fontId="21" fillId="0" borderId="0" xfId="0" applyNumberFormat="1" applyFont="1" applyAlignment="1">
      <alignment vertical="center"/>
    </xf>
    <xf numFmtId="258" fontId="21" fillId="0" borderId="2" xfId="0" applyNumberFormat="1" applyFont="1" applyBorder="1" applyAlignment="1">
      <alignment horizontal="center" vertical="center"/>
    </xf>
    <xf numFmtId="258" fontId="38" fillId="0" borderId="56" xfId="6" applyNumberFormat="1" applyFont="1" applyBorder="1" applyAlignment="1">
      <alignment horizontal="center"/>
    </xf>
    <xf numFmtId="258" fontId="38" fillId="0" borderId="28" xfId="6" applyNumberFormat="1" applyFont="1" applyBorder="1" applyAlignment="1">
      <alignment horizontal="center"/>
    </xf>
    <xf numFmtId="258" fontId="38" fillId="0" borderId="26" xfId="6" applyNumberFormat="1" applyFont="1" applyBorder="1" applyAlignment="1">
      <alignment horizontal="center"/>
    </xf>
    <xf numFmtId="258" fontId="38" fillId="0" borderId="28" xfId="6" applyNumberFormat="1" applyFont="1" applyFill="1" applyBorder="1" applyAlignment="1">
      <alignment horizontal="center"/>
    </xf>
    <xf numFmtId="258" fontId="38" fillId="0" borderId="40" xfId="6" applyNumberFormat="1" applyFont="1" applyFill="1" applyBorder="1" applyAlignment="1">
      <alignment horizontal="center"/>
    </xf>
    <xf numFmtId="258" fontId="38" fillId="0" borderId="69" xfId="6" applyNumberFormat="1" applyFont="1" applyBorder="1" applyAlignment="1">
      <alignment horizontal="center"/>
    </xf>
    <xf numFmtId="258" fontId="38" fillId="0" borderId="46" xfId="6" applyNumberFormat="1" applyFont="1" applyBorder="1" applyAlignment="1">
      <alignment horizontal="center"/>
    </xf>
    <xf numFmtId="258" fontId="38" fillId="0" borderId="67" xfId="6" applyNumberFormat="1" applyFont="1" applyBorder="1" applyAlignment="1">
      <alignment horizontal="center"/>
    </xf>
    <xf numFmtId="258" fontId="38" fillId="0" borderId="46" xfId="6" applyNumberFormat="1" applyFont="1" applyFill="1" applyBorder="1" applyAlignment="1">
      <alignment horizontal="center"/>
    </xf>
    <xf numFmtId="258" fontId="38" fillId="0" borderId="70" xfId="6" applyNumberFormat="1" applyFont="1" applyFill="1" applyBorder="1" applyAlignment="1">
      <alignment horizontal="center"/>
    </xf>
    <xf numFmtId="258" fontId="38" fillId="0" borderId="10" xfId="6" applyNumberFormat="1" applyFont="1" applyBorder="1" applyAlignment="1">
      <alignment horizontal="center"/>
    </xf>
    <xf numFmtId="3" fontId="21" fillId="0" borderId="7" xfId="0" applyNumberFormat="1" applyFont="1" applyBorder="1" applyAlignment="1" applyProtection="1">
      <alignment horizontal="left" vertical="center" indent="2"/>
    </xf>
    <xf numFmtId="3" fontId="21" fillId="0" borderId="69" xfId="0" applyNumberFormat="1" applyFont="1" applyBorder="1" applyProtection="1"/>
    <xf numFmtId="164" fontId="21" fillId="2" borderId="12" xfId="4" applyFont="1" applyFill="1" applyBorder="1" applyAlignment="1" applyProtection="1">
      <alignment vertical="center"/>
      <protection locked="0"/>
    </xf>
    <xf numFmtId="164" fontId="21" fillId="2" borderId="13" xfId="4" applyFont="1" applyFill="1" applyBorder="1" applyAlignment="1" applyProtection="1">
      <alignment vertical="center"/>
      <protection locked="0"/>
    </xf>
    <xf numFmtId="164" fontId="21" fillId="2" borderId="43" xfId="4" applyFont="1" applyFill="1" applyBorder="1" applyAlignment="1" applyProtection="1">
      <alignment vertical="center"/>
      <protection locked="0"/>
    </xf>
    <xf numFmtId="3" fontId="21" fillId="0" borderId="18" xfId="0" applyNumberFormat="1" applyFont="1" applyBorder="1" applyAlignment="1" applyProtection="1">
      <alignment horizontal="left" vertical="center" indent="1"/>
    </xf>
    <xf numFmtId="236" fontId="21" fillId="0" borderId="18" xfId="4" applyNumberFormat="1" applyFont="1" applyFill="1" applyBorder="1" applyAlignment="1" applyProtection="1">
      <alignment vertical="center"/>
      <protection locked="0"/>
    </xf>
    <xf numFmtId="3" fontId="21" fillId="0" borderId="19" xfId="0" applyNumberFormat="1" applyFont="1" applyBorder="1" applyAlignment="1" applyProtection="1">
      <alignment horizontal="left" vertical="center" indent="1"/>
    </xf>
    <xf numFmtId="3" fontId="21" fillId="0" borderId="19" xfId="0" applyNumberFormat="1" applyFont="1" applyBorder="1" applyAlignment="1" applyProtection="1">
      <alignment horizontal="center"/>
      <protection locked="0"/>
    </xf>
    <xf numFmtId="3" fontId="21" fillId="0" borderId="12" xfId="0" applyNumberFormat="1" applyFont="1" applyBorder="1" applyAlignment="1" applyProtection="1">
      <alignment horizontal="left" vertical="center" indent="2"/>
    </xf>
    <xf numFmtId="3" fontId="17" fillId="0" borderId="9" xfId="0" applyNumberFormat="1" applyFont="1" applyBorder="1" applyAlignment="1" applyProtection="1">
      <alignment horizontal="centerContinuous" vertical="center" wrapText="1"/>
    </xf>
    <xf numFmtId="4" fontId="23" fillId="2" borderId="38" xfId="6" applyNumberFormat="1" applyFont="1" applyFill="1" applyBorder="1" applyAlignment="1" applyProtection="1">
      <alignment horizontal="center"/>
    </xf>
    <xf numFmtId="0" fontId="17" fillId="0" borderId="26" xfId="0" applyFont="1" applyBorder="1" applyAlignment="1">
      <alignment vertical="center"/>
    </xf>
    <xf numFmtId="0" fontId="17" fillId="0" borderId="40" xfId="0" applyFont="1" applyBorder="1" applyAlignment="1">
      <alignment vertical="center"/>
    </xf>
    <xf numFmtId="0" fontId="17" fillId="0" borderId="13" xfId="0" applyFont="1" applyBorder="1" applyAlignment="1">
      <alignment vertical="center"/>
    </xf>
    <xf numFmtId="0" fontId="17" fillId="0" borderId="43" xfId="0" applyFont="1" applyBorder="1" applyAlignment="1">
      <alignment vertical="center"/>
    </xf>
    <xf numFmtId="0" fontId="17" fillId="0" borderId="64" xfId="0" applyFont="1" applyBorder="1" applyAlignment="1">
      <alignment vertical="center"/>
    </xf>
    <xf numFmtId="0" fontId="17" fillId="0" borderId="90" xfId="0" applyFont="1" applyBorder="1" applyAlignment="1">
      <alignment vertical="center"/>
    </xf>
    <xf numFmtId="0" fontId="31" fillId="0" borderId="0" xfId="0" applyFont="1" applyAlignment="1" applyProtection="1">
      <alignment horizontal="left" vertical="center"/>
    </xf>
    <xf numFmtId="233" fontId="21" fillId="0" borderId="62" xfId="0" applyNumberFormat="1" applyFont="1" applyBorder="1" applyAlignment="1" applyProtection="1">
      <alignment vertical="center"/>
    </xf>
    <xf numFmtId="0" fontId="36" fillId="0" borderId="0" xfId="0" applyFont="1" applyAlignment="1" applyProtection="1">
      <alignment vertical="center"/>
    </xf>
    <xf numFmtId="260" fontId="21" fillId="0" borderId="13" xfId="0" applyNumberFormat="1" applyFont="1" applyBorder="1" applyAlignment="1" applyProtection="1">
      <alignment horizontal="right" vertical="center"/>
    </xf>
    <xf numFmtId="260" fontId="21" fillId="0" borderId="12" xfId="0" applyNumberFormat="1" applyFont="1" applyBorder="1" applyAlignment="1" applyProtection="1">
      <alignment horizontal="right" vertical="center"/>
    </xf>
    <xf numFmtId="260" fontId="17" fillId="0" borderId="62" xfId="0" applyNumberFormat="1" applyFont="1" applyBorder="1" applyAlignment="1" applyProtection="1">
      <alignment horizontal="right" vertical="center"/>
    </xf>
    <xf numFmtId="260" fontId="17" fillId="0" borderId="19" xfId="0" applyNumberFormat="1" applyFont="1" applyBorder="1" applyAlignment="1" applyProtection="1">
      <alignment horizontal="right" vertical="center"/>
    </xf>
    <xf numFmtId="3" fontId="27" fillId="0" borderId="6" xfId="0" applyNumberFormat="1" applyFont="1" applyBorder="1" applyAlignment="1" applyProtection="1">
      <alignment horizontal="centerContinuous" vertical="center"/>
    </xf>
    <xf numFmtId="261" fontId="17" fillId="0" borderId="11" xfId="0" applyNumberFormat="1" applyFont="1" applyBorder="1" applyAlignment="1" applyProtection="1">
      <alignment horizontal="center" vertical="center" shrinkToFit="1"/>
    </xf>
    <xf numFmtId="261" fontId="17" fillId="0" borderId="6" xfId="0" applyNumberFormat="1" applyFont="1" applyBorder="1" applyAlignment="1" applyProtection="1">
      <alignment horizontal="center" vertical="center" shrinkToFit="1"/>
    </xf>
    <xf numFmtId="261" fontId="17" fillId="0" borderId="1" xfId="0" applyNumberFormat="1" applyFont="1" applyBorder="1" applyAlignment="1" applyProtection="1">
      <alignment horizontal="center" vertical="center" shrinkToFit="1"/>
    </xf>
    <xf numFmtId="240" fontId="17" fillId="0" borderId="11" xfId="0" applyNumberFormat="1" applyFont="1" applyBorder="1" applyAlignment="1" applyProtection="1">
      <alignment horizontal="center" vertical="center" shrinkToFit="1"/>
    </xf>
    <xf numFmtId="240" fontId="17" fillId="0" borderId="6" xfId="0" applyNumberFormat="1" applyFont="1" applyBorder="1" applyAlignment="1" applyProtection="1">
      <alignment horizontal="center" vertical="center" shrinkToFit="1"/>
    </xf>
    <xf numFmtId="240" fontId="17" fillId="0" borderId="1" xfId="0" applyNumberFormat="1" applyFont="1" applyBorder="1" applyAlignment="1" applyProtection="1">
      <alignment horizontal="center" vertical="center" shrinkToFit="1"/>
    </xf>
    <xf numFmtId="0" fontId="30" fillId="0" borderId="0" xfId="0" applyFont="1" applyAlignment="1" applyProtection="1">
      <alignment horizontal="right"/>
    </xf>
    <xf numFmtId="3" fontId="23" fillId="0" borderId="69" xfId="0" applyNumberFormat="1" applyFont="1" applyBorder="1" applyAlignment="1" applyProtection="1">
      <alignment horizontal="left" indent="1"/>
    </xf>
    <xf numFmtId="227" fontId="23" fillId="0" borderId="52" xfId="0" applyNumberFormat="1" applyFont="1" applyBorder="1" applyProtection="1">
      <protection locked="0"/>
    </xf>
    <xf numFmtId="227" fontId="23" fillId="0" borderId="46" xfId="0" applyNumberFormat="1" applyFont="1" applyBorder="1" applyProtection="1">
      <protection locked="0"/>
    </xf>
    <xf numFmtId="227" fontId="23" fillId="0" borderId="53" xfId="0" applyNumberFormat="1" applyFont="1" applyBorder="1" applyProtection="1">
      <protection locked="0"/>
    </xf>
    <xf numFmtId="3" fontId="23" fillId="0" borderId="8" xfId="0" applyNumberFormat="1" applyFont="1" applyBorder="1" applyAlignment="1">
      <alignment horizontal="left" indent="1"/>
    </xf>
    <xf numFmtId="3" fontId="23" fillId="0" borderId="19" xfId="0" applyNumberFormat="1" applyFont="1" applyBorder="1" applyAlignment="1">
      <alignment horizontal="left" indent="1"/>
    </xf>
    <xf numFmtId="3" fontId="38" fillId="0" borderId="0" xfId="0" applyNumberFormat="1" applyFont="1" applyAlignment="1" applyProtection="1">
      <alignment vertical="center"/>
    </xf>
    <xf numFmtId="3" fontId="38" fillId="0" borderId="31" xfId="0" applyNumberFormat="1" applyFont="1" applyBorder="1" applyAlignment="1" applyProtection="1">
      <alignment vertical="center"/>
    </xf>
    <xf numFmtId="3" fontId="38" fillId="0" borderId="58" xfId="0" applyNumberFormat="1" applyFont="1" applyBorder="1" applyAlignment="1" applyProtection="1">
      <alignment vertical="center"/>
    </xf>
    <xf numFmtId="3" fontId="38" fillId="0" borderId="59" xfId="0" applyNumberFormat="1" applyFont="1" applyBorder="1" applyAlignment="1" applyProtection="1">
      <alignment vertical="center"/>
    </xf>
    <xf numFmtId="3" fontId="22" fillId="0" borderId="14" xfId="0" applyNumberFormat="1" applyFont="1" applyBorder="1" applyAlignment="1" applyProtection="1">
      <alignment vertical="center"/>
    </xf>
    <xf numFmtId="262" fontId="21" fillId="0" borderId="0" xfId="0" applyNumberFormat="1" applyFont="1" applyAlignment="1">
      <alignment horizontal="center"/>
    </xf>
    <xf numFmtId="263" fontId="38" fillId="0" borderId="35" xfId="6" applyNumberFormat="1" applyFont="1" applyFill="1" applyBorder="1" applyAlignment="1">
      <alignment vertical="center"/>
    </xf>
    <xf numFmtId="0" fontId="45" fillId="0" borderId="0" xfId="0" applyFont="1" applyAlignment="1" applyProtection="1">
      <alignment vertical="center"/>
    </xf>
    <xf numFmtId="181" fontId="38" fillId="0" borderId="15" xfId="6" applyNumberFormat="1" applyFont="1" applyFill="1" applyBorder="1" applyAlignment="1" applyProtection="1">
      <alignment horizontal="center" vertical="center"/>
    </xf>
    <xf numFmtId="181" fontId="38" fillId="2" borderId="15" xfId="6" applyNumberFormat="1" applyFont="1" applyFill="1" applyBorder="1" applyAlignment="1" applyProtection="1">
      <alignment horizontal="center" vertical="center"/>
      <protection locked="0"/>
    </xf>
    <xf numFmtId="9" fontId="22" fillId="0" borderId="15" xfId="6" applyFont="1" applyBorder="1" applyAlignment="1" applyProtection="1">
      <alignment horizontal="center" vertical="center"/>
    </xf>
    <xf numFmtId="181" fontId="38" fillId="0" borderId="17" xfId="6" applyNumberFormat="1" applyFont="1" applyFill="1" applyBorder="1" applyAlignment="1" applyProtection="1">
      <alignment horizontal="center" vertical="center"/>
    </xf>
    <xf numFmtId="181" fontId="38" fillId="2" borderId="17" xfId="6" applyNumberFormat="1" applyFont="1" applyFill="1" applyBorder="1" applyAlignment="1" applyProtection="1">
      <alignment horizontal="center" vertical="center"/>
      <protection locked="0"/>
    </xf>
    <xf numFmtId="9" fontId="22" fillId="0" borderId="17" xfId="6" applyFont="1" applyBorder="1" applyAlignment="1" applyProtection="1">
      <alignment horizontal="center" vertical="center"/>
    </xf>
    <xf numFmtId="0" fontId="17" fillId="0" borderId="56" xfId="0" applyFont="1" applyBorder="1" applyAlignment="1">
      <alignment horizontal="centerContinuous" vertical="center" wrapText="1"/>
    </xf>
    <xf numFmtId="3" fontId="45" fillId="0" borderId="10" xfId="0" applyNumberFormat="1" applyFont="1" applyBorder="1" applyAlignment="1" applyProtection="1">
      <alignment horizontal="left" vertical="center" indent="1"/>
    </xf>
    <xf numFmtId="183" fontId="21" fillId="0" borderId="68" xfId="4" applyNumberFormat="1" applyFont="1" applyFill="1" applyBorder="1"/>
    <xf numFmtId="168" fontId="22" fillId="0" borderId="23" xfId="0" quotePrefix="1" applyNumberFormat="1" applyFont="1" applyBorder="1" applyAlignment="1" applyProtection="1">
      <alignment vertical="center"/>
    </xf>
    <xf numFmtId="230" fontId="43" fillId="4" borderId="12" xfId="0" applyNumberFormat="1" applyFont="1" applyFill="1" applyBorder="1" applyProtection="1"/>
    <xf numFmtId="230" fontId="43" fillId="6" borderId="12" xfId="0" applyNumberFormat="1" applyFont="1" applyFill="1" applyBorder="1" applyProtection="1"/>
    <xf numFmtId="230" fontId="34" fillId="6" borderId="17" xfId="0" applyNumberFormat="1" applyFont="1" applyFill="1" applyBorder="1" applyProtection="1"/>
    <xf numFmtId="230" fontId="43" fillId="7" borderId="12" xfId="0" applyNumberFormat="1" applyFont="1" applyFill="1" applyBorder="1" applyProtection="1"/>
    <xf numFmtId="230" fontId="34" fillId="8" borderId="17" xfId="0" applyNumberFormat="1" applyFont="1" applyFill="1" applyBorder="1" applyProtection="1"/>
    <xf numFmtId="230" fontId="43" fillId="5" borderId="12" xfId="0" applyNumberFormat="1" applyFont="1" applyFill="1" applyBorder="1" applyProtection="1"/>
    <xf numFmtId="230" fontId="43" fillId="9" borderId="12" xfId="0" applyNumberFormat="1" applyFont="1" applyFill="1" applyBorder="1" applyProtection="1"/>
    <xf numFmtId="3" fontId="66" fillId="0" borderId="0" xfId="0" applyNumberFormat="1" applyFont="1" applyProtection="1"/>
    <xf numFmtId="3" fontId="21" fillId="0" borderId="12" xfId="0" applyNumberFormat="1" applyFont="1" applyBorder="1" applyAlignment="1">
      <alignment horizontal="left" indent="1"/>
    </xf>
    <xf numFmtId="0" fontId="21" fillId="0" borderId="8" xfId="0" applyFont="1" applyBorder="1" applyAlignment="1">
      <alignment horizontal="left" vertical="center" indent="4"/>
    </xf>
    <xf numFmtId="0" fontId="21" fillId="0" borderId="69" xfId="0" applyFont="1" applyBorder="1" applyAlignment="1">
      <alignment horizontal="left" vertical="center" indent="4"/>
    </xf>
    <xf numFmtId="207" fontId="38" fillId="0" borderId="38" xfId="0" applyNumberFormat="1" applyFont="1" applyBorder="1" applyAlignment="1">
      <alignment vertical="center"/>
    </xf>
    <xf numFmtId="207" fontId="38" fillId="0" borderId="11" xfId="0" applyNumberFormat="1" applyFont="1" applyBorder="1" applyAlignment="1">
      <alignment vertical="center"/>
    </xf>
    <xf numFmtId="207" fontId="38" fillId="0" borderId="6" xfId="0" applyNumberFormat="1" applyFont="1" applyBorder="1" applyAlignment="1">
      <alignment vertical="center"/>
    </xf>
    <xf numFmtId="207" fontId="38" fillId="0" borderId="15" xfId="0" applyNumberFormat="1" applyFont="1" applyBorder="1" applyAlignment="1">
      <alignment vertical="center"/>
    </xf>
    <xf numFmtId="0" fontId="22" fillId="0" borderId="9" xfId="0" applyFont="1" applyBorder="1" applyAlignment="1">
      <alignment horizontal="left" vertical="center" indent="1"/>
    </xf>
    <xf numFmtId="9" fontId="21" fillId="0" borderId="0" xfId="6" applyFont="1" applyFill="1" applyBorder="1" applyAlignment="1" applyProtection="1">
      <alignment horizontal="center" vertical="center" shrinkToFit="1"/>
    </xf>
    <xf numFmtId="0" fontId="30" fillId="0" borderId="0" xfId="0" applyFont="1" applyAlignment="1" applyProtection="1">
      <alignment horizontal="center" vertical="center"/>
    </xf>
    <xf numFmtId="0" fontId="50" fillId="0" borderId="0" xfId="0" applyFont="1"/>
    <xf numFmtId="213" fontId="56" fillId="0" borderId="0" xfId="0" applyNumberFormat="1" applyFont="1" applyProtection="1"/>
    <xf numFmtId="200" fontId="23" fillId="0" borderId="0" xfId="0" applyNumberFormat="1" applyFont="1" applyProtection="1">
      <protection locked="0"/>
    </xf>
    <xf numFmtId="0" fontId="23" fillId="0" borderId="64" xfId="0" applyFont="1" applyBorder="1" applyAlignment="1" applyProtection="1">
      <alignment horizontal="left" indent="4"/>
    </xf>
    <xf numFmtId="200" fontId="23" fillId="0" borderId="64" xfId="0" applyNumberFormat="1" applyFont="1" applyBorder="1" applyProtection="1"/>
    <xf numFmtId="0" fontId="37" fillId="4" borderId="7" xfId="2" applyFont="1" applyFill="1" applyBorder="1" applyAlignment="1" applyProtection="1">
      <alignment horizontal="left" vertical="center" indent="2"/>
    </xf>
    <xf numFmtId="3" fontId="36" fillId="0" borderId="0" xfId="0" applyNumberFormat="1" applyFont="1" applyAlignment="1" applyProtection="1">
      <alignment horizontal="center"/>
    </xf>
    <xf numFmtId="200" fontId="23" fillId="0" borderId="12" xfId="0" applyNumberFormat="1" applyFont="1" applyBorder="1"/>
    <xf numFmtId="200" fontId="23" fillId="0" borderId="13" xfId="0" applyNumberFormat="1" applyFont="1" applyBorder="1"/>
    <xf numFmtId="200" fontId="20" fillId="0" borderId="6" xfId="0" applyNumberFormat="1" applyFont="1" applyBorder="1"/>
    <xf numFmtId="1" fontId="20" fillId="0" borderId="1" xfId="0" applyNumberFormat="1" applyFont="1" applyBorder="1" applyAlignment="1">
      <alignment horizontal="center"/>
    </xf>
    <xf numFmtId="200" fontId="23" fillId="0" borderId="38" xfId="0" applyNumberFormat="1" applyFont="1" applyBorder="1"/>
    <xf numFmtId="200" fontId="23" fillId="0" borderId="67" xfId="0" applyNumberFormat="1" applyFont="1" applyBorder="1"/>
    <xf numFmtId="200" fontId="23" fillId="0" borderId="6" xfId="0" applyNumberFormat="1" applyFont="1" applyBorder="1"/>
    <xf numFmtId="4" fontId="23" fillId="0" borderId="0" xfId="0" applyNumberFormat="1" applyFont="1" applyProtection="1"/>
    <xf numFmtId="3" fontId="20" fillId="0" borderId="0" xfId="0" applyNumberFormat="1" applyFont="1" applyAlignment="1" applyProtection="1">
      <alignment horizontal="right"/>
    </xf>
    <xf numFmtId="0" fontId="20" fillId="0" borderId="18" xfId="0" applyFont="1" applyBorder="1" applyAlignment="1" applyProtection="1">
      <alignment horizontal="center" shrinkToFit="1"/>
    </xf>
    <xf numFmtId="0" fontId="17" fillId="9" borderId="13" xfId="0" applyFont="1" applyFill="1" applyBorder="1" applyAlignment="1">
      <alignment vertical="center"/>
    </xf>
    <xf numFmtId="0" fontId="17" fillId="9" borderId="43" xfId="0" applyFont="1" applyFill="1" applyBorder="1" applyAlignment="1">
      <alignment vertical="center"/>
    </xf>
    <xf numFmtId="0" fontId="36" fillId="0" borderId="0" xfId="0" applyFont="1" applyProtection="1"/>
    <xf numFmtId="10" fontId="36" fillId="0" borderId="0" xfId="0" applyNumberFormat="1" applyFont="1" applyAlignment="1" applyProtection="1">
      <alignment horizontal="center" vertical="center"/>
    </xf>
    <xf numFmtId="267" fontId="17" fillId="0" borderId="34" xfId="0" applyNumberFormat="1" applyFont="1" applyBorder="1" applyAlignment="1" applyProtection="1">
      <alignment vertical="center"/>
    </xf>
    <xf numFmtId="257" fontId="21" fillId="0" borderId="2" xfId="0" applyNumberFormat="1" applyFont="1" applyBorder="1"/>
    <xf numFmtId="257" fontId="21" fillId="0" borderId="24" xfId="0" applyNumberFormat="1" applyFont="1" applyBorder="1"/>
    <xf numFmtId="3" fontId="14" fillId="0" borderId="56" xfId="0" applyNumberFormat="1" applyFont="1" applyBorder="1" applyAlignment="1" applyProtection="1">
      <alignment horizontal="centerContinuous" vertical="center"/>
    </xf>
    <xf numFmtId="3" fontId="21" fillId="0" borderId="49" xfId="0" applyNumberFormat="1" applyFont="1" applyBorder="1" applyAlignment="1" applyProtection="1">
      <alignment horizontal="left" vertical="center" indent="4"/>
    </xf>
    <xf numFmtId="3" fontId="21" fillId="0" borderId="7" xfId="0" applyNumberFormat="1" applyFont="1" applyBorder="1" applyAlignment="1" applyProtection="1">
      <alignment horizontal="left" vertical="center" indent="4"/>
    </xf>
    <xf numFmtId="3" fontId="21" fillId="0" borderId="16" xfId="0" applyNumberFormat="1" applyFont="1" applyBorder="1" applyAlignment="1" applyProtection="1">
      <alignment horizontal="left" vertical="center" indent="4"/>
    </xf>
    <xf numFmtId="3" fontId="21" fillId="0" borderId="42" xfId="0" applyNumberFormat="1" applyFont="1" applyBorder="1" applyAlignment="1" applyProtection="1">
      <alignment horizontal="left" vertical="center" indent="4"/>
    </xf>
    <xf numFmtId="3" fontId="21" fillId="0" borderId="43" xfId="0" applyNumberFormat="1" applyFont="1" applyBorder="1" applyAlignment="1" applyProtection="1">
      <alignment horizontal="left" vertical="center" indent="4"/>
    </xf>
    <xf numFmtId="3" fontId="21" fillId="0" borderId="44" xfId="0" applyNumberFormat="1" applyFont="1" applyBorder="1" applyAlignment="1" applyProtection="1">
      <alignment horizontal="left" vertical="center" indent="4"/>
    </xf>
    <xf numFmtId="3" fontId="23" fillId="0" borderId="8" xfId="0" applyNumberFormat="1" applyFont="1" applyBorder="1" applyAlignment="1" applyProtection="1">
      <alignment horizontal="left" indent="1"/>
    </xf>
    <xf numFmtId="166" fontId="23" fillId="2" borderId="15" xfId="6" applyNumberFormat="1" applyFont="1" applyFill="1" applyBorder="1" applyAlignment="1" applyProtection="1">
      <alignment horizontal="center"/>
      <protection locked="0"/>
    </xf>
    <xf numFmtId="227" fontId="23" fillId="0" borderId="54" xfId="0" applyNumberFormat="1" applyFont="1" applyBorder="1" applyProtection="1">
      <protection locked="0"/>
    </xf>
    <xf numFmtId="227" fontId="23" fillId="0" borderId="3" xfId="0" applyNumberFormat="1" applyFont="1" applyBorder="1" applyProtection="1">
      <protection locked="0"/>
    </xf>
    <xf numFmtId="227" fontId="23" fillId="0" borderId="55" xfId="0" applyNumberFormat="1" applyFont="1" applyBorder="1" applyProtection="1">
      <protection locked="0"/>
    </xf>
    <xf numFmtId="206" fontId="23" fillId="0" borderId="15" xfId="0" applyNumberFormat="1" applyFont="1" applyBorder="1"/>
    <xf numFmtId="206" fontId="39" fillId="2" borderId="30" xfId="0" applyNumberFormat="1" applyFont="1" applyFill="1" applyBorder="1" applyProtection="1">
      <protection locked="0"/>
    </xf>
    <xf numFmtId="206" fontId="39" fillId="0" borderId="27" xfId="0" applyNumberFormat="1" applyFont="1" applyBorder="1" applyProtection="1">
      <protection locked="0"/>
    </xf>
    <xf numFmtId="206" fontId="39" fillId="0" borderId="28" xfId="0" applyNumberFormat="1" applyFont="1" applyBorder="1" applyProtection="1">
      <protection locked="0"/>
    </xf>
    <xf numFmtId="206" fontId="39" fillId="0" borderId="29" xfId="0" applyNumberFormat="1" applyFont="1" applyBorder="1" applyProtection="1">
      <protection locked="0"/>
    </xf>
    <xf numFmtId="206" fontId="39" fillId="2" borderId="17" xfId="0" applyNumberFormat="1" applyFont="1" applyFill="1" applyBorder="1" applyProtection="1">
      <protection locked="0"/>
    </xf>
    <xf numFmtId="206" fontId="39" fillId="0" borderId="86" xfId="0" applyNumberFormat="1" applyFont="1" applyBorder="1" applyProtection="1">
      <protection locked="0"/>
    </xf>
    <xf numFmtId="206" fontId="39" fillId="0" borderId="84" xfId="0" applyNumberFormat="1" applyFont="1" applyBorder="1" applyProtection="1">
      <protection locked="0"/>
    </xf>
    <xf numFmtId="206" fontId="39" fillId="0" borderId="87" xfId="0" applyNumberFormat="1" applyFont="1" applyBorder="1" applyProtection="1">
      <protection locked="0"/>
    </xf>
    <xf numFmtId="3" fontId="23" fillId="0" borderId="11" xfId="0" applyNumberFormat="1" applyFont="1" applyBorder="1" applyProtection="1">
      <protection locked="0"/>
    </xf>
    <xf numFmtId="206" fontId="23" fillId="0" borderId="51" xfId="0" applyNumberFormat="1" applyFont="1" applyBorder="1" applyProtection="1">
      <protection locked="0"/>
    </xf>
    <xf numFmtId="206" fontId="23" fillId="0" borderId="2" xfId="0" applyNumberFormat="1" applyFont="1" applyBorder="1" applyProtection="1">
      <protection locked="0"/>
    </xf>
    <xf numFmtId="206" fontId="23" fillId="0" borderId="50" xfId="0" applyNumberFormat="1" applyFont="1" applyBorder="1" applyProtection="1">
      <protection locked="0"/>
    </xf>
    <xf numFmtId="206" fontId="23" fillId="2" borderId="12" xfId="6" applyNumberFormat="1" applyFont="1" applyFill="1" applyBorder="1" applyAlignment="1" applyProtection="1">
      <protection locked="0"/>
    </xf>
    <xf numFmtId="206" fontId="39" fillId="0" borderId="30" xfId="0" applyNumberFormat="1" applyFont="1" applyBorder="1" applyProtection="1">
      <protection locked="0"/>
    </xf>
    <xf numFmtId="206" fontId="39" fillId="0" borderId="17" xfId="0" applyNumberFormat="1" applyFont="1" applyBorder="1" applyProtection="1">
      <protection locked="0"/>
    </xf>
    <xf numFmtId="206" fontId="39" fillId="0" borderId="18" xfId="0" applyNumberFormat="1" applyFont="1" applyBorder="1" applyProtection="1">
      <protection locked="0"/>
    </xf>
    <xf numFmtId="3" fontId="20" fillId="0" borderId="30" xfId="0" applyNumberFormat="1" applyFont="1" applyBorder="1" applyAlignment="1" applyProtection="1">
      <alignment horizontal="center"/>
      <protection locked="0"/>
    </xf>
    <xf numFmtId="250" fontId="21" fillId="0" borderId="85" xfId="0" applyNumberFormat="1" applyFont="1" applyBorder="1"/>
    <xf numFmtId="0" fontId="20" fillId="0" borderId="61" xfId="0" applyFont="1" applyBorder="1" applyAlignment="1">
      <alignment horizontal="right" vertical="center" indent="1"/>
    </xf>
    <xf numFmtId="0" fontId="45" fillId="0" borderId="0" xfId="0" applyFont="1" applyAlignment="1">
      <alignment horizontal="left" indent="1"/>
    </xf>
    <xf numFmtId="0" fontId="20" fillId="0" borderId="9" xfId="0" applyFont="1" applyBorder="1" applyAlignment="1">
      <alignment horizontal="centerContinuous" vertical="center"/>
    </xf>
    <xf numFmtId="0" fontId="45" fillId="0" borderId="0" xfId="0" applyFont="1" applyAlignment="1">
      <alignment horizontal="left" indent="4"/>
    </xf>
    <xf numFmtId="0" fontId="50" fillId="0" borderId="0" xfId="0" applyFont="1" applyProtection="1"/>
    <xf numFmtId="168" fontId="17" fillId="7" borderId="4" xfId="0" applyNumberFormat="1" applyFont="1" applyFill="1" applyBorder="1"/>
    <xf numFmtId="1" fontId="23" fillId="0" borderId="0" xfId="5" applyNumberFormat="1" applyFont="1"/>
    <xf numFmtId="0" fontId="4" fillId="0" borderId="0" xfId="5"/>
    <xf numFmtId="1" fontId="68" fillId="0" borderId="0" xfId="5" applyNumberFormat="1" applyFont="1"/>
    <xf numFmtId="1" fontId="44" fillId="0" borderId="0" xfId="5" applyNumberFormat="1" applyFont="1" applyAlignment="1">
      <alignment horizontal="center"/>
    </xf>
    <xf numFmtId="1" fontId="69" fillId="0" borderId="0" xfId="5" applyNumberFormat="1" applyFont="1"/>
    <xf numFmtId="1" fontId="4" fillId="0" borderId="0" xfId="5" applyNumberFormat="1"/>
    <xf numFmtId="1" fontId="70" fillId="0" borderId="0" xfId="5" applyNumberFormat="1" applyFont="1"/>
    <xf numFmtId="3" fontId="35" fillId="0" borderId="0" xfId="0" applyNumberFormat="1" applyFont="1" applyAlignment="1">
      <alignment horizontal="left" indent="2"/>
    </xf>
    <xf numFmtId="3" fontId="22" fillId="0" borderId="9" xfId="0" applyNumberFormat="1" applyFont="1" applyBorder="1" applyAlignment="1">
      <alignment horizontal="left" vertical="center" indent="1"/>
    </xf>
    <xf numFmtId="1" fontId="23" fillId="0" borderId="0" xfId="5" applyNumberFormat="1" applyFont="1" applyAlignment="1">
      <alignment horizontal="left" vertical="center" indent="2"/>
    </xf>
    <xf numFmtId="268" fontId="23" fillId="0" borderId="0" xfId="6" applyNumberFormat="1" applyFont="1" applyAlignment="1">
      <alignment vertical="center"/>
    </xf>
    <xf numFmtId="1" fontId="61" fillId="0" borderId="0" xfId="5" applyNumberFormat="1" applyFont="1" applyAlignment="1">
      <alignment vertical="center"/>
    </xf>
    <xf numFmtId="1" fontId="61" fillId="0" borderId="10" xfId="5" applyNumberFormat="1" applyFont="1" applyBorder="1"/>
    <xf numFmtId="1" fontId="23" fillId="0" borderId="10" xfId="5" applyNumberFormat="1" applyFont="1" applyBorder="1" applyAlignment="1">
      <alignment horizontal="left" vertical="center" indent="2"/>
    </xf>
    <xf numFmtId="269" fontId="23" fillId="0" borderId="0" xfId="3" applyNumberFormat="1" applyFont="1" applyBorder="1" applyAlignment="1">
      <alignment vertical="center"/>
    </xf>
    <xf numFmtId="230" fontId="23" fillId="0" borderId="13" xfId="0" applyNumberFormat="1" applyFont="1" applyBorder="1" applyAlignment="1">
      <alignment vertical="center"/>
    </xf>
    <xf numFmtId="230" fontId="23" fillId="0" borderId="12" xfId="0" applyNumberFormat="1" applyFont="1" applyBorder="1" applyAlignment="1">
      <alignment vertical="center"/>
    </xf>
    <xf numFmtId="269" fontId="23" fillId="0" borderId="14" xfId="3" applyNumberFormat="1" applyFont="1" applyBorder="1" applyAlignment="1">
      <alignment vertical="center"/>
    </xf>
    <xf numFmtId="1" fontId="20" fillId="0" borderId="7" xfId="5" applyNumberFormat="1" applyFont="1" applyBorder="1" applyAlignment="1">
      <alignment horizontal="left" vertical="center" indent="2"/>
    </xf>
    <xf numFmtId="1" fontId="23" fillId="0" borderId="7" xfId="5" applyNumberFormat="1" applyFont="1" applyBorder="1" applyAlignment="1">
      <alignment horizontal="left" vertical="center" indent="2"/>
    </xf>
    <xf numFmtId="1" fontId="20" fillId="0" borderId="30" xfId="5" applyNumberFormat="1" applyFont="1" applyBorder="1" applyAlignment="1">
      <alignment horizontal="center" vertical="center" wrapText="1"/>
    </xf>
    <xf numFmtId="1" fontId="20" fillId="0" borderId="26" xfId="5" applyNumberFormat="1" applyFont="1" applyBorder="1" applyAlignment="1">
      <alignment horizontal="center" vertical="center" wrapText="1"/>
    </xf>
    <xf numFmtId="1" fontId="20" fillId="0" borderId="15" xfId="5" applyNumberFormat="1" applyFont="1" applyBorder="1" applyAlignment="1">
      <alignment horizontal="center" vertical="center"/>
    </xf>
    <xf numFmtId="1" fontId="20" fillId="0" borderId="77" xfId="5" applyNumberFormat="1" applyFont="1" applyBorder="1" applyAlignment="1">
      <alignment horizontal="center" vertical="center"/>
    </xf>
    <xf numFmtId="2" fontId="20" fillId="0" borderId="0" xfId="5" applyNumberFormat="1" applyFont="1" applyAlignment="1">
      <alignment horizontal="center" vertical="center"/>
    </xf>
    <xf numFmtId="2" fontId="44" fillId="0" borderId="0" xfId="5" applyNumberFormat="1" applyFont="1" applyAlignment="1">
      <alignment horizontal="center" vertical="center"/>
    </xf>
    <xf numFmtId="1" fontId="17" fillId="0" borderId="0" xfId="5" applyNumberFormat="1" applyFont="1" applyAlignment="1">
      <alignment horizontal="left" vertical="center" indent="7"/>
    </xf>
    <xf numFmtId="3" fontId="38" fillId="0" borderId="19" xfId="0" applyNumberFormat="1" applyFont="1" applyBorder="1" applyAlignment="1">
      <alignment horizontal="center" vertical="center"/>
    </xf>
    <xf numFmtId="245" fontId="38" fillId="0" borderId="16" xfId="0" applyNumberFormat="1" applyFont="1" applyBorder="1" applyAlignment="1">
      <alignment horizontal="right" vertical="center"/>
    </xf>
    <xf numFmtId="245" fontId="38" fillId="0" borderId="35" xfId="0" applyNumberFormat="1" applyFont="1" applyBorder="1" applyAlignment="1">
      <alignment horizontal="right" vertical="center"/>
    </xf>
    <xf numFmtId="245" fontId="38" fillId="0" borderId="62" xfId="0" applyNumberFormat="1" applyFont="1" applyBorder="1" applyAlignment="1">
      <alignment horizontal="right" vertical="center"/>
    </xf>
    <xf numFmtId="245" fontId="38" fillId="0" borderId="44" xfId="0" applyNumberFormat="1" applyFont="1" applyBorder="1" applyAlignment="1">
      <alignment horizontal="right" vertical="center"/>
    </xf>
    <xf numFmtId="0" fontId="4" fillId="0" borderId="2" xfId="5" applyBorder="1"/>
    <xf numFmtId="270" fontId="61" fillId="2" borderId="2" xfId="6" applyNumberFormat="1" applyFont="1" applyFill="1" applyBorder="1" applyAlignment="1" applyProtection="1">
      <alignment vertical="center"/>
      <protection locked="0"/>
    </xf>
    <xf numFmtId="1" fontId="20" fillId="0" borderId="37" xfId="5" applyNumberFormat="1" applyFont="1" applyBorder="1" applyAlignment="1">
      <alignment horizontal="left" vertical="center" indent="2"/>
    </xf>
    <xf numFmtId="270" fontId="44" fillId="2" borderId="36" xfId="6" applyNumberFormat="1" applyFont="1" applyFill="1" applyBorder="1" applyAlignment="1" applyProtection="1">
      <alignment vertical="center"/>
      <protection locked="0"/>
    </xf>
    <xf numFmtId="1" fontId="67" fillId="0" borderId="25" xfId="5" applyNumberFormat="1" applyFont="1" applyBorder="1" applyAlignment="1">
      <alignment horizontal="center" vertical="center"/>
    </xf>
    <xf numFmtId="1" fontId="20" fillId="0" borderId="20" xfId="5" applyNumberFormat="1" applyFont="1" applyBorder="1" applyAlignment="1">
      <alignment horizontal="left" vertical="center" indent="2"/>
    </xf>
    <xf numFmtId="0" fontId="4" fillId="0" borderId="21" xfId="5" applyBorder="1"/>
    <xf numFmtId="268" fontId="71" fillId="0" borderId="22" xfId="6" applyNumberFormat="1" applyFont="1" applyBorder="1" applyAlignment="1">
      <alignment vertical="center"/>
    </xf>
    <xf numFmtId="1" fontId="23" fillId="0" borderId="23" xfId="5" applyNumberFormat="1" applyFont="1" applyBorder="1" applyAlignment="1">
      <alignment horizontal="left" vertical="center" indent="5"/>
    </xf>
    <xf numFmtId="1" fontId="67" fillId="0" borderId="24" xfId="5" applyNumberFormat="1" applyFont="1" applyBorder="1" applyAlignment="1">
      <alignment horizontal="center" vertical="center"/>
    </xf>
    <xf numFmtId="1" fontId="23" fillId="0" borderId="34" xfId="5" applyNumberFormat="1" applyFont="1" applyBorder="1" applyAlignment="1">
      <alignment horizontal="left" vertical="center" indent="5"/>
    </xf>
    <xf numFmtId="270" fontId="61" fillId="2" borderId="35" xfId="6" applyNumberFormat="1" applyFont="1" applyFill="1" applyBorder="1" applyAlignment="1" applyProtection="1">
      <alignment vertical="center"/>
      <protection locked="0"/>
    </xf>
    <xf numFmtId="1" fontId="67" fillId="0" borderId="4" xfId="5" applyNumberFormat="1" applyFont="1" applyBorder="1" applyAlignment="1">
      <alignment horizontal="center" vertical="center"/>
    </xf>
    <xf numFmtId="1" fontId="20" fillId="0" borderId="86" xfId="5" applyNumberFormat="1" applyFont="1" applyBorder="1" applyAlignment="1">
      <alignment horizontal="right" vertical="center" indent="2"/>
    </xf>
    <xf numFmtId="270" fontId="44" fillId="0" borderId="84" xfId="6" applyNumberFormat="1" applyFont="1" applyFill="1" applyBorder="1" applyAlignment="1" applyProtection="1">
      <alignment vertical="center"/>
    </xf>
    <xf numFmtId="268" fontId="71" fillId="0" borderId="87" xfId="6" applyNumberFormat="1" applyFont="1" applyBorder="1" applyAlignment="1">
      <alignment vertical="center"/>
    </xf>
    <xf numFmtId="1" fontId="20" fillId="0" borderId="9" xfId="5" applyNumberFormat="1" applyFont="1" applyBorder="1" applyAlignment="1">
      <alignment horizontal="left" vertical="center" indent="2"/>
    </xf>
    <xf numFmtId="0" fontId="4" fillId="0" borderId="1" xfId="5" applyBorder="1" applyAlignment="1">
      <alignment vertical="center"/>
    </xf>
    <xf numFmtId="270" fontId="20" fillId="0" borderId="11" xfId="6" applyNumberFormat="1" applyFont="1" applyFill="1" applyBorder="1" applyAlignment="1" applyProtection="1">
      <alignment vertical="center"/>
    </xf>
    <xf numFmtId="10" fontId="20" fillId="0" borderId="11" xfId="6" applyNumberFormat="1" applyFont="1" applyFill="1" applyBorder="1" applyAlignment="1">
      <alignment horizontal="center" vertical="center"/>
    </xf>
    <xf numFmtId="270" fontId="61" fillId="0" borderId="4" xfId="6" applyNumberFormat="1" applyFont="1" applyFill="1" applyBorder="1" applyAlignment="1" applyProtection="1">
      <alignment vertical="center"/>
    </xf>
    <xf numFmtId="1" fontId="39" fillId="0" borderId="22" xfId="5" applyNumberFormat="1" applyFont="1" applyBorder="1" applyAlignment="1">
      <alignment horizontal="center" vertical="center"/>
    </xf>
    <xf numFmtId="268" fontId="23" fillId="0" borderId="1" xfId="6" applyNumberFormat="1" applyFont="1" applyBorder="1" applyAlignment="1">
      <alignment vertical="center"/>
    </xf>
    <xf numFmtId="0" fontId="4" fillId="0" borderId="26" xfId="5" applyBorder="1"/>
    <xf numFmtId="0" fontId="4" fillId="0" borderId="64" xfId="5" applyBorder="1"/>
    <xf numFmtId="270" fontId="61" fillId="0" borderId="0" xfId="6" applyNumberFormat="1" applyFont="1" applyFill="1" applyBorder="1" applyAlignment="1">
      <alignment vertical="center"/>
    </xf>
    <xf numFmtId="268" fontId="71" fillId="0" borderId="68" xfId="6" applyNumberFormat="1" applyFont="1" applyBorder="1" applyAlignment="1">
      <alignment vertical="center"/>
    </xf>
    <xf numFmtId="1" fontId="17" fillId="0" borderId="56" xfId="5" applyNumberFormat="1" applyFont="1" applyBorder="1" applyAlignment="1">
      <alignment horizontal="centerContinuous" vertical="center"/>
    </xf>
    <xf numFmtId="1" fontId="23" fillId="0" borderId="26" xfId="5" applyNumberFormat="1" applyFont="1" applyBorder="1" applyAlignment="1">
      <alignment horizontal="centerContinuous"/>
    </xf>
    <xf numFmtId="1" fontId="23" fillId="0" borderId="40" xfId="5" applyNumberFormat="1" applyFont="1" applyBorder="1" applyAlignment="1">
      <alignment horizontal="centerContinuous"/>
    </xf>
    <xf numFmtId="1" fontId="23" fillId="0" borderId="9" xfId="5" applyNumberFormat="1" applyFont="1" applyBorder="1" applyAlignment="1">
      <alignment horizontal="left" vertical="center" indent="2"/>
    </xf>
    <xf numFmtId="230" fontId="20" fillId="0" borderId="6" xfId="0" applyNumberFormat="1" applyFont="1" applyBorder="1" applyAlignment="1">
      <alignment vertical="center"/>
    </xf>
    <xf numFmtId="1" fontId="23" fillId="0" borderId="6" xfId="5" applyNumberFormat="1" applyFont="1" applyBorder="1"/>
    <xf numFmtId="1" fontId="20" fillId="0" borderId="40" xfId="5" applyNumberFormat="1" applyFont="1" applyBorder="1" applyAlignment="1">
      <alignment horizontal="center" vertical="center" wrapText="1"/>
    </xf>
    <xf numFmtId="1" fontId="20" fillId="0" borderId="85" xfId="5" applyNumberFormat="1" applyFont="1" applyBorder="1" applyAlignment="1">
      <alignment horizontal="center" vertical="center"/>
    </xf>
    <xf numFmtId="230" fontId="23" fillId="0" borderId="43" xfId="0" applyNumberFormat="1" applyFont="1" applyBorder="1" applyAlignment="1">
      <alignment vertical="center"/>
    </xf>
    <xf numFmtId="269" fontId="23" fillId="0" borderId="68" xfId="3" applyNumberFormat="1" applyFont="1" applyBorder="1" applyAlignment="1">
      <alignment vertical="center"/>
    </xf>
    <xf numFmtId="230" fontId="20" fillId="0" borderId="1" xfId="0" applyNumberFormat="1" applyFont="1" applyBorder="1" applyAlignment="1">
      <alignment vertical="center"/>
    </xf>
    <xf numFmtId="1" fontId="23" fillId="0" borderId="1" xfId="5" applyNumberFormat="1" applyFont="1" applyBorder="1"/>
    <xf numFmtId="230" fontId="20" fillId="0" borderId="11" xfId="0" applyNumberFormat="1" applyFont="1" applyBorder="1" applyAlignment="1">
      <alignment vertical="center"/>
    </xf>
    <xf numFmtId="1" fontId="23" fillId="0" borderId="11" xfId="5" applyNumberFormat="1" applyFont="1" applyBorder="1"/>
    <xf numFmtId="1" fontId="17" fillId="0" borderId="9" xfId="5" applyNumberFormat="1" applyFont="1" applyBorder="1" applyAlignment="1">
      <alignment horizontal="left" vertical="center" indent="6"/>
    </xf>
    <xf numFmtId="271" fontId="20" fillId="0" borderId="11" xfId="5" applyNumberFormat="1" applyFont="1" applyBorder="1" applyAlignment="1">
      <alignment horizontal="center" vertical="center"/>
    </xf>
    <xf numFmtId="1" fontId="46" fillId="0" borderId="56" xfId="5" applyNumberFormat="1" applyFont="1" applyBorder="1" applyAlignment="1">
      <alignment horizontal="center" vertical="center"/>
    </xf>
    <xf numFmtId="1" fontId="17" fillId="0" borderId="9" xfId="5" applyNumberFormat="1" applyFont="1" applyBorder="1" applyAlignment="1">
      <alignment horizontal="centerContinuous" vertical="center"/>
    </xf>
    <xf numFmtId="230" fontId="23" fillId="0" borderId="24" xfId="0" applyNumberFormat="1" applyFont="1" applyBorder="1" applyAlignment="1">
      <alignment vertical="center"/>
    </xf>
    <xf numFmtId="230" fontId="20" fillId="0" borderId="4" xfId="0" applyNumberFormat="1" applyFont="1" applyBorder="1" applyAlignment="1">
      <alignment vertical="center"/>
    </xf>
    <xf numFmtId="1" fontId="17" fillId="0" borderId="20" xfId="5" applyNumberFormat="1" applyFont="1" applyBorder="1" applyAlignment="1">
      <alignment horizontal="centerContinuous" vertical="center"/>
    </xf>
    <xf numFmtId="1" fontId="4" fillId="0" borderId="22" xfId="5" applyNumberFormat="1" applyBorder="1" applyAlignment="1">
      <alignment horizontal="centerContinuous" vertical="center"/>
    </xf>
    <xf numFmtId="0" fontId="4" fillId="0" borderId="26" xfId="5" applyBorder="1" applyAlignment="1">
      <alignment horizontal="centerContinuous" vertical="center"/>
    </xf>
    <xf numFmtId="1" fontId="67" fillId="0" borderId="20" xfId="5" applyNumberFormat="1" applyFont="1" applyBorder="1" applyAlignment="1">
      <alignment horizontal="left" vertical="center" indent="2"/>
    </xf>
    <xf numFmtId="1" fontId="23" fillId="0" borderId="23" xfId="5" applyNumberFormat="1" applyFont="1" applyBorder="1" applyAlignment="1">
      <alignment horizontal="left" vertical="center" indent="1"/>
    </xf>
    <xf numFmtId="0" fontId="4" fillId="0" borderId="1" xfId="5" applyBorder="1" applyAlignment="1">
      <alignment horizontal="centerContinuous" vertical="center"/>
    </xf>
    <xf numFmtId="4" fontId="20" fillId="0" borderId="11" xfId="0" applyNumberFormat="1" applyFont="1" applyBorder="1" applyAlignment="1">
      <alignment horizontal="center" vertical="center"/>
    </xf>
    <xf numFmtId="1" fontId="23" fillId="0" borderId="37" xfId="5" applyNumberFormat="1" applyFont="1" applyBorder="1" applyAlignment="1">
      <alignment horizontal="center" vertical="center"/>
    </xf>
    <xf numFmtId="272" fontId="61" fillId="2" borderId="36" xfId="6" applyNumberFormat="1" applyFont="1" applyFill="1" applyBorder="1" applyAlignment="1" applyProtection="1">
      <alignment vertical="center"/>
      <protection locked="0"/>
    </xf>
    <xf numFmtId="1" fontId="73" fillId="0" borderId="25" xfId="5" quotePrefix="1" applyNumberFormat="1" applyFont="1" applyBorder="1" applyAlignment="1">
      <alignment horizontal="center" vertical="center"/>
    </xf>
    <xf numFmtId="273" fontId="61" fillId="0" borderId="24" xfId="6" applyNumberFormat="1" applyFont="1" applyFill="1" applyBorder="1" applyAlignment="1" applyProtection="1">
      <alignment vertical="center"/>
    </xf>
    <xf numFmtId="1" fontId="17" fillId="0" borderId="34" xfId="5" applyNumberFormat="1" applyFont="1" applyBorder="1" applyAlignment="1">
      <alignment horizontal="centerContinuous" vertical="center"/>
    </xf>
    <xf numFmtId="0" fontId="74" fillId="0" borderId="64" xfId="5" applyFont="1" applyBorder="1" applyAlignment="1">
      <alignment horizontal="centerContinuous" vertical="center"/>
    </xf>
    <xf numFmtId="272" fontId="61" fillId="0" borderId="36" xfId="6" applyNumberFormat="1" applyFont="1" applyFill="1" applyBorder="1" applyAlignment="1" applyProtection="1">
      <alignment vertical="center"/>
    </xf>
    <xf numFmtId="268" fontId="17" fillId="0" borderId="1" xfId="6" applyNumberFormat="1" applyFont="1" applyBorder="1" applyAlignment="1">
      <alignment horizontal="center" vertical="center"/>
    </xf>
    <xf numFmtId="0" fontId="75" fillId="0" borderId="1" xfId="5" applyFont="1" applyBorder="1" applyAlignment="1">
      <alignment horizontal="centerContinuous" vertical="center"/>
    </xf>
    <xf numFmtId="1" fontId="21" fillId="0" borderId="1" xfId="5" applyNumberFormat="1" applyFont="1" applyBorder="1" applyAlignment="1">
      <alignment horizontal="left" vertical="center" indent="1"/>
    </xf>
    <xf numFmtId="1" fontId="76" fillId="0" borderId="0" xfId="5" applyNumberFormat="1" applyFont="1" applyAlignment="1">
      <alignment horizontal="center"/>
    </xf>
    <xf numFmtId="0" fontId="76" fillId="0" borderId="0" xfId="5" applyFont="1"/>
    <xf numFmtId="274" fontId="76" fillId="0" borderId="0" xfId="5" applyNumberFormat="1" applyFont="1"/>
    <xf numFmtId="1" fontId="77" fillId="3" borderId="36" xfId="5" applyNumberFormat="1" applyFont="1" applyFill="1" applyBorder="1" applyAlignment="1" applyProtection="1">
      <alignment horizontal="center" vertical="center"/>
      <protection locked="0"/>
    </xf>
    <xf numFmtId="10" fontId="38" fillId="0" borderId="2" xfId="6" applyNumberFormat="1" applyFont="1" applyFill="1" applyBorder="1" applyAlignment="1">
      <alignment horizontal="center" vertical="center"/>
    </xf>
    <xf numFmtId="0" fontId="38" fillId="0" borderId="5" xfId="0" applyFont="1" applyBorder="1" applyAlignment="1">
      <alignment horizontal="left" vertical="center" indent="1"/>
    </xf>
    <xf numFmtId="1" fontId="38" fillId="0" borderId="48" xfId="0" applyNumberFormat="1" applyFont="1" applyBorder="1" applyAlignment="1">
      <alignment horizontal="right" vertical="center" indent="2"/>
    </xf>
    <xf numFmtId="1" fontId="38" fillId="0" borderId="5" xfId="0" applyNumberFormat="1" applyFont="1" applyBorder="1" applyAlignment="1">
      <alignment horizontal="left" vertical="center" indent="1"/>
    </xf>
    <xf numFmtId="277" fontId="38" fillId="0" borderId="3" xfId="0" applyNumberFormat="1" applyFont="1" applyBorder="1" applyAlignment="1">
      <alignment vertical="center"/>
    </xf>
    <xf numFmtId="258" fontId="38" fillId="0" borderId="10" xfId="6" applyNumberFormat="1" applyFont="1" applyBorder="1" applyAlignment="1">
      <alignment horizontal="center" vertical="center"/>
    </xf>
    <xf numFmtId="258" fontId="38" fillId="0" borderId="46" xfId="6" applyNumberFormat="1" applyFont="1" applyBorder="1" applyAlignment="1">
      <alignment horizontal="center" vertical="center"/>
    </xf>
    <xf numFmtId="258" fontId="38" fillId="0" borderId="67" xfId="6" applyNumberFormat="1" applyFont="1" applyBorder="1" applyAlignment="1">
      <alignment horizontal="center" vertical="center"/>
    </xf>
    <xf numFmtId="258" fontId="38" fillId="0" borderId="46" xfId="6" applyNumberFormat="1" applyFont="1" applyFill="1" applyBorder="1" applyAlignment="1">
      <alignment horizontal="center" vertical="center"/>
    </xf>
    <xf numFmtId="258" fontId="38" fillId="0" borderId="70" xfId="6" applyNumberFormat="1" applyFont="1" applyFill="1" applyBorder="1" applyAlignment="1">
      <alignment horizontal="center" vertical="center"/>
    </xf>
    <xf numFmtId="3" fontId="38" fillId="0" borderId="69" xfId="0" applyNumberFormat="1" applyFont="1" applyBorder="1" applyAlignment="1">
      <alignment horizontal="center" vertical="center" wrapText="1"/>
    </xf>
    <xf numFmtId="230" fontId="43" fillId="10" borderId="12" xfId="0" applyNumberFormat="1" applyFont="1" applyFill="1" applyBorder="1" applyProtection="1"/>
    <xf numFmtId="3" fontId="22" fillId="0" borderId="30" xfId="0" applyNumberFormat="1" applyFont="1" applyBorder="1" applyAlignment="1">
      <alignment horizontal="centerContinuous" vertical="center" shrinkToFit="1"/>
    </xf>
    <xf numFmtId="4" fontId="22" fillId="0" borderId="15" xfId="6" applyNumberFormat="1" applyFont="1" applyBorder="1" applyAlignment="1" applyProtection="1">
      <alignment horizontal="center" vertical="center"/>
    </xf>
    <xf numFmtId="1" fontId="22" fillId="0" borderId="15" xfId="6" applyNumberFormat="1" applyFont="1" applyBorder="1" applyAlignment="1" applyProtection="1">
      <alignment horizontal="center" vertical="center"/>
    </xf>
    <xf numFmtId="1" fontId="22" fillId="0" borderId="17" xfId="6" applyNumberFormat="1" applyFont="1" applyBorder="1" applyAlignment="1" applyProtection="1">
      <alignment horizontal="center" vertical="center"/>
    </xf>
    <xf numFmtId="206" fontId="23" fillId="11" borderId="2" xfId="0" applyNumberFormat="1" applyFont="1" applyFill="1" applyBorder="1"/>
    <xf numFmtId="206" fontId="23" fillId="11" borderId="41" xfId="0" applyNumberFormat="1" applyFont="1" applyFill="1" applyBorder="1"/>
    <xf numFmtId="206" fontId="23" fillId="11" borderId="21" xfId="0" applyNumberFormat="1" applyFont="1" applyFill="1" applyBorder="1"/>
    <xf numFmtId="206" fontId="23" fillId="11" borderId="51" xfId="0" applyNumberFormat="1" applyFont="1" applyFill="1" applyBorder="1"/>
    <xf numFmtId="206" fontId="23" fillId="11" borderId="46" xfId="0" applyNumberFormat="1" applyFont="1" applyFill="1" applyBorder="1"/>
    <xf numFmtId="3" fontId="14" fillId="0" borderId="0" xfId="0" applyNumberFormat="1" applyFont="1"/>
    <xf numFmtId="3" fontId="20" fillId="0" borderId="18" xfId="0" applyNumberFormat="1" applyFont="1" applyBorder="1" applyAlignment="1">
      <alignment horizontal="center"/>
    </xf>
    <xf numFmtId="3" fontId="20" fillId="0" borderId="12" xfId="0" applyNumberFormat="1" applyFont="1" applyBorder="1" applyAlignment="1">
      <alignment horizontal="center"/>
    </xf>
    <xf numFmtId="3" fontId="20" fillId="0" borderId="18" xfId="0" applyNumberFormat="1" applyFont="1" applyBorder="1" applyAlignment="1">
      <alignment horizontal="left" indent="1"/>
    </xf>
    <xf numFmtId="3" fontId="20" fillId="0" borderId="12" xfId="0" applyNumberFormat="1" applyFont="1" applyBorder="1" applyAlignment="1">
      <alignment horizontal="left" indent="1"/>
    </xf>
    <xf numFmtId="3" fontId="20" fillId="0" borderId="19" xfId="0" applyNumberFormat="1" applyFont="1" applyBorder="1" applyAlignment="1">
      <alignment horizontal="left" indent="1"/>
    </xf>
    <xf numFmtId="3" fontId="22" fillId="0" borderId="1" xfId="0" applyNumberFormat="1" applyFont="1" applyBorder="1" applyAlignment="1" applyProtection="1">
      <alignment horizontal="center" vertical="center"/>
    </xf>
    <xf numFmtId="0" fontId="17" fillId="0" borderId="10" xfId="6" applyNumberFormat="1" applyFont="1" applyFill="1" applyBorder="1" applyAlignment="1" applyProtection="1">
      <alignment horizontal="center" vertical="center"/>
    </xf>
    <xf numFmtId="9" fontId="36" fillId="0" borderId="0" xfId="6" applyFont="1" applyFill="1" applyBorder="1" applyProtection="1"/>
    <xf numFmtId="239" fontId="32" fillId="0" borderId="0" xfId="0" applyNumberFormat="1" applyFont="1" applyAlignment="1" applyProtection="1">
      <alignment horizontal="right" vertical="center"/>
    </xf>
    <xf numFmtId="206" fontId="78" fillId="0" borderId="0" xfId="0" applyNumberFormat="1" applyFont="1"/>
    <xf numFmtId="0" fontId="56" fillId="0" borderId="0" xfId="0" applyFont="1" applyAlignment="1" applyProtection="1">
      <alignment horizontal="left" indent="2"/>
    </xf>
    <xf numFmtId="9" fontId="23" fillId="0" borderId="0" xfId="6" applyFont="1" applyBorder="1" applyAlignment="1">
      <alignment horizontal="center"/>
    </xf>
    <xf numFmtId="206" fontId="23" fillId="0" borderId="47" xfId="0" applyNumberFormat="1" applyFont="1" applyBorder="1"/>
    <xf numFmtId="206" fontId="23" fillId="11" borderId="24" xfId="0" applyNumberFormat="1" applyFont="1" applyFill="1" applyBorder="1"/>
    <xf numFmtId="206" fontId="23" fillId="0" borderId="25" xfId="0" applyNumberFormat="1" applyFont="1" applyBorder="1"/>
    <xf numFmtId="206" fontId="23" fillId="0" borderId="22" xfId="0" applyNumberFormat="1" applyFont="1" applyBorder="1"/>
    <xf numFmtId="206" fontId="23" fillId="11" borderId="47" xfId="0" applyNumberFormat="1" applyFont="1" applyFill="1" applyBorder="1"/>
    <xf numFmtId="3" fontId="20" fillId="0" borderId="39" xfId="0" applyNumberFormat="1" applyFont="1" applyBorder="1" applyAlignment="1">
      <alignment horizontal="center" vertical="center" wrapText="1"/>
    </xf>
    <xf numFmtId="3" fontId="20" fillId="0" borderId="49" xfId="0" applyNumberFormat="1" applyFont="1" applyBorder="1" applyAlignment="1">
      <alignment horizontal="left" indent="1"/>
    </xf>
    <xf numFmtId="3" fontId="20" fillId="0" borderId="7" xfId="0" applyNumberFormat="1" applyFont="1" applyBorder="1" applyAlignment="1">
      <alignment horizontal="left" indent="1"/>
    </xf>
    <xf numFmtId="3" fontId="20" fillId="0" borderId="69" xfId="0" applyNumberFormat="1" applyFont="1" applyBorder="1" applyAlignment="1">
      <alignment horizontal="left" indent="1"/>
    </xf>
    <xf numFmtId="3" fontId="20" fillId="0" borderId="9" xfId="0" applyNumberFormat="1" applyFont="1" applyBorder="1"/>
    <xf numFmtId="3" fontId="20" fillId="0" borderId="9" xfId="0" applyNumberFormat="1" applyFont="1" applyBorder="1" applyAlignment="1">
      <alignment horizontal="right"/>
    </xf>
    <xf numFmtId="215" fontId="23" fillId="0" borderId="20" xfId="6" applyNumberFormat="1" applyFont="1" applyFill="1" applyBorder="1" applyAlignment="1"/>
    <xf numFmtId="215" fontId="23" fillId="0" borderId="23" xfId="6" applyNumberFormat="1" applyFont="1" applyFill="1" applyBorder="1" applyAlignment="1"/>
    <xf numFmtId="215" fontId="23" fillId="0" borderId="34" xfId="6" applyNumberFormat="1" applyFont="1" applyFill="1" applyBorder="1" applyAlignment="1"/>
    <xf numFmtId="215" fontId="23" fillId="0" borderId="9" xfId="0" applyNumberFormat="1" applyFont="1" applyBorder="1"/>
    <xf numFmtId="200" fontId="21" fillId="0" borderId="38" xfId="0" applyNumberFormat="1" applyFont="1" applyBorder="1" applyAlignment="1" applyProtection="1">
      <alignment vertical="center"/>
    </xf>
    <xf numFmtId="0" fontId="21" fillId="0" borderId="9" xfId="0" applyFont="1" applyBorder="1" applyAlignment="1">
      <alignment horizontal="centerContinuous"/>
    </xf>
    <xf numFmtId="208" fontId="20" fillId="0" borderId="37" xfId="0" applyNumberFormat="1" applyFont="1" applyBorder="1" applyAlignment="1">
      <alignment horizontal="center" wrapText="1"/>
    </xf>
    <xf numFmtId="208" fontId="20" fillId="0" borderId="36" xfId="0" applyNumberFormat="1" applyFont="1" applyBorder="1" applyAlignment="1">
      <alignment horizontal="center" wrapText="1"/>
    </xf>
    <xf numFmtId="208" fontId="20" fillId="0" borderId="25" xfId="0" applyNumberFormat="1" applyFont="1" applyBorder="1" applyAlignment="1">
      <alignment horizontal="center" wrapText="1"/>
    </xf>
    <xf numFmtId="3" fontId="17" fillId="0" borderId="7" xfId="0" applyNumberFormat="1" applyFont="1" applyBorder="1" applyAlignment="1" applyProtection="1">
      <alignment horizontal="center" vertical="center" wrapText="1"/>
    </xf>
    <xf numFmtId="3" fontId="14" fillId="0" borderId="9" xfId="0" applyNumberFormat="1" applyFont="1" applyBorder="1" applyAlignment="1" applyProtection="1">
      <alignment horizontal="center" vertical="center" wrapText="1"/>
    </xf>
    <xf numFmtId="190" fontId="17" fillId="0" borderId="37" xfId="0" applyNumberFormat="1" applyFont="1" applyBorder="1" applyAlignment="1" applyProtection="1">
      <alignment vertical="center"/>
    </xf>
    <xf numFmtId="0" fontId="21" fillId="0" borderId="6" xfId="0" applyFont="1" applyBorder="1" applyProtection="1"/>
    <xf numFmtId="3" fontId="17" fillId="0" borderId="38" xfId="0" applyNumberFormat="1" applyFont="1" applyBorder="1" applyAlignment="1" applyProtection="1">
      <alignment horizontal="center" vertical="center"/>
    </xf>
    <xf numFmtId="207" fontId="21" fillId="0" borderId="45" xfId="0" applyNumberFormat="1" applyFont="1" applyBorder="1" applyAlignment="1" applyProtection="1">
      <alignment vertical="center"/>
    </xf>
    <xf numFmtId="207" fontId="21" fillId="0" borderId="46" xfId="0" applyNumberFormat="1" applyFont="1" applyBorder="1" applyAlignment="1" applyProtection="1">
      <alignment vertical="center"/>
    </xf>
    <xf numFmtId="207" fontId="21" fillId="0" borderId="47" xfId="0" applyNumberFormat="1" applyFont="1" applyBorder="1" applyAlignment="1" applyProtection="1">
      <alignment vertical="center"/>
    </xf>
    <xf numFmtId="200" fontId="21" fillId="0" borderId="70" xfId="0" applyNumberFormat="1" applyFont="1" applyBorder="1" applyAlignment="1" applyProtection="1">
      <alignment vertical="center"/>
    </xf>
    <xf numFmtId="0" fontId="79" fillId="0" borderId="89" xfId="0" applyFont="1" applyBorder="1" applyAlignment="1" applyProtection="1">
      <alignment horizontal="right" vertical="center" indent="2"/>
    </xf>
    <xf numFmtId="278" fontId="46" fillId="0" borderId="36" xfId="0" applyNumberFormat="1" applyFont="1" applyBorder="1" applyAlignment="1" applyProtection="1">
      <alignment horizontal="center" vertical="center"/>
      <protection locked="0"/>
    </xf>
    <xf numFmtId="278" fontId="46" fillId="0" borderId="25" xfId="0" applyNumberFormat="1" applyFont="1" applyBorder="1" applyAlignment="1" applyProtection="1">
      <alignment horizontal="center" vertical="center"/>
      <protection locked="0"/>
    </xf>
    <xf numFmtId="0" fontId="21" fillId="0" borderId="9" xfId="0" applyFont="1" applyBorder="1" applyAlignment="1">
      <alignment horizontal="center" vertical="center"/>
    </xf>
    <xf numFmtId="0" fontId="105" fillId="0" borderId="0" xfId="0" applyFont="1"/>
    <xf numFmtId="0" fontId="106" fillId="0" borderId="0" xfId="0" applyFont="1"/>
    <xf numFmtId="0" fontId="21" fillId="0" borderId="9" xfId="0" applyFont="1" applyBorder="1" applyAlignment="1" applyProtection="1">
      <alignment horizontal="center" vertical="center"/>
    </xf>
    <xf numFmtId="278" fontId="46" fillId="0" borderId="36" xfId="0" applyNumberFormat="1" applyFont="1" applyBorder="1" applyAlignment="1" applyProtection="1">
      <alignment horizontal="center" vertical="center" shrinkToFit="1"/>
    </xf>
    <xf numFmtId="278" fontId="46" fillId="0" borderId="25" xfId="0" applyNumberFormat="1" applyFont="1" applyBorder="1" applyAlignment="1" applyProtection="1">
      <alignment horizontal="center" vertical="center" shrinkToFit="1"/>
    </xf>
    <xf numFmtId="0" fontId="107" fillId="0" borderId="0" xfId="0" applyFont="1" applyAlignment="1">
      <alignment horizontal="center"/>
    </xf>
    <xf numFmtId="0" fontId="108" fillId="0" borderId="0" xfId="0" applyFont="1"/>
    <xf numFmtId="0" fontId="109" fillId="0" borderId="0" xfId="0" applyFont="1" applyAlignment="1">
      <alignment horizontal="center" vertical="center"/>
    </xf>
    <xf numFmtId="4" fontId="106" fillId="0" borderId="0" xfId="0" applyNumberFormat="1" applyFont="1" applyProtection="1"/>
    <xf numFmtId="0" fontId="106" fillId="0" borderId="0" xfId="0" applyFont="1" applyAlignment="1" applyProtection="1">
      <alignment horizontal="left" indent="2"/>
    </xf>
    <xf numFmtId="0" fontId="110" fillId="0" borderId="0" xfId="0" applyFont="1"/>
    <xf numFmtId="0" fontId="20" fillId="0" borderId="127" xfId="0" applyFont="1" applyBorder="1" applyAlignment="1">
      <alignment horizontal="center" vertical="center" wrapText="1"/>
    </xf>
    <xf numFmtId="0" fontId="20" fillId="0" borderId="128" xfId="0" applyFont="1" applyBorder="1" applyAlignment="1">
      <alignment horizontal="center" vertical="center" wrapText="1"/>
    </xf>
    <xf numFmtId="3" fontId="23" fillId="12" borderId="7" xfId="0" applyNumberFormat="1" applyFont="1" applyFill="1" applyBorder="1" applyAlignment="1" applyProtection="1">
      <alignment horizontal="center" vertical="center"/>
      <protection locked="0"/>
    </xf>
    <xf numFmtId="216" fontId="23" fillId="2" borderId="12" xfId="0" applyNumberFormat="1" applyFont="1" applyFill="1" applyBorder="1" applyAlignment="1" applyProtection="1">
      <alignment vertical="center"/>
      <protection locked="0"/>
    </xf>
    <xf numFmtId="3" fontId="23" fillId="3" borderId="12" xfId="0" applyNumberFormat="1" applyFont="1" applyFill="1" applyBorder="1" applyAlignment="1" applyProtection="1">
      <alignment horizontal="center" vertical="center"/>
      <protection locked="0"/>
    </xf>
    <xf numFmtId="213" fontId="23" fillId="2" borderId="99" xfId="0" applyNumberFormat="1" applyFont="1" applyFill="1" applyBorder="1" applyAlignment="1" applyProtection="1">
      <alignment vertical="center"/>
      <protection locked="0"/>
    </xf>
    <xf numFmtId="213" fontId="23" fillId="2" borderId="2" xfId="0" applyNumberFormat="1" applyFont="1" applyFill="1" applyBorder="1" applyAlignment="1" applyProtection="1">
      <alignment vertical="center"/>
      <protection locked="0"/>
    </xf>
    <xf numFmtId="213" fontId="23" fillId="2" borderId="24" xfId="0" applyNumberFormat="1" applyFont="1" applyFill="1" applyBorder="1" applyAlignment="1" applyProtection="1">
      <alignment vertical="center"/>
      <protection locked="0"/>
    </xf>
    <xf numFmtId="3" fontId="20" fillId="0" borderId="129" xfId="0" applyNumberFormat="1" applyFont="1" applyBorder="1" applyAlignment="1" applyProtection="1">
      <alignment horizontal="right" vertical="center"/>
    </xf>
    <xf numFmtId="4" fontId="20" fillId="0" borderId="130" xfId="0" applyNumberFormat="1" applyFont="1" applyBorder="1" applyAlignment="1">
      <alignment vertical="center"/>
    </xf>
    <xf numFmtId="4" fontId="20" fillId="0" borderId="131" xfId="0" applyNumberFormat="1" applyFont="1" applyBorder="1" applyAlignment="1">
      <alignment vertical="center"/>
    </xf>
    <xf numFmtId="4" fontId="20" fillId="0" borderId="132" xfId="0" applyNumberFormat="1" applyFont="1" applyBorder="1" applyAlignment="1">
      <alignment vertical="center"/>
    </xf>
    <xf numFmtId="213" fontId="20" fillId="0" borderId="133" xfId="0" applyNumberFormat="1" applyFont="1" applyBorder="1" applyAlignment="1">
      <alignment vertical="center"/>
    </xf>
    <xf numFmtId="213" fontId="20" fillId="0" borderId="134" xfId="0" applyNumberFormat="1" applyFont="1" applyBorder="1" applyAlignment="1">
      <alignment vertical="center"/>
    </xf>
    <xf numFmtId="213" fontId="20" fillId="0" borderId="135" xfId="0" applyNumberFormat="1" applyFont="1" applyBorder="1" applyAlignment="1">
      <alignment vertical="center"/>
    </xf>
    <xf numFmtId="3" fontId="23" fillId="12" borderId="12" xfId="0" applyNumberFormat="1" applyFont="1" applyFill="1" applyBorder="1" applyAlignment="1" applyProtection="1">
      <alignment horizontal="center" vertical="center"/>
      <protection locked="0"/>
    </xf>
    <xf numFmtId="3" fontId="23" fillId="12" borderId="19" xfId="0" applyNumberFormat="1" applyFont="1" applyFill="1" applyBorder="1" applyAlignment="1" applyProtection="1">
      <alignment horizontal="center" vertical="center"/>
      <protection locked="0"/>
    </xf>
    <xf numFmtId="0" fontId="111" fillId="0" borderId="0" xfId="0" quotePrefix="1" applyFont="1"/>
    <xf numFmtId="3" fontId="23" fillId="0" borderId="136" xfId="0" applyNumberFormat="1" applyFont="1" applyBorder="1" applyAlignment="1" applyProtection="1">
      <alignment horizontal="left" vertical="center" indent="1"/>
      <protection locked="0"/>
    </xf>
    <xf numFmtId="233" fontId="21" fillId="13" borderId="15" xfId="0" applyNumberFormat="1" applyFont="1" applyFill="1" applyBorder="1" applyAlignment="1" applyProtection="1">
      <alignment vertical="center"/>
      <protection locked="0"/>
    </xf>
    <xf numFmtId="173" fontId="21" fillId="14" borderId="19" xfId="0" applyNumberFormat="1" applyFont="1" applyFill="1" applyBorder="1" applyAlignment="1" applyProtection="1">
      <alignment horizontal="center" vertical="center"/>
      <protection locked="0"/>
    </xf>
    <xf numFmtId="244" fontId="21" fillId="15" borderId="12" xfId="4" applyNumberFormat="1" applyFont="1" applyFill="1" applyBorder="1" applyAlignment="1" applyProtection="1">
      <alignment horizontal="center" vertical="center"/>
      <protection locked="0"/>
    </xf>
    <xf numFmtId="244" fontId="21" fillId="15" borderId="15" xfId="4" applyNumberFormat="1" applyFont="1" applyFill="1" applyBorder="1" applyAlignment="1" applyProtection="1">
      <alignment horizontal="center" vertical="center"/>
      <protection locked="0"/>
    </xf>
    <xf numFmtId="10" fontId="21" fillId="15" borderId="12" xfId="0" applyNumberFormat="1" applyFont="1" applyFill="1" applyBorder="1" applyAlignment="1" applyProtection="1">
      <alignment horizontal="center" vertical="center"/>
      <protection locked="0"/>
    </xf>
    <xf numFmtId="3" fontId="21" fillId="15" borderId="12" xfId="0" applyNumberFormat="1" applyFont="1" applyFill="1" applyBorder="1" applyAlignment="1" applyProtection="1">
      <alignment horizontal="center" vertical="center"/>
      <protection locked="0"/>
    </xf>
    <xf numFmtId="164" fontId="21" fillId="15" borderId="15" xfId="4" applyFont="1" applyFill="1" applyBorder="1" applyAlignment="1" applyProtection="1">
      <alignment vertical="center"/>
      <protection locked="0"/>
    </xf>
    <xf numFmtId="164" fontId="21" fillId="15" borderId="85" xfId="4" applyFont="1" applyFill="1" applyBorder="1" applyAlignment="1" applyProtection="1">
      <alignment vertical="center"/>
      <protection locked="0"/>
    </xf>
    <xf numFmtId="0" fontId="21" fillId="0" borderId="23" xfId="0" applyFont="1" applyBorder="1" applyAlignment="1">
      <alignment horizontal="left" vertical="center" indent="2"/>
    </xf>
    <xf numFmtId="3" fontId="112" fillId="0" borderId="51" xfId="0" applyNumberFormat="1" applyFont="1" applyBorder="1" applyAlignment="1" applyProtection="1">
      <alignment horizontal="center" vertical="center"/>
    </xf>
    <xf numFmtId="3" fontId="80" fillId="0" borderId="7" xfId="0" applyNumberFormat="1" applyFont="1" applyBorder="1" applyAlignment="1" applyProtection="1">
      <alignment horizontal="center" vertical="center"/>
    </xf>
    <xf numFmtId="168" fontId="60" fillId="0" borderId="23" xfId="0" applyNumberFormat="1" applyFont="1" applyBorder="1" applyAlignment="1" applyProtection="1">
      <alignment horizontal="left" vertical="center" indent="3"/>
    </xf>
    <xf numFmtId="1" fontId="60" fillId="0" borderId="24" xfId="6" applyNumberFormat="1" applyFont="1" applyFill="1" applyBorder="1" applyAlignment="1" applyProtection="1">
      <alignment horizontal="center" vertical="center"/>
    </xf>
    <xf numFmtId="0" fontId="113" fillId="0" borderId="0" xfId="0" applyFont="1" applyAlignment="1">
      <alignment horizontal="center"/>
    </xf>
    <xf numFmtId="3" fontId="23" fillId="0" borderId="8" xfId="0" applyNumberFormat="1" applyFont="1" applyBorder="1" applyAlignment="1" applyProtection="1">
      <alignment horizontal="left" vertical="center" indent="1"/>
    </xf>
    <xf numFmtId="0" fontId="17" fillId="0" borderId="11" xfId="0" applyFont="1" applyBorder="1" applyAlignment="1">
      <alignment horizontal="center" vertical="center"/>
    </xf>
    <xf numFmtId="208" fontId="17" fillId="0" borderId="11" xfId="0" applyNumberFormat="1" applyFont="1" applyBorder="1" applyAlignment="1">
      <alignment horizontal="center" vertical="center" wrapText="1"/>
    </xf>
    <xf numFmtId="0" fontId="22" fillId="0" borderId="11" xfId="0" applyFont="1" applyBorder="1" applyAlignment="1">
      <alignment horizontal="center" vertical="center"/>
    </xf>
    <xf numFmtId="3" fontId="34" fillId="0" borderId="40" xfId="0" applyNumberFormat="1" applyFont="1" applyBorder="1" applyAlignment="1" applyProtection="1">
      <alignment horizontal="center" vertical="center" wrapText="1"/>
    </xf>
    <xf numFmtId="172" fontId="34" fillId="0" borderId="1" xfId="0" applyNumberFormat="1" applyFont="1" applyBorder="1" applyAlignment="1" applyProtection="1">
      <alignment horizontal="center" vertical="center" wrapText="1"/>
    </xf>
    <xf numFmtId="3" fontId="20" fillId="0" borderId="11" xfId="0" applyNumberFormat="1" applyFont="1" applyBorder="1" applyProtection="1"/>
    <xf numFmtId="3" fontId="20" fillId="0" borderId="137" xfId="6" applyNumberFormat="1" applyFont="1" applyFill="1" applyBorder="1" applyAlignment="1" applyProtection="1">
      <alignment horizontal="center"/>
    </xf>
    <xf numFmtId="184" fontId="23" fillId="2" borderId="138" xfId="6" applyNumberFormat="1" applyFont="1" applyFill="1" applyBorder="1" applyAlignment="1" applyProtection="1">
      <alignment horizontal="center"/>
      <protection locked="0"/>
    </xf>
    <xf numFmtId="184" fontId="23" fillId="2" borderId="11" xfId="6" applyNumberFormat="1" applyFont="1" applyFill="1" applyBorder="1" applyAlignment="1" applyProtection="1">
      <alignment horizontal="center"/>
      <protection locked="0"/>
    </xf>
    <xf numFmtId="3" fontId="23" fillId="0" borderId="11" xfId="0" applyNumberFormat="1" applyFont="1" applyBorder="1" applyAlignment="1" applyProtection="1">
      <alignment horizontal="center"/>
    </xf>
    <xf numFmtId="3" fontId="21" fillId="0" borderId="30" xfId="0" applyNumberFormat="1" applyFont="1" applyBorder="1" applyAlignment="1">
      <alignment horizontal="centerContinuous" vertical="center"/>
    </xf>
    <xf numFmtId="3" fontId="38" fillId="0" borderId="27" xfId="0" applyNumberFormat="1" applyFont="1" applyBorder="1" applyAlignment="1">
      <alignment horizontal="centerContinuous" vertical="center"/>
    </xf>
    <xf numFmtId="3" fontId="38" fillId="0" borderId="40" xfId="0" applyNumberFormat="1" applyFont="1" applyBorder="1" applyAlignment="1">
      <alignment horizontal="centerContinuous" vertical="center"/>
    </xf>
    <xf numFmtId="3" fontId="38" fillId="0" borderId="66" xfId="0" applyNumberFormat="1" applyFont="1" applyBorder="1" applyAlignment="1">
      <alignment horizontal="centerContinuous" vertical="center"/>
    </xf>
    <xf numFmtId="3" fontId="38" fillId="0" borderId="26" xfId="0" applyNumberFormat="1" applyFont="1" applyBorder="1" applyAlignment="1">
      <alignment horizontal="centerContinuous" vertical="center"/>
    </xf>
    <xf numFmtId="3" fontId="38" fillId="0" borderId="29" xfId="0" applyNumberFormat="1" applyFont="1" applyBorder="1" applyAlignment="1">
      <alignment horizontal="centerContinuous" vertical="center"/>
    </xf>
    <xf numFmtId="3" fontId="21" fillId="0" borderId="17" xfId="0" applyNumberFormat="1" applyFont="1" applyBorder="1" applyAlignment="1">
      <alignment horizontal="centerContinuous" vertical="center"/>
    </xf>
    <xf numFmtId="3" fontId="38" fillId="0" borderId="87" xfId="0" applyNumberFormat="1" applyFont="1" applyBorder="1" applyAlignment="1">
      <alignment horizontal="center" vertical="center"/>
    </xf>
    <xf numFmtId="3" fontId="23" fillId="0" borderId="18" xfId="0" applyNumberFormat="1" applyFont="1" applyBorder="1" applyAlignment="1">
      <alignment horizontal="left" indent="1"/>
    </xf>
    <xf numFmtId="196" fontId="23" fillId="0" borderId="4" xfId="6" applyNumberFormat="1" applyFont="1" applyFill="1" applyBorder="1" applyProtection="1"/>
    <xf numFmtId="3" fontId="21" fillId="0" borderId="56" xfId="0" applyNumberFormat="1" applyFont="1" applyBorder="1" applyAlignment="1">
      <alignment horizontal="centerContinuous" vertical="center"/>
    </xf>
    <xf numFmtId="3" fontId="21" fillId="0" borderId="57" xfId="0" applyNumberFormat="1" applyFont="1" applyBorder="1" applyAlignment="1">
      <alignment horizontal="centerContinuous" vertical="center"/>
    </xf>
    <xf numFmtId="200" fontId="38" fillId="0" borderId="11" xfId="0" applyNumberFormat="1" applyFont="1" applyBorder="1" applyAlignment="1">
      <alignment vertical="center"/>
    </xf>
    <xf numFmtId="200" fontId="38" fillId="0" borderId="37" xfId="0" applyNumberFormat="1" applyFont="1" applyBorder="1" applyAlignment="1">
      <alignment vertical="center"/>
    </xf>
    <xf numFmtId="196" fontId="38" fillId="0" borderId="25" xfId="6" applyNumberFormat="1" applyFont="1" applyBorder="1" applyAlignment="1">
      <alignment vertical="center"/>
    </xf>
    <xf numFmtId="200" fontId="38" fillId="0" borderId="39" xfId="0" applyNumberFormat="1" applyFont="1" applyBorder="1" applyAlignment="1">
      <alignment vertical="center"/>
    </xf>
    <xf numFmtId="196" fontId="38" fillId="0" borderId="72" xfId="6" applyNumberFormat="1" applyFont="1" applyBorder="1" applyAlignment="1">
      <alignment vertical="center"/>
    </xf>
    <xf numFmtId="200" fontId="38" fillId="0" borderId="6" xfId="0" applyNumberFormat="1" applyFont="1" applyBorder="1" applyAlignment="1">
      <alignment vertical="center"/>
    </xf>
    <xf numFmtId="3" fontId="38" fillId="0" borderId="11" xfId="0" applyNumberFormat="1" applyFont="1" applyBorder="1" applyAlignment="1">
      <alignment horizontal="right" vertical="center" indent="1"/>
    </xf>
    <xf numFmtId="208" fontId="17" fillId="0" borderId="127" xfId="0" applyNumberFormat="1" applyFont="1" applyBorder="1" applyAlignment="1">
      <alignment horizontal="center" wrapText="1"/>
    </xf>
    <xf numFmtId="208" fontId="17" fillId="0" borderId="92" xfId="0" applyNumberFormat="1" applyFont="1" applyBorder="1" applyAlignment="1">
      <alignment horizontal="center" wrapText="1"/>
    </xf>
    <xf numFmtId="208" fontId="17" fillId="0" borderId="128" xfId="0" applyNumberFormat="1" applyFont="1" applyBorder="1" applyAlignment="1">
      <alignment horizontal="center" wrapText="1"/>
    </xf>
    <xf numFmtId="208" fontId="17" fillId="0" borderId="139" xfId="0" applyNumberFormat="1" applyFont="1" applyBorder="1" applyAlignment="1">
      <alignment horizontal="center" wrapText="1"/>
    </xf>
    <xf numFmtId="1" fontId="17" fillId="0" borderId="11" xfId="0" applyNumberFormat="1" applyFont="1" applyBorder="1" applyAlignment="1">
      <alignment horizontal="center" wrapText="1"/>
    </xf>
    <xf numFmtId="1" fontId="17" fillId="0" borderId="6" xfId="0" applyNumberFormat="1" applyFont="1" applyBorder="1" applyAlignment="1">
      <alignment horizontal="center" wrapText="1"/>
    </xf>
    <xf numFmtId="1" fontId="17" fillId="0" borderId="140" xfId="0" applyNumberFormat="1" applyFont="1" applyBorder="1" applyAlignment="1">
      <alignment horizontal="center" wrapText="1"/>
    </xf>
    <xf numFmtId="3" fontId="34" fillId="0" borderId="11" xfId="0" applyNumberFormat="1" applyFont="1" applyBorder="1" applyAlignment="1" applyProtection="1">
      <alignment horizontal="center" wrapText="1"/>
    </xf>
    <xf numFmtId="3" fontId="38" fillId="0" borderId="18" xfId="0" applyNumberFormat="1" applyFont="1" applyBorder="1" applyAlignment="1" applyProtection="1">
      <alignment horizontal="right" indent="1"/>
    </xf>
    <xf numFmtId="171" fontId="38" fillId="0" borderId="12" xfId="0" applyNumberFormat="1" applyFont="1" applyBorder="1" applyAlignment="1" applyProtection="1">
      <alignment horizontal="right" indent="1"/>
    </xf>
    <xf numFmtId="171" fontId="38" fillId="0" borderId="38" xfId="0" applyNumberFormat="1" applyFont="1" applyBorder="1" applyAlignment="1" applyProtection="1">
      <alignment horizontal="right" indent="1"/>
    </xf>
    <xf numFmtId="3" fontId="38" fillId="0" borderId="18" xfId="0" applyNumberFormat="1" applyFont="1" applyBorder="1" applyAlignment="1" applyProtection="1">
      <alignment horizontal="center"/>
    </xf>
    <xf numFmtId="206" fontId="34" fillId="0" borderId="15" xfId="0" applyNumberFormat="1" applyFont="1" applyBorder="1" applyProtection="1"/>
    <xf numFmtId="3" fontId="38" fillId="0" borderId="12" xfId="0" applyNumberFormat="1" applyFont="1" applyBorder="1" applyAlignment="1" applyProtection="1">
      <alignment horizontal="center"/>
    </xf>
    <xf numFmtId="3" fontId="38" fillId="0" borderId="38" xfId="0" applyNumberFormat="1" applyFont="1" applyBorder="1" applyAlignment="1" applyProtection="1">
      <alignment horizontal="center"/>
    </xf>
    <xf numFmtId="3" fontId="17" fillId="0" borderId="11" xfId="0" applyNumberFormat="1" applyFont="1" applyBorder="1" applyAlignment="1" applyProtection="1">
      <alignment horizontal="center"/>
    </xf>
    <xf numFmtId="206" fontId="34" fillId="0" borderId="11" xfId="0" applyNumberFormat="1" applyFont="1" applyBorder="1" applyProtection="1"/>
    <xf numFmtId="208" fontId="17" fillId="0" borderId="28" xfId="0" applyNumberFormat="1" applyFont="1" applyBorder="1" applyAlignment="1">
      <alignment horizontal="center" vertical="center" wrapText="1"/>
    </xf>
    <xf numFmtId="208" fontId="17" fillId="0" borderId="29" xfId="0" applyNumberFormat="1" applyFont="1" applyBorder="1" applyAlignment="1">
      <alignment horizontal="center" vertical="center" wrapText="1"/>
    </xf>
    <xf numFmtId="0" fontId="46" fillId="0" borderId="27" xfId="0" applyFont="1" applyBorder="1" applyAlignment="1">
      <alignment horizontal="center" vertical="center" wrapText="1"/>
    </xf>
    <xf numFmtId="209" fontId="22" fillId="0" borderId="30" xfId="0" applyNumberFormat="1" applyFont="1" applyBorder="1" applyAlignment="1">
      <alignment horizontal="center" wrapText="1"/>
    </xf>
    <xf numFmtId="3" fontId="20" fillId="0" borderId="26" xfId="0" applyNumberFormat="1" applyFont="1" applyBorder="1" applyAlignment="1" applyProtection="1">
      <alignment horizontal="center" vertical="center"/>
    </xf>
    <xf numFmtId="208" fontId="20" fillId="0" borderId="18" xfId="0" applyNumberFormat="1" applyFont="1" applyBorder="1" applyAlignment="1">
      <alignment horizontal="center" vertical="center" wrapText="1"/>
    </xf>
    <xf numFmtId="208" fontId="20" fillId="0" borderId="61" xfId="0" applyNumberFormat="1" applyFont="1" applyBorder="1" applyAlignment="1">
      <alignment horizontal="center" vertical="center" wrapText="1"/>
    </xf>
    <xf numFmtId="3" fontId="22" fillId="0" borderId="30" xfId="0" applyNumberFormat="1" applyFont="1" applyBorder="1" applyAlignment="1" applyProtection="1">
      <alignment horizontal="center"/>
    </xf>
    <xf numFmtId="9" fontId="22" fillId="0" borderId="56" xfId="6" applyFont="1" applyFill="1" applyBorder="1" applyAlignment="1" applyProtection="1">
      <alignment horizontal="center" wrapText="1"/>
    </xf>
    <xf numFmtId="9" fontId="22" fillId="0" borderId="30" xfId="6" applyFont="1" applyFill="1" applyBorder="1" applyAlignment="1" applyProtection="1">
      <alignment horizontal="center" wrapText="1"/>
    </xf>
    <xf numFmtId="0" fontId="21" fillId="0" borderId="7" xfId="0" applyFont="1" applyBorder="1" applyAlignment="1" applyProtection="1">
      <alignment horizontal="left" indent="2"/>
    </xf>
    <xf numFmtId="0" fontId="21" fillId="0" borderId="10" xfId="0" applyFont="1" applyBorder="1" applyProtection="1"/>
    <xf numFmtId="0" fontId="17" fillId="0" borderId="49" xfId="0" applyFont="1" applyBorder="1" applyAlignment="1" applyProtection="1">
      <alignment horizontal="left" vertical="center" indent="1"/>
    </xf>
    <xf numFmtId="3" fontId="22" fillId="0" borderId="14" xfId="0" applyNumberFormat="1" applyFont="1" applyBorder="1" applyAlignment="1" applyProtection="1">
      <alignment horizontal="center" vertical="center"/>
    </xf>
    <xf numFmtId="9" fontId="22" fillId="0" borderId="10" xfId="6" applyFont="1" applyFill="1" applyBorder="1" applyAlignment="1" applyProtection="1">
      <alignment horizontal="center" vertical="top" wrapText="1"/>
    </xf>
    <xf numFmtId="1" fontId="17" fillId="0" borderId="14" xfId="4" applyNumberFormat="1" applyFont="1" applyFill="1" applyBorder="1" applyAlignment="1" applyProtection="1">
      <alignment horizontal="center" vertical="center"/>
    </xf>
    <xf numFmtId="1" fontId="17" fillId="0" borderId="14" xfId="6" applyNumberFormat="1" applyFont="1" applyFill="1" applyBorder="1" applyAlignment="1" applyProtection="1">
      <alignment horizontal="center" vertical="center"/>
    </xf>
    <xf numFmtId="206" fontId="17" fillId="0" borderId="17" xfId="4" applyNumberFormat="1" applyFont="1" applyFill="1" applyBorder="1" applyAlignment="1" applyProtection="1">
      <alignment horizontal="right" vertical="center"/>
    </xf>
    <xf numFmtId="206" fontId="17" fillId="0" borderId="57" xfId="4" applyNumberFormat="1" applyFont="1" applyFill="1" applyBorder="1" applyAlignment="1" applyProtection="1">
      <alignment horizontal="right" vertical="center"/>
    </xf>
    <xf numFmtId="206" fontId="17" fillId="0" borderId="64" xfId="4" applyNumberFormat="1" applyFont="1" applyFill="1" applyBorder="1" applyAlignment="1" applyProtection="1">
      <alignment horizontal="right" vertical="center"/>
    </xf>
    <xf numFmtId="0" fontId="17" fillId="0" borderId="56" xfId="0" applyFont="1" applyBorder="1" applyAlignment="1" applyProtection="1">
      <alignment horizontal="left" vertical="center" indent="1"/>
    </xf>
    <xf numFmtId="206" fontId="17" fillId="0" borderId="30" xfId="4" applyNumberFormat="1" applyFont="1" applyFill="1" applyBorder="1" applyAlignment="1" applyProtection="1">
      <alignment vertical="center"/>
    </xf>
    <xf numFmtId="206" fontId="17" fillId="0" borderId="56" xfId="4" applyNumberFormat="1" applyFont="1" applyFill="1" applyBorder="1" applyAlignment="1" applyProtection="1">
      <alignment vertical="center"/>
    </xf>
    <xf numFmtId="206" fontId="17" fillId="0" borderId="26" xfId="4" applyNumberFormat="1" applyFont="1" applyFill="1" applyBorder="1" applyAlignment="1" applyProtection="1">
      <alignment vertical="center"/>
    </xf>
    <xf numFmtId="0" fontId="21" fillId="0" borderId="57" xfId="0" applyFont="1" applyBorder="1" applyProtection="1"/>
    <xf numFmtId="3" fontId="21" fillId="0" borderId="17" xfId="0" applyNumberFormat="1" applyFont="1" applyBorder="1" applyProtection="1"/>
    <xf numFmtId="3" fontId="21" fillId="0" borderId="57" xfId="0" applyNumberFormat="1" applyFont="1" applyBorder="1" applyProtection="1"/>
    <xf numFmtId="3" fontId="21" fillId="0" borderId="64" xfId="0" applyNumberFormat="1" applyFont="1" applyBorder="1" applyProtection="1"/>
    <xf numFmtId="206" fontId="17" fillId="0" borderId="17" xfId="6" applyNumberFormat="1" applyFont="1" applyFill="1" applyBorder="1" applyAlignment="1" applyProtection="1">
      <alignment horizontal="right" vertical="center"/>
    </xf>
    <xf numFmtId="9" fontId="22" fillId="0" borderId="30" xfId="6" applyFont="1" applyFill="1" applyBorder="1" applyAlignment="1" applyProtection="1">
      <alignment horizontal="center"/>
    </xf>
    <xf numFmtId="3" fontId="15" fillId="0" borderId="26" xfId="0" applyNumberFormat="1" applyFont="1" applyBorder="1" applyAlignment="1" applyProtection="1">
      <alignment horizontal="centerContinuous" vertical="center" wrapText="1"/>
    </xf>
    <xf numFmtId="3" fontId="15" fillId="0" borderId="56" xfId="0" applyNumberFormat="1" applyFont="1" applyBorder="1" applyAlignment="1" applyProtection="1">
      <alignment horizontal="centerContinuous" vertical="center" wrapText="1"/>
    </xf>
    <xf numFmtId="3" fontId="15" fillId="0" borderId="30" xfId="0" applyNumberFormat="1" applyFont="1" applyBorder="1" applyAlignment="1" applyProtection="1">
      <alignment horizontal="centerContinuous" vertical="center" wrapText="1"/>
    </xf>
    <xf numFmtId="9" fontId="22" fillId="0" borderId="14" xfId="6" applyFont="1" applyFill="1" applyBorder="1" applyAlignment="1" applyProtection="1">
      <alignment horizontal="center" vertical="center"/>
    </xf>
    <xf numFmtId="1" fontId="48" fillId="0" borderId="14" xfId="4" applyNumberFormat="1" applyFont="1" applyFill="1" applyBorder="1" applyAlignment="1" applyProtection="1">
      <alignment horizontal="center" vertical="center"/>
    </xf>
    <xf numFmtId="0" fontId="17" fillId="0" borderId="57" xfId="0" applyFont="1" applyBorder="1" applyAlignment="1" applyProtection="1">
      <alignment horizontal="right" vertical="center"/>
    </xf>
    <xf numFmtId="9" fontId="17" fillId="0" borderId="17" xfId="6" applyFont="1" applyFill="1" applyBorder="1" applyAlignment="1" applyProtection="1">
      <alignment horizontal="left" vertical="center"/>
    </xf>
    <xf numFmtId="9" fontId="17" fillId="0" borderId="30" xfId="6" applyFont="1" applyFill="1" applyBorder="1" applyAlignment="1" applyProtection="1">
      <alignment horizontal="right" vertical="center"/>
    </xf>
    <xf numFmtId="211" fontId="17" fillId="0" borderId="30" xfId="4" applyNumberFormat="1" applyFont="1" applyFill="1" applyBorder="1" applyAlignment="1" applyProtection="1">
      <alignment vertical="center"/>
    </xf>
    <xf numFmtId="3" fontId="21" fillId="0" borderId="64" xfId="0" applyNumberFormat="1" applyFont="1" applyBorder="1" applyAlignment="1" applyProtection="1">
      <alignment horizontal="right"/>
    </xf>
    <xf numFmtId="3" fontId="21" fillId="0" borderId="57" xfId="0" applyNumberFormat="1" applyFont="1" applyBorder="1" applyAlignment="1" applyProtection="1">
      <alignment horizontal="right"/>
    </xf>
    <xf numFmtId="3" fontId="21" fillId="0" borderId="17" xfId="0" applyNumberFormat="1" applyFont="1" applyBorder="1" applyAlignment="1" applyProtection="1">
      <alignment horizontal="right"/>
    </xf>
    <xf numFmtId="9" fontId="22" fillId="0" borderId="56" xfId="6" applyFont="1" applyFill="1" applyBorder="1" applyAlignment="1" applyProtection="1">
      <alignment horizontal="center"/>
    </xf>
    <xf numFmtId="9" fontId="22" fillId="0" borderId="10" xfId="6" applyFont="1" applyFill="1" applyBorder="1" applyAlignment="1" applyProtection="1">
      <alignment horizontal="center" vertical="center"/>
    </xf>
    <xf numFmtId="9" fontId="17" fillId="0" borderId="56" xfId="6" applyFont="1" applyFill="1" applyBorder="1" applyAlignment="1" applyProtection="1">
      <alignment horizontal="right" vertical="center"/>
    </xf>
    <xf numFmtId="10" fontId="21" fillId="0" borderId="7" xfId="6" applyNumberFormat="1" applyFont="1" applyFill="1" applyBorder="1" applyAlignment="1" applyProtection="1">
      <alignment horizontal="center"/>
    </xf>
    <xf numFmtId="166" fontId="17" fillId="0" borderId="49" xfId="6" applyNumberFormat="1" applyFont="1" applyFill="1" applyBorder="1" applyAlignment="1" applyProtection="1">
      <alignment horizontal="center" vertical="center"/>
    </xf>
    <xf numFmtId="3" fontId="35" fillId="0" borderId="30" xfId="0" applyNumberFormat="1" applyFont="1" applyBorder="1" applyAlignment="1" applyProtection="1">
      <alignment horizontal="centerContinuous" vertical="center" wrapText="1"/>
    </xf>
    <xf numFmtId="0" fontId="20" fillId="0" borderId="9" xfId="0" applyFont="1" applyBorder="1" applyAlignment="1">
      <alignment horizontal="center" vertical="center"/>
    </xf>
    <xf numFmtId="1" fontId="22" fillId="0" borderId="11" xfId="0" applyNumberFormat="1" applyFont="1" applyBorder="1" applyAlignment="1">
      <alignment horizontal="center" vertical="center" wrapText="1"/>
    </xf>
    <xf numFmtId="1" fontId="22" fillId="0" borderId="6" xfId="0" applyNumberFormat="1" applyFont="1" applyBorder="1" applyAlignment="1">
      <alignment horizontal="center" vertical="center" wrapText="1"/>
    </xf>
    <xf numFmtId="3" fontId="21" fillId="0" borderId="7" xfId="0" applyNumberFormat="1" applyFont="1" applyBorder="1" applyAlignment="1">
      <alignment horizontal="left" vertical="center" indent="1"/>
    </xf>
    <xf numFmtId="0" fontId="14" fillId="0" borderId="49" xfId="0" applyFont="1" applyBorder="1" applyAlignment="1" applyProtection="1">
      <alignment horizontal="center" vertical="center"/>
    </xf>
    <xf numFmtId="234" fontId="17" fillId="0" borderId="42" xfId="0" applyNumberFormat="1" applyFont="1" applyBorder="1" applyProtection="1"/>
    <xf numFmtId="234" fontId="21" fillId="0" borderId="43" xfId="0" applyNumberFormat="1" applyFont="1" applyBorder="1" applyProtection="1"/>
    <xf numFmtId="0" fontId="21" fillId="0" borderId="7" xfId="0" applyFont="1" applyBorder="1" applyAlignment="1" applyProtection="1">
      <alignment horizontal="left" vertical="center" indent="2"/>
    </xf>
    <xf numFmtId="0" fontId="21" fillId="0" borderId="16" xfId="0" applyFont="1" applyBorder="1" applyAlignment="1" applyProtection="1">
      <alignment horizontal="left" vertical="center" indent="2"/>
    </xf>
    <xf numFmtId="234" fontId="21" fillId="0" borderId="44" xfId="0" applyNumberFormat="1" applyFont="1" applyBorder="1" applyProtection="1"/>
    <xf numFmtId="0" fontId="21" fillId="0" borderId="10" xfId="0" applyFont="1" applyBorder="1" applyAlignment="1" applyProtection="1">
      <alignment vertical="center"/>
    </xf>
    <xf numFmtId="234" fontId="21" fillId="0" borderId="68" xfId="0" applyNumberFormat="1" applyFont="1" applyBorder="1" applyProtection="1"/>
    <xf numFmtId="0" fontId="49" fillId="0" borderId="7" xfId="0" applyFont="1" applyBorder="1" applyAlignment="1" applyProtection="1">
      <alignment horizontal="left" vertical="center" indent="1"/>
    </xf>
    <xf numFmtId="234" fontId="17" fillId="0" borderId="43" xfId="0" applyNumberFormat="1" applyFont="1" applyBorder="1" applyProtection="1"/>
    <xf numFmtId="0" fontId="49" fillId="0" borderId="49" xfId="0" applyFont="1" applyBorder="1" applyAlignment="1" applyProtection="1">
      <alignment horizontal="left" vertical="center" indent="1"/>
    </xf>
    <xf numFmtId="0" fontId="21" fillId="0" borderId="69" xfId="0" applyFont="1" applyBorder="1" applyAlignment="1" applyProtection="1">
      <alignment horizontal="left" vertical="center" indent="2"/>
    </xf>
    <xf numFmtId="234" fontId="21" fillId="0" borderId="70" xfId="0" applyNumberFormat="1" applyFont="1" applyBorder="1" applyProtection="1"/>
    <xf numFmtId="3" fontId="27" fillId="0" borderId="56" xfId="0" applyNumberFormat="1" applyFont="1" applyBorder="1" applyAlignment="1" applyProtection="1">
      <alignment horizontal="centerContinuous" vertical="center" wrapText="1"/>
    </xf>
    <xf numFmtId="3" fontId="35" fillId="0" borderId="141" xfId="0" applyNumberFormat="1" applyFont="1" applyBorder="1" applyAlignment="1" applyProtection="1">
      <alignment horizontal="centerContinuous" vertical="center" wrapText="1"/>
    </xf>
    <xf numFmtId="3" fontId="35" fillId="0" borderId="142" xfId="0" applyNumberFormat="1" applyFont="1" applyBorder="1" applyAlignment="1" applyProtection="1">
      <alignment horizontal="centerContinuous" vertical="center" wrapText="1"/>
    </xf>
    <xf numFmtId="0" fontId="17" fillId="0" borderId="57" xfId="0" applyFont="1" applyBorder="1" applyAlignment="1" applyProtection="1">
      <alignment horizontal="center" vertical="center"/>
    </xf>
    <xf numFmtId="234" fontId="17" fillId="0" borderId="90" xfId="0" applyNumberFormat="1" applyFont="1" applyBorder="1" applyAlignment="1" applyProtection="1">
      <alignment vertical="center"/>
    </xf>
    <xf numFmtId="0" fontId="46" fillId="0" borderId="56" xfId="0" applyFont="1" applyBorder="1" applyProtection="1"/>
    <xf numFmtId="0" fontId="21" fillId="0" borderId="57" xfId="0" applyFont="1" applyBorder="1" applyAlignment="1" applyProtection="1">
      <alignment vertical="center"/>
    </xf>
    <xf numFmtId="234" fontId="21" fillId="0" borderId="90" xfId="0" applyNumberFormat="1" applyFont="1" applyBorder="1" applyProtection="1"/>
    <xf numFmtId="3" fontId="21" fillId="0" borderId="140" xfId="0" applyNumberFormat="1" applyFont="1" applyBorder="1" applyProtection="1"/>
    <xf numFmtId="235" fontId="17" fillId="0" borderId="39" xfId="4" applyNumberFormat="1" applyFont="1" applyFill="1" applyBorder="1" applyAlignment="1" applyProtection="1">
      <alignment horizontal="right" vertical="center"/>
    </xf>
    <xf numFmtId="235" fontId="17" fillId="0" borderId="36" xfId="4" applyNumberFormat="1" applyFont="1" applyFill="1" applyBorder="1" applyAlignment="1" applyProtection="1">
      <alignment horizontal="right" vertical="center"/>
    </xf>
    <xf numFmtId="235" fontId="17" fillId="0" borderId="25" xfId="4" applyNumberFormat="1" applyFont="1" applyFill="1" applyBorder="1" applyAlignment="1" applyProtection="1">
      <alignment horizontal="right" vertical="center"/>
    </xf>
    <xf numFmtId="0" fontId="21" fillId="0" borderId="9" xfId="0" applyFont="1" applyBorder="1" applyAlignment="1" applyProtection="1">
      <alignment horizontal="left" vertical="center" indent="2"/>
    </xf>
    <xf numFmtId="0" fontId="21" fillId="0" borderId="6" xfId="0" applyFont="1" applyBorder="1" applyAlignment="1" applyProtection="1">
      <alignment vertical="center"/>
    </xf>
    <xf numFmtId="235" fontId="21" fillId="0" borderId="6" xfId="4" applyNumberFormat="1" applyFont="1" applyFill="1" applyBorder="1" applyAlignment="1" applyProtection="1">
      <alignment vertical="center"/>
    </xf>
    <xf numFmtId="235" fontId="21" fillId="0" borderId="1" xfId="4" applyNumberFormat="1" applyFont="1" applyFill="1" applyBorder="1" applyAlignment="1" applyProtection="1">
      <alignment vertical="center"/>
    </xf>
    <xf numFmtId="0" fontId="29" fillId="0" borderId="143" xfId="0" applyFont="1" applyBorder="1" applyAlignment="1" applyProtection="1">
      <alignment horizontal="centerContinuous" vertical="center" shrinkToFit="1"/>
    </xf>
    <xf numFmtId="9" fontId="21" fillId="0" borderId="26" xfId="6" applyFont="1" applyFill="1" applyBorder="1" applyAlignment="1" applyProtection="1">
      <alignment horizontal="centerContinuous" vertical="center" shrinkToFit="1"/>
    </xf>
    <xf numFmtId="9" fontId="21" fillId="0" borderId="143" xfId="6" applyFont="1" applyFill="1" applyBorder="1" applyAlignment="1" applyProtection="1">
      <alignment horizontal="centerContinuous" vertical="center" shrinkToFit="1"/>
    </xf>
    <xf numFmtId="9" fontId="21" fillId="0" borderId="144" xfId="6" applyFont="1" applyFill="1" applyBorder="1" applyAlignment="1" applyProtection="1">
      <alignment horizontal="centerContinuous" vertical="center" shrinkToFit="1"/>
    </xf>
    <xf numFmtId="9" fontId="21" fillId="0" borderId="40" xfId="6" applyFont="1" applyFill="1" applyBorder="1" applyAlignment="1" applyProtection="1">
      <alignment horizontal="centerContinuous" vertical="center" shrinkToFit="1"/>
    </xf>
    <xf numFmtId="233" fontId="21" fillId="13" borderId="85" xfId="0" applyNumberFormat="1" applyFont="1" applyFill="1" applyBorder="1" applyAlignment="1" applyProtection="1">
      <alignment vertical="center"/>
      <protection locked="0"/>
    </xf>
    <xf numFmtId="233" fontId="21" fillId="0" borderId="43" xfId="0" applyNumberFormat="1" applyFont="1" applyBorder="1" applyAlignment="1" applyProtection="1">
      <alignment vertical="center"/>
    </xf>
    <xf numFmtId="0" fontId="21" fillId="0" borderId="7" xfId="0" applyFont="1" applyBorder="1" applyAlignment="1" applyProtection="1">
      <alignment horizontal="left" vertical="center" indent="1"/>
    </xf>
    <xf numFmtId="233" fontId="21" fillId="0" borderId="70" xfId="0" applyNumberFormat="1" applyFont="1" applyBorder="1" applyAlignment="1" applyProtection="1">
      <alignment vertical="center"/>
    </xf>
    <xf numFmtId="233" fontId="21" fillId="2" borderId="43" xfId="0" applyNumberFormat="1" applyFont="1" applyFill="1" applyBorder="1" applyAlignment="1" applyProtection="1">
      <alignment vertical="center"/>
      <protection locked="0"/>
    </xf>
    <xf numFmtId="233" fontId="21" fillId="0" borderId="85" xfId="0" applyNumberFormat="1" applyFont="1" applyBorder="1" applyAlignment="1" applyProtection="1">
      <alignment vertical="center"/>
    </xf>
    <xf numFmtId="0" fontId="21" fillId="0" borderId="16" xfId="0" applyFont="1" applyBorder="1" applyAlignment="1" applyProtection="1">
      <alignment horizontal="left" vertical="center" indent="1"/>
    </xf>
    <xf numFmtId="233" fontId="21" fillId="0" borderId="44" xfId="0" applyNumberFormat="1" applyFont="1" applyBorder="1" applyAlignment="1" applyProtection="1">
      <alignment vertical="center"/>
    </xf>
    <xf numFmtId="0" fontId="17" fillId="0" borderId="9" xfId="0" applyFont="1" applyBorder="1" applyAlignment="1" applyProtection="1">
      <alignment horizontal="left" vertical="center" indent="1"/>
    </xf>
    <xf numFmtId="211" fontId="17" fillId="0" borderId="11" xfId="4" applyNumberFormat="1" applyFont="1" applyFill="1" applyBorder="1" applyAlignment="1" applyProtection="1">
      <alignment horizontal="right" vertical="center"/>
    </xf>
    <xf numFmtId="0" fontId="21" fillId="0" borderId="56" xfId="0" applyFont="1" applyBorder="1" applyProtection="1"/>
    <xf numFmtId="3" fontId="21" fillId="0" borderId="26" xfId="0" applyNumberFormat="1" applyFont="1" applyBorder="1" applyProtection="1"/>
    <xf numFmtId="0" fontId="21" fillId="0" borderId="26" xfId="0" applyFont="1" applyBorder="1" applyProtection="1"/>
    <xf numFmtId="0" fontId="21" fillId="0" borderId="40" xfId="0" applyFont="1" applyBorder="1" applyProtection="1"/>
    <xf numFmtId="0" fontId="17" fillId="0" borderId="18" xfId="0" applyFont="1" applyBorder="1" applyAlignment="1" applyProtection="1">
      <alignment horizontal="left" vertical="center" indent="1"/>
    </xf>
    <xf numFmtId="9" fontId="21" fillId="0" borderId="68" xfId="6" applyFont="1" applyFill="1" applyBorder="1" applyProtection="1"/>
    <xf numFmtId="0" fontId="34" fillId="0" borderId="22" xfId="0" applyFont="1" applyBorder="1" applyAlignment="1">
      <alignment horizontal="center" vertical="center" wrapText="1"/>
    </xf>
    <xf numFmtId="0" fontId="21" fillId="0" borderId="15" xfId="0" applyFont="1" applyBorder="1" applyAlignment="1" applyProtection="1">
      <alignment horizontal="left" vertical="center" indent="2"/>
      <protection locked="0"/>
    </xf>
    <xf numFmtId="249" fontId="21" fillId="0" borderId="5" xfId="6" applyNumberFormat="1" applyFont="1" applyBorder="1" applyAlignment="1">
      <alignment horizontal="center" vertical="center"/>
    </xf>
    <xf numFmtId="0" fontId="21" fillId="0" borderId="12" xfId="0" applyFont="1" applyBorder="1" applyAlignment="1" applyProtection="1">
      <alignment horizontal="left" vertical="center" indent="2"/>
      <protection locked="0"/>
    </xf>
    <xf numFmtId="249" fontId="21" fillId="0" borderId="24" xfId="6" applyNumberFormat="1" applyFont="1" applyBorder="1" applyAlignment="1">
      <alignment horizontal="center" vertical="center"/>
    </xf>
    <xf numFmtId="249" fontId="21" fillId="0" borderId="4" xfId="6" applyNumberFormat="1" applyFont="1" applyBorder="1" applyAlignment="1">
      <alignment horizontal="center" vertical="center"/>
    </xf>
    <xf numFmtId="0" fontId="21" fillId="0" borderId="38" xfId="0" applyFont="1" applyBorder="1" applyAlignment="1" applyProtection="1">
      <alignment horizontal="left" vertical="center" indent="2"/>
      <protection locked="0"/>
    </xf>
    <xf numFmtId="249" fontId="21" fillId="0" borderId="68" xfId="6" applyNumberFormat="1" applyFont="1" applyBorder="1" applyAlignment="1">
      <alignment horizontal="center" vertical="center"/>
    </xf>
    <xf numFmtId="0" fontId="21" fillId="0" borderId="19" xfId="0" applyFont="1" applyBorder="1" applyAlignment="1" applyProtection="1">
      <alignment horizontal="left" vertical="center" indent="2"/>
    </xf>
    <xf numFmtId="0" fontId="21" fillId="0" borderId="15" xfId="0" applyFont="1" applyBorder="1" applyAlignment="1" applyProtection="1">
      <alignment horizontal="left" vertical="center" indent="2"/>
    </xf>
    <xf numFmtId="9" fontId="21" fillId="0" borderId="68" xfId="6" applyFont="1" applyFill="1" applyBorder="1" applyAlignment="1" applyProtection="1">
      <alignment vertical="center"/>
    </xf>
    <xf numFmtId="0" fontId="17" fillId="0" borderId="11" xfId="0" applyFont="1" applyBorder="1" applyAlignment="1" applyProtection="1">
      <alignment horizontal="left" vertical="center" indent="1"/>
    </xf>
    <xf numFmtId="0" fontId="17" fillId="0" borderId="11" xfId="0" applyFont="1" applyBorder="1" applyAlignment="1" applyProtection="1">
      <alignment horizontal="left" indent="1"/>
    </xf>
    <xf numFmtId="0" fontId="17" fillId="0" borderId="11" xfId="0" applyFont="1" applyBorder="1" applyAlignment="1" applyProtection="1">
      <alignment horizontal="left" vertical="center" indent="3"/>
    </xf>
    <xf numFmtId="190" fontId="17" fillId="0" borderId="11" xfId="4" applyNumberFormat="1" applyFont="1" applyFill="1" applyBorder="1" applyAlignment="1" applyProtection="1">
      <alignment horizontal="right" vertical="center"/>
    </xf>
    <xf numFmtId="9" fontId="21" fillId="0" borderId="57" xfId="6" applyFont="1" applyFill="1" applyBorder="1" applyAlignment="1" applyProtection="1">
      <alignment vertical="center"/>
    </xf>
    <xf numFmtId="9" fontId="21" fillId="0" borderId="64" xfId="6" applyFont="1" applyFill="1" applyBorder="1" applyAlignment="1" applyProtection="1">
      <alignment vertical="center"/>
    </xf>
    <xf numFmtId="9" fontId="21" fillId="0" borderId="90" xfId="6" applyFont="1" applyFill="1" applyBorder="1" applyAlignment="1" applyProtection="1">
      <alignment vertical="center"/>
    </xf>
    <xf numFmtId="0" fontId="27" fillId="0" borderId="56" xfId="0" applyFont="1" applyBorder="1" applyAlignment="1" applyProtection="1">
      <alignment horizontal="centerContinuous" vertical="center" shrinkToFit="1"/>
    </xf>
    <xf numFmtId="0" fontId="26" fillId="0" borderId="11" xfId="0" applyFont="1" applyBorder="1" applyAlignment="1" applyProtection="1">
      <alignment horizontal="center" vertical="center" wrapText="1"/>
    </xf>
    <xf numFmtId="3" fontId="17" fillId="0" borderId="11" xfId="0" applyNumberFormat="1" applyFont="1" applyBorder="1" applyAlignment="1" applyProtection="1">
      <alignment horizontal="center" wrapText="1"/>
    </xf>
    <xf numFmtId="9" fontId="21" fillId="0" borderId="56" xfId="6" applyFont="1" applyFill="1" applyBorder="1" applyProtection="1"/>
    <xf numFmtId="9" fontId="21" fillId="0" borderId="26" xfId="6" applyFont="1" applyFill="1" applyBorder="1" applyProtection="1"/>
    <xf numFmtId="9" fontId="21" fillId="0" borderId="40" xfId="6" applyFont="1" applyFill="1" applyBorder="1" applyProtection="1"/>
    <xf numFmtId="0" fontId="22" fillId="0" borderId="56" xfId="0" applyFont="1" applyBorder="1" applyAlignment="1" applyProtection="1">
      <alignment horizontal="center" vertical="center"/>
    </xf>
    <xf numFmtId="233" fontId="21" fillId="2" borderId="70" xfId="0" applyNumberFormat="1" applyFont="1" applyFill="1" applyBorder="1" applyAlignment="1" applyProtection="1">
      <alignment vertical="center"/>
      <protection locked="0"/>
    </xf>
    <xf numFmtId="0" fontId="17" fillId="0" borderId="9" xfId="0" applyFont="1" applyBorder="1" applyAlignment="1" applyProtection="1">
      <alignment horizontal="left" indent="1"/>
    </xf>
    <xf numFmtId="233" fontId="17" fillId="0" borderId="1" xfId="0" applyNumberFormat="1" applyFont="1" applyBorder="1" applyAlignment="1" applyProtection="1">
      <alignment horizontal="center" wrapText="1"/>
    </xf>
    <xf numFmtId="0" fontId="22" fillId="0" borderId="49" xfId="0" applyFont="1" applyBorder="1" applyAlignment="1" applyProtection="1">
      <alignment horizontal="center" vertical="center"/>
    </xf>
    <xf numFmtId="233" fontId="17" fillId="0" borderId="68" xfId="0" applyNumberFormat="1" applyFont="1" applyBorder="1" applyAlignment="1" applyProtection="1">
      <alignment horizontal="center" wrapText="1"/>
    </xf>
    <xf numFmtId="0" fontId="17" fillId="0" borderId="9" xfId="0" applyFont="1" applyBorder="1" applyAlignment="1" applyProtection="1">
      <alignment horizontal="right" vertical="center" indent="2"/>
    </xf>
    <xf numFmtId="233" fontId="17" fillId="0" borderId="11" xfId="0" applyNumberFormat="1" applyFont="1" applyBorder="1" applyAlignment="1" applyProtection="1">
      <alignment vertical="center"/>
    </xf>
    <xf numFmtId="233" fontId="17" fillId="0" borderId="1" xfId="0" applyNumberFormat="1" applyFont="1" applyBorder="1" applyAlignment="1" applyProtection="1">
      <alignment vertical="center"/>
    </xf>
    <xf numFmtId="3" fontId="17" fillId="0" borderId="17" xfId="0" applyNumberFormat="1" applyFont="1" applyBorder="1" applyAlignment="1" applyProtection="1">
      <alignment horizontal="center" vertical="center" wrapText="1"/>
    </xf>
    <xf numFmtId="3" fontId="17" fillId="0" borderId="90" xfId="0" applyNumberFormat="1" applyFont="1" applyBorder="1" applyAlignment="1" applyProtection="1">
      <alignment horizontal="center" vertical="center" wrapText="1"/>
    </xf>
    <xf numFmtId="0" fontId="27" fillId="0" borderId="9" xfId="0" applyFont="1" applyBorder="1" applyAlignment="1" applyProtection="1">
      <alignment horizontal="centerContinuous" vertical="center" shrinkToFit="1"/>
    </xf>
    <xf numFmtId="0" fontId="27" fillId="0" borderId="6" xfId="0" applyFont="1" applyBorder="1" applyAlignment="1" applyProtection="1">
      <alignment horizontal="centerContinuous" vertical="center" shrinkToFit="1"/>
    </xf>
    <xf numFmtId="0" fontId="29" fillId="0" borderId="76" xfId="0" applyFont="1" applyBorder="1" applyAlignment="1" applyProtection="1">
      <alignment horizontal="centerContinuous" vertical="center" shrinkToFit="1"/>
    </xf>
    <xf numFmtId="9" fontId="21" fillId="0" borderId="6" xfId="6" applyFont="1" applyFill="1" applyBorder="1" applyAlignment="1" applyProtection="1">
      <alignment horizontal="centerContinuous" vertical="center" shrinkToFit="1"/>
    </xf>
    <xf numFmtId="9" fontId="21" fillId="0" borderId="76" xfId="6" applyFont="1" applyFill="1" applyBorder="1" applyAlignment="1" applyProtection="1">
      <alignment horizontal="centerContinuous" vertical="center" shrinkToFit="1"/>
    </xf>
    <xf numFmtId="9" fontId="21" fillId="0" borderId="1" xfId="6" applyFont="1" applyFill="1" applyBorder="1" applyAlignment="1" applyProtection="1">
      <alignment horizontal="centerContinuous" vertical="center" shrinkToFit="1"/>
    </xf>
    <xf numFmtId="0" fontId="47" fillId="0" borderId="56" xfId="0" applyFont="1" applyBorder="1" applyAlignment="1" applyProtection="1">
      <alignment horizontal="centerContinuous" vertical="center" shrinkToFit="1"/>
    </xf>
    <xf numFmtId="3" fontId="21" fillId="0" borderId="26" xfId="0" applyNumberFormat="1" applyFont="1" applyBorder="1" applyAlignment="1" applyProtection="1">
      <alignment horizontal="centerContinuous" shrinkToFit="1"/>
    </xf>
    <xf numFmtId="0" fontId="21" fillId="0" borderId="56" xfId="0" applyFont="1" applyBorder="1" applyAlignment="1" applyProtection="1">
      <alignment horizontal="centerContinuous" vertical="center" shrinkToFit="1"/>
    </xf>
    <xf numFmtId="0" fontId="21" fillId="0" borderId="49" xfId="0" applyFont="1" applyBorder="1" applyAlignment="1" applyProtection="1">
      <alignment horizontal="centerContinuous" vertical="center" shrinkToFit="1"/>
    </xf>
    <xf numFmtId="3" fontId="111" fillId="0" borderId="58" xfId="0" applyNumberFormat="1" applyFont="1" applyBorder="1" applyAlignment="1" applyProtection="1">
      <alignment horizontal="center"/>
      <protection locked="0"/>
    </xf>
    <xf numFmtId="3" fontId="114" fillId="0" borderId="0" xfId="0" applyNumberFormat="1" applyFont="1" applyAlignment="1">
      <alignment horizontal="center"/>
    </xf>
    <xf numFmtId="190" fontId="17" fillId="0" borderId="51" xfId="0" applyNumberFormat="1" applyFont="1" applyBorder="1" applyAlignment="1" applyProtection="1">
      <alignment vertical="center"/>
    </xf>
    <xf numFmtId="200" fontId="23" fillId="0" borderId="7" xfId="0" applyNumberFormat="1" applyFont="1" applyBorder="1" applyProtection="1">
      <protection locked="0"/>
    </xf>
    <xf numFmtId="200" fontId="23" fillId="0" borderId="12" xfId="0" applyNumberFormat="1" applyFont="1" applyBorder="1" applyProtection="1">
      <protection locked="0"/>
    </xf>
    <xf numFmtId="0" fontId="21" fillId="0" borderId="10" xfId="0" applyFont="1" applyBorder="1" applyAlignment="1">
      <alignment horizontal="right"/>
    </xf>
    <xf numFmtId="182" fontId="21" fillId="0" borderId="68" xfId="4" applyNumberFormat="1" applyFont="1" applyBorder="1" applyProtection="1">
      <protection locked="0"/>
    </xf>
    <xf numFmtId="164" fontId="21" fillId="0" borderId="68" xfId="0" applyNumberFormat="1" applyFont="1" applyBorder="1" applyProtection="1">
      <protection locked="0"/>
    </xf>
    <xf numFmtId="0" fontId="113" fillId="0" borderId="0" xfId="0" applyFont="1" applyAlignment="1">
      <alignment horizontal="left" indent="1"/>
    </xf>
    <xf numFmtId="188" fontId="113" fillId="0" borderId="68" xfId="4" applyNumberFormat="1" applyFont="1" applyBorder="1" applyProtection="1">
      <protection locked="0"/>
    </xf>
    <xf numFmtId="183" fontId="21" fillId="0" borderId="68" xfId="4" applyNumberFormat="1" applyFont="1" applyFill="1" applyBorder="1" applyProtection="1">
      <protection locked="0"/>
    </xf>
    <xf numFmtId="169" fontId="21" fillId="0" borderId="68" xfId="4" applyNumberFormat="1" applyFont="1" applyBorder="1" applyProtection="1">
      <protection locked="0"/>
    </xf>
    <xf numFmtId="183" fontId="21" fillId="0" borderId="68" xfId="4" applyNumberFormat="1" applyFont="1" applyBorder="1" applyProtection="1">
      <protection locked="0"/>
    </xf>
    <xf numFmtId="188" fontId="21" fillId="0" borderId="68" xfId="4" applyNumberFormat="1" applyFont="1" applyBorder="1" applyProtection="1">
      <protection locked="0"/>
    </xf>
    <xf numFmtId="164" fontId="21" fillId="11" borderId="68" xfId="0" applyNumberFormat="1" applyFont="1" applyFill="1" applyBorder="1" applyProtection="1"/>
    <xf numFmtId="169" fontId="21" fillId="0" borderId="68" xfId="4" applyNumberFormat="1" applyFont="1" applyFill="1" applyBorder="1" applyProtection="1">
      <protection locked="0"/>
    </xf>
    <xf numFmtId="169" fontId="21" fillId="11" borderId="68" xfId="4" applyNumberFormat="1" applyFont="1" applyFill="1" applyBorder="1"/>
    <xf numFmtId="169" fontId="21" fillId="0" borderId="68" xfId="4" applyNumberFormat="1" applyFont="1" applyBorder="1" applyAlignment="1" applyProtection="1">
      <protection locked="0"/>
    </xf>
    <xf numFmtId="279" fontId="21" fillId="0" borderId="18" xfId="0" applyNumberFormat="1" applyFont="1" applyBorder="1" applyAlignment="1" applyProtection="1">
      <alignment vertical="center"/>
      <protection locked="0"/>
    </xf>
    <xf numFmtId="279" fontId="21" fillId="0" borderId="12" xfId="0" applyNumberFormat="1" applyFont="1" applyBorder="1" applyAlignment="1" applyProtection="1">
      <alignment vertical="center"/>
      <protection locked="0"/>
    </xf>
    <xf numFmtId="279" fontId="21" fillId="0" borderId="18" xfId="0" applyNumberFormat="1" applyFont="1" applyBorder="1" applyAlignment="1" applyProtection="1">
      <alignment vertical="center"/>
    </xf>
    <xf numFmtId="164" fontId="21" fillId="0" borderId="0" xfId="0" applyNumberFormat="1" applyFont="1" applyProtection="1"/>
    <xf numFmtId="280" fontId="21" fillId="0" borderId="12" xfId="0" applyNumberFormat="1" applyFont="1" applyBorder="1" applyAlignment="1" applyProtection="1">
      <alignment vertical="center"/>
      <protection locked="0"/>
    </xf>
    <xf numFmtId="3" fontId="21" fillId="0" borderId="16" xfId="0" applyNumberFormat="1" applyFont="1" applyBorder="1" applyAlignment="1" applyProtection="1">
      <alignment horizontal="left" vertical="center" indent="3"/>
    </xf>
    <xf numFmtId="279" fontId="21" fillId="0" borderId="19" xfId="0" applyNumberFormat="1" applyFont="1" applyBorder="1" applyAlignment="1" applyProtection="1">
      <alignment vertical="center"/>
      <protection locked="0"/>
    </xf>
    <xf numFmtId="3" fontId="21" fillId="0" borderId="9" xfId="0" applyNumberFormat="1" applyFont="1" applyBorder="1" applyAlignment="1" applyProtection="1">
      <alignment horizontal="left" vertical="center" indent="3"/>
    </xf>
    <xf numFmtId="279" fontId="21" fillId="11" borderId="11" xfId="0" applyNumberFormat="1" applyFont="1" applyFill="1" applyBorder="1" applyAlignment="1" applyProtection="1">
      <alignment horizontal="center" vertical="center"/>
      <protection locked="0"/>
    </xf>
    <xf numFmtId="279" fontId="21" fillId="11" borderId="19" xfId="0" applyNumberFormat="1" applyFont="1" applyFill="1" applyBorder="1" applyAlignment="1">
      <alignment vertical="center"/>
    </xf>
    <xf numFmtId="0" fontId="114" fillId="0" borderId="0" xfId="0" applyFont="1" applyAlignment="1">
      <alignment horizontal="center"/>
    </xf>
    <xf numFmtId="3" fontId="111" fillId="0" borderId="0" xfId="0" applyNumberFormat="1" applyFont="1" applyAlignment="1">
      <alignment horizontal="center"/>
    </xf>
    <xf numFmtId="0" fontId="113" fillId="0" borderId="0" xfId="0" applyFont="1"/>
    <xf numFmtId="231" fontId="23" fillId="0" borderId="5" xfId="6" applyNumberFormat="1" applyFont="1" applyFill="1" applyBorder="1" applyAlignment="1">
      <alignment horizontal="center"/>
    </xf>
    <xf numFmtId="231" fontId="23" fillId="0" borderId="24" xfId="6" applyNumberFormat="1" applyFont="1" applyFill="1" applyBorder="1" applyAlignment="1">
      <alignment horizontal="center"/>
    </xf>
    <xf numFmtId="10" fontId="23" fillId="0" borderId="4" xfId="6" applyNumberFormat="1" applyFont="1" applyFill="1" applyBorder="1" applyAlignment="1">
      <alignment horizontal="center"/>
    </xf>
    <xf numFmtId="0" fontId="23" fillId="0" borderId="69" xfId="0" applyFont="1" applyBorder="1" applyAlignment="1" applyProtection="1">
      <alignment horizontal="left" indent="3"/>
    </xf>
    <xf numFmtId="0" fontId="67" fillId="0" borderId="69" xfId="0" applyFont="1" applyBorder="1" applyAlignment="1" applyProtection="1">
      <alignment horizontal="left" indent="3"/>
    </xf>
    <xf numFmtId="200" fontId="67" fillId="0" borderId="10" xfId="0" applyNumberFormat="1" applyFont="1" applyBorder="1" applyProtection="1"/>
    <xf numFmtId="206" fontId="67" fillId="0" borderId="24" xfId="0" applyNumberFormat="1" applyFont="1" applyBorder="1" applyAlignment="1" applyProtection="1">
      <alignment horizontal="right"/>
    </xf>
    <xf numFmtId="213" fontId="23" fillId="1" borderId="38" xfId="0" applyNumberFormat="1" applyFont="1" applyFill="1" applyBorder="1" applyAlignment="1" applyProtection="1">
      <alignment horizontal="right"/>
    </xf>
    <xf numFmtId="0" fontId="67" fillId="0" borderId="69" xfId="0" applyFont="1" applyBorder="1" applyAlignment="1" applyProtection="1">
      <alignment horizontal="left" indent="4"/>
    </xf>
    <xf numFmtId="206" fontId="23" fillId="0" borderId="69" xfId="0" applyNumberFormat="1" applyFont="1" applyBorder="1" applyProtection="1"/>
    <xf numFmtId="9" fontId="20" fillId="1" borderId="23" xfId="6" applyFont="1" applyFill="1" applyBorder="1" applyAlignment="1" applyProtection="1">
      <alignment horizontal="right"/>
    </xf>
    <xf numFmtId="0" fontId="23" fillId="0" borderId="8" xfId="0" applyFont="1" applyBorder="1" applyAlignment="1" applyProtection="1">
      <alignment horizontal="left" indent="3"/>
      <protection locked="0"/>
    </xf>
    <xf numFmtId="0" fontId="23" fillId="0" borderId="7" xfId="0" applyFont="1" applyBorder="1" applyAlignment="1" applyProtection="1">
      <alignment horizontal="left" indent="3"/>
      <protection locked="0"/>
    </xf>
    <xf numFmtId="0" fontId="23" fillId="0" borderId="8" xfId="0" applyFont="1" applyBorder="1" applyAlignment="1" applyProtection="1">
      <alignment horizontal="left" indent="2"/>
      <protection locked="0"/>
    </xf>
    <xf numFmtId="0" fontId="23" fillId="0" borderId="7" xfId="0" applyFont="1" applyBorder="1" applyAlignment="1" applyProtection="1">
      <alignment horizontal="left" indent="2"/>
      <protection locked="0"/>
    </xf>
    <xf numFmtId="0" fontId="67" fillId="0" borderId="16" xfId="0" applyFont="1" applyBorder="1" applyAlignment="1" applyProtection="1">
      <alignment horizontal="left" indent="2"/>
      <protection locked="0"/>
    </xf>
    <xf numFmtId="0" fontId="23" fillId="0" borderId="69" xfId="0" applyFont="1" applyBorder="1" applyAlignment="1" applyProtection="1">
      <alignment horizontal="left" indent="3"/>
      <protection locked="0"/>
    </xf>
    <xf numFmtId="3" fontId="41" fillId="0" borderId="10" xfId="0" applyNumberFormat="1" applyFont="1" applyBorder="1" applyAlignment="1" applyProtection="1">
      <alignment horizontal="right" vertical="center"/>
    </xf>
    <xf numFmtId="3" fontId="67" fillId="0" borderId="10" xfId="0" applyNumberFormat="1" applyFont="1" applyBorder="1" applyAlignment="1" applyProtection="1">
      <alignment horizontal="left" vertical="center" indent="1"/>
    </xf>
    <xf numFmtId="0" fontId="41" fillId="0" borderId="19" xfId="0" applyFont="1" applyBorder="1" applyAlignment="1" applyProtection="1">
      <alignment horizontal="left" vertical="center" indent="2"/>
      <protection locked="0"/>
    </xf>
    <xf numFmtId="0" fontId="41" fillId="0" borderId="19" xfId="0" applyFont="1" applyBorder="1" applyAlignment="1" applyProtection="1">
      <alignment horizontal="left" vertical="center" indent="2"/>
    </xf>
    <xf numFmtId="0" fontId="41" fillId="0" borderId="38" xfId="0" applyFont="1" applyBorder="1" applyAlignment="1" applyProtection="1">
      <alignment horizontal="left" vertical="center" indent="2"/>
    </xf>
    <xf numFmtId="0" fontId="41" fillId="0" borderId="12" xfId="0" applyFont="1" applyBorder="1" applyAlignment="1" applyProtection="1">
      <alignment horizontal="left" vertical="center" indent="2"/>
    </xf>
    <xf numFmtId="0" fontId="41" fillId="0" borderId="7" xfId="0" applyFont="1" applyBorder="1" applyAlignment="1" applyProtection="1">
      <alignment horizontal="left" vertical="center" indent="2"/>
    </xf>
    <xf numFmtId="0" fontId="41" fillId="0" borderId="69" xfId="0" applyFont="1" applyBorder="1" applyAlignment="1" applyProtection="1">
      <alignment horizontal="left" vertical="center" indent="2"/>
    </xf>
    <xf numFmtId="0" fontId="41" fillId="0" borderId="16" xfId="0" applyFont="1" applyBorder="1" applyAlignment="1" applyProtection="1">
      <alignment horizontal="left" vertical="center" indent="2"/>
    </xf>
    <xf numFmtId="0" fontId="47" fillId="0" borderId="26" xfId="0" applyFont="1" applyBorder="1" applyAlignment="1" applyProtection="1">
      <alignment horizontal="centerContinuous" vertical="center" shrinkToFit="1"/>
    </xf>
    <xf numFmtId="0" fontId="21" fillId="0" borderId="26" xfId="0" applyFont="1" applyBorder="1" applyAlignment="1" applyProtection="1">
      <alignment horizontal="centerContinuous" vertical="center" shrinkToFit="1"/>
    </xf>
    <xf numFmtId="0" fontId="21" fillId="0" borderId="13" xfId="0" applyFont="1" applyBorder="1" applyAlignment="1" applyProtection="1">
      <alignment horizontal="left" vertical="center" indent="2"/>
    </xf>
    <xf numFmtId="0" fontId="21" fillId="0" borderId="62" xfId="0" applyFont="1" applyBorder="1" applyAlignment="1" applyProtection="1">
      <alignment horizontal="left" vertical="center" indent="2"/>
    </xf>
    <xf numFmtId="0" fontId="21" fillId="0" borderId="6" xfId="0" applyFont="1" applyBorder="1" applyAlignment="1" applyProtection="1">
      <alignment horizontal="left" vertical="center" indent="2"/>
    </xf>
    <xf numFmtId="0" fontId="21" fillId="0" borderId="61" xfId="0" applyFont="1" applyBorder="1" applyAlignment="1" applyProtection="1">
      <alignment horizontal="centerContinuous" vertical="center" shrinkToFit="1"/>
    </xf>
    <xf numFmtId="3" fontId="21" fillId="0" borderId="13" xfId="0" applyNumberFormat="1" applyFont="1" applyBorder="1" applyAlignment="1" applyProtection="1">
      <alignment horizontal="left" vertical="center" indent="1"/>
    </xf>
    <xf numFmtId="0" fontId="21" fillId="0" borderId="67" xfId="0" applyFont="1" applyBorder="1" applyAlignment="1" applyProtection="1">
      <alignment horizontal="left" vertical="center" indent="1"/>
    </xf>
    <xf numFmtId="0" fontId="21" fillId="0" borderId="13" xfId="0" applyFont="1" applyBorder="1" applyAlignment="1" applyProtection="1">
      <alignment horizontal="left" vertical="center" indent="1"/>
    </xf>
    <xf numFmtId="0" fontId="21" fillId="0" borderId="62" xfId="0" applyFont="1" applyBorder="1" applyAlignment="1" applyProtection="1">
      <alignment horizontal="left" vertical="center" indent="1"/>
    </xf>
    <xf numFmtId="0" fontId="17" fillId="0" borderId="6" xfId="0" applyFont="1" applyBorder="1" applyAlignment="1" applyProtection="1">
      <alignment horizontal="left" vertical="center" indent="1"/>
    </xf>
    <xf numFmtId="3" fontId="21" fillId="0" borderId="61" xfId="0" applyNumberFormat="1" applyFont="1" applyBorder="1" applyAlignment="1" applyProtection="1">
      <alignment horizontal="left" vertical="center" indent="4"/>
    </xf>
    <xf numFmtId="3" fontId="21" fillId="0" borderId="13" xfId="0" applyNumberFormat="1" applyFont="1" applyBorder="1" applyAlignment="1" applyProtection="1">
      <alignment horizontal="left" vertical="center" indent="4"/>
    </xf>
    <xf numFmtId="3" fontId="14" fillId="0" borderId="0" xfId="0" applyNumberFormat="1" applyFont="1" applyAlignment="1" applyProtection="1">
      <alignment horizontal="centerContinuous" vertical="center"/>
    </xf>
    <xf numFmtId="3" fontId="21" fillId="0" borderId="62" xfId="0" applyNumberFormat="1" applyFont="1" applyBorder="1" applyAlignment="1" applyProtection="1">
      <alignment horizontal="left" vertical="center" indent="4"/>
    </xf>
    <xf numFmtId="10" fontId="21" fillId="0" borderId="12" xfId="6" applyNumberFormat="1" applyFont="1" applyFill="1" applyBorder="1" applyAlignment="1" applyProtection="1">
      <alignment horizontal="center" vertical="center"/>
    </xf>
    <xf numFmtId="173" fontId="21" fillId="0" borderId="19" xfId="0" applyNumberFormat="1" applyFont="1" applyBorder="1" applyAlignment="1" applyProtection="1">
      <alignment horizontal="center" vertical="center"/>
    </xf>
    <xf numFmtId="3" fontId="115" fillId="0" borderId="0" xfId="0" applyNumberFormat="1" applyFont="1" applyAlignment="1">
      <alignment horizontal="center"/>
    </xf>
    <xf numFmtId="208" fontId="17" fillId="0" borderId="145" xfId="0" applyNumberFormat="1" applyFont="1" applyBorder="1" applyAlignment="1">
      <alignment horizontal="center" vertical="center" wrapText="1"/>
    </xf>
    <xf numFmtId="208" fontId="17" fillId="0" borderId="40" xfId="0" applyNumberFormat="1" applyFont="1" applyBorder="1" applyAlignment="1">
      <alignment horizontal="center" vertical="center" wrapText="1"/>
    </xf>
    <xf numFmtId="188" fontId="21" fillId="0" borderId="68" xfId="4" applyNumberFormat="1" applyFont="1" applyBorder="1" applyProtection="1"/>
    <xf numFmtId="0" fontId="21" fillId="0" borderId="2" xfId="0" applyFont="1" applyBorder="1" applyAlignment="1">
      <alignment horizontal="center" vertical="center"/>
    </xf>
    <xf numFmtId="280" fontId="21" fillId="0" borderId="38" xfId="0" applyNumberFormat="1" applyFont="1" applyBorder="1" applyAlignment="1" applyProtection="1">
      <alignment vertical="center"/>
      <protection locked="0"/>
    </xf>
    <xf numFmtId="279" fontId="21" fillId="0" borderId="12" xfId="0" applyNumberFormat="1" applyFont="1" applyBorder="1" applyAlignment="1" applyProtection="1">
      <alignment vertical="center"/>
    </xf>
    <xf numFmtId="0" fontId="17" fillId="0" borderId="0" xfId="0" applyFont="1" applyAlignment="1">
      <alignment horizontal="left" indent="1"/>
    </xf>
    <xf numFmtId="0" fontId="28" fillId="0" borderId="0" xfId="0" applyFont="1" applyAlignment="1" applyProtection="1">
      <alignment horizontal="center"/>
    </xf>
    <xf numFmtId="0" fontId="36" fillId="0" borderId="0" xfId="0" applyFont="1" applyAlignment="1">
      <alignment horizontal="left" vertical="center" indent="1"/>
    </xf>
    <xf numFmtId="0" fontId="21" fillId="0" borderId="34" xfId="0" applyFont="1" applyBorder="1" applyAlignment="1" applyProtection="1">
      <alignment horizontal="center" vertical="center"/>
    </xf>
    <xf numFmtId="282" fontId="46" fillId="2" borderId="35" xfId="4" applyNumberFormat="1" applyFont="1" applyFill="1" applyBorder="1" applyAlignment="1" applyProtection="1">
      <alignment horizontal="center" vertical="center"/>
      <protection locked="0"/>
    </xf>
    <xf numFmtId="164" fontId="46" fillId="2" borderId="35" xfId="4" applyFont="1" applyFill="1" applyBorder="1" applyAlignment="1" applyProtection="1">
      <alignment horizontal="center" vertical="center"/>
      <protection locked="0"/>
    </xf>
    <xf numFmtId="164" fontId="46" fillId="2" borderId="4" xfId="4" applyFont="1" applyFill="1" applyBorder="1" applyAlignment="1" applyProtection="1">
      <alignment horizontal="center" vertical="center"/>
      <protection locked="0"/>
    </xf>
    <xf numFmtId="2" fontId="23" fillId="0" borderId="0" xfId="0" applyNumberFormat="1" applyFont="1" applyAlignment="1">
      <alignment horizontal="right" vertical="center"/>
    </xf>
    <xf numFmtId="3" fontId="62" fillId="0" borderId="126" xfId="0" applyNumberFormat="1" applyFont="1" applyBorder="1" applyAlignment="1">
      <alignment horizontal="center" vertical="center"/>
    </xf>
    <xf numFmtId="180" fontId="62" fillId="0" borderId="126" xfId="0" applyNumberFormat="1" applyFont="1" applyBorder="1" applyAlignment="1">
      <alignment horizontal="center" vertical="center"/>
    </xf>
    <xf numFmtId="2" fontId="56" fillId="0" borderId="0" xfId="0" quotePrefix="1" applyNumberFormat="1" applyFont="1" applyAlignment="1">
      <alignment horizontal="right" vertical="center"/>
    </xf>
    <xf numFmtId="2" fontId="62" fillId="0" borderId="0" xfId="0" applyNumberFormat="1" applyFont="1" applyAlignment="1">
      <alignment horizontal="center" vertical="center"/>
    </xf>
    <xf numFmtId="0" fontId="62" fillId="0" borderId="126" xfId="0" applyFont="1" applyBorder="1" applyAlignment="1">
      <alignment horizontal="center" vertical="center"/>
    </xf>
    <xf numFmtId="275" fontId="62" fillId="0" borderId="126" xfId="0" applyNumberFormat="1" applyFont="1" applyBorder="1" applyAlignment="1">
      <alignment horizontal="center" vertical="center"/>
    </xf>
    <xf numFmtId="255" fontId="21" fillId="0" borderId="0" xfId="0" applyNumberFormat="1" applyFont="1"/>
    <xf numFmtId="253" fontId="62" fillId="0" borderId="126" xfId="6" applyNumberFormat="1" applyFont="1" applyFill="1" applyBorder="1" applyAlignment="1">
      <alignment horizontal="center" vertical="center"/>
    </xf>
    <xf numFmtId="276" fontId="62" fillId="0" borderId="126" xfId="0" applyNumberFormat="1" applyFont="1" applyBorder="1" applyAlignment="1">
      <alignment horizontal="center" vertical="center"/>
    </xf>
    <xf numFmtId="274" fontId="4" fillId="0" borderId="0" xfId="5" applyNumberFormat="1"/>
    <xf numFmtId="0" fontId="17" fillId="0" borderId="9" xfId="0" applyFont="1" applyBorder="1" applyAlignment="1">
      <alignment horizontal="centerContinuous"/>
    </xf>
    <xf numFmtId="3" fontId="21" fillId="0" borderId="23" xfId="0" applyNumberFormat="1" applyFont="1" applyBorder="1" applyAlignment="1" applyProtection="1">
      <alignment horizontal="left" vertical="center" indent="3"/>
    </xf>
    <xf numFmtId="3" fontId="21" fillId="0" borderId="34" xfId="0" applyNumberFormat="1" applyFont="1" applyBorder="1" applyAlignment="1" applyProtection="1">
      <alignment horizontal="left" vertical="center" indent="3"/>
    </xf>
    <xf numFmtId="3" fontId="21" fillId="0" borderId="20" xfId="0" applyNumberFormat="1" applyFont="1" applyBorder="1" applyAlignment="1" applyProtection="1">
      <alignment horizontal="left" vertical="center" indent="3"/>
    </xf>
    <xf numFmtId="283" fontId="21" fillId="0" borderId="11" xfId="0" applyNumberFormat="1" applyFont="1" applyBorder="1" applyAlignment="1" applyProtection="1">
      <alignment vertical="center"/>
      <protection locked="0"/>
    </xf>
    <xf numFmtId="0" fontId="21" fillId="0" borderId="11" xfId="0" applyFont="1" applyBorder="1" applyAlignment="1">
      <alignment horizontal="left" indent="3"/>
    </xf>
    <xf numFmtId="279" fontId="21" fillId="0" borderId="42" xfId="0" applyNumberFormat="1" applyFont="1" applyBorder="1" applyAlignment="1" applyProtection="1">
      <alignment vertical="center"/>
      <protection locked="0"/>
    </xf>
    <xf numFmtId="279" fontId="21" fillId="0" borderId="42" xfId="0" applyNumberFormat="1" applyFont="1" applyBorder="1" applyAlignment="1" applyProtection="1">
      <alignment vertical="center"/>
    </xf>
    <xf numFmtId="280" fontId="21" fillId="0" borderId="43" xfId="0" applyNumberFormat="1" applyFont="1" applyBorder="1" applyAlignment="1" applyProtection="1">
      <alignment vertical="center"/>
      <protection locked="0"/>
    </xf>
    <xf numFmtId="279" fontId="21" fillId="0" borderId="44" xfId="0" applyNumberFormat="1" applyFont="1" applyBorder="1" applyAlignment="1" applyProtection="1">
      <alignment vertical="center"/>
      <protection locked="0"/>
    </xf>
    <xf numFmtId="3" fontId="21" fillId="0" borderId="37" xfId="0" applyNumberFormat="1" applyFont="1" applyBorder="1" applyAlignment="1" applyProtection="1">
      <alignment horizontal="left" vertical="center" indent="3"/>
    </xf>
    <xf numFmtId="0" fontId="21" fillId="0" borderId="36" xfId="0" applyFont="1" applyBorder="1"/>
    <xf numFmtId="279" fontId="21" fillId="0" borderId="1" xfId="0" applyNumberFormat="1" applyFont="1" applyBorder="1" applyAlignment="1" applyProtection="1">
      <alignment vertical="center"/>
      <protection locked="0"/>
    </xf>
    <xf numFmtId="0" fontId="21" fillId="0" borderId="61" xfId="0" applyFont="1" applyBorder="1"/>
    <xf numFmtId="0" fontId="21" fillId="0" borderId="62" xfId="0" applyFont="1" applyBorder="1"/>
    <xf numFmtId="3" fontId="49" fillId="0" borderId="10" xfId="0" applyNumberFormat="1" applyFont="1" applyBorder="1" applyAlignment="1" applyProtection="1">
      <alignment horizontal="centerContinuous" vertical="center"/>
    </xf>
    <xf numFmtId="0" fontId="49" fillId="0" borderId="0" xfId="0" applyFont="1" applyAlignment="1">
      <alignment horizontal="centerContinuous"/>
    </xf>
    <xf numFmtId="0" fontId="49" fillId="0" borderId="68" xfId="0" applyFont="1" applyBorder="1" applyAlignment="1">
      <alignment horizontal="centerContinuous"/>
    </xf>
    <xf numFmtId="0" fontId="21" fillId="0" borderId="24" xfId="0" applyFont="1" applyBorder="1" applyAlignment="1" applyProtection="1">
      <alignment horizontal="center" vertical="center"/>
      <protection locked="0"/>
    </xf>
    <xf numFmtId="0" fontId="21" fillId="0" borderId="34" xfId="0" applyFont="1" applyBorder="1" applyAlignment="1">
      <alignment horizontal="left" vertical="center" indent="2"/>
    </xf>
    <xf numFmtId="0" fontId="21" fillId="0" borderId="35" xfId="0" applyFont="1" applyBorder="1" applyAlignment="1">
      <alignment horizontal="center" vertical="center"/>
    </xf>
    <xf numFmtId="0" fontId="21" fillId="0" borderId="4" xfId="0" applyFont="1" applyBorder="1" applyAlignment="1" applyProtection="1">
      <alignment horizontal="center" vertical="center"/>
      <protection locked="0"/>
    </xf>
    <xf numFmtId="164" fontId="21" fillId="0" borderId="22" xfId="0" applyNumberFormat="1" applyFont="1" applyBorder="1" applyProtection="1">
      <protection locked="0"/>
    </xf>
    <xf numFmtId="164" fontId="21" fillId="0" borderId="24" xfId="0" applyNumberFormat="1" applyFont="1" applyBorder="1" applyProtection="1">
      <protection locked="0"/>
    </xf>
    <xf numFmtId="281" fontId="21" fillId="0" borderId="24" xfId="0" applyNumberFormat="1" applyFont="1" applyBorder="1" applyProtection="1"/>
    <xf numFmtId="281" fontId="21" fillId="0" borderId="4" xfId="0" applyNumberFormat="1" applyFont="1" applyBorder="1" applyProtection="1"/>
    <xf numFmtId="0" fontId="21" fillId="0" borderId="71" xfId="0" applyFont="1" applyBorder="1"/>
    <xf numFmtId="0" fontId="21" fillId="0" borderId="50" xfId="0" applyFont="1" applyBorder="1"/>
    <xf numFmtId="0" fontId="21" fillId="0" borderId="60" xfId="0" applyFont="1" applyBorder="1"/>
    <xf numFmtId="9" fontId="21" fillId="0" borderId="35" xfId="6" applyFont="1" applyBorder="1" applyAlignment="1" applyProtection="1">
      <alignment horizontal="center" vertical="center"/>
    </xf>
    <xf numFmtId="9" fontId="21" fillId="0" borderId="2" xfId="6" applyFont="1" applyFill="1" applyBorder="1" applyAlignment="1" applyProtection="1">
      <alignment horizontal="center" vertical="center"/>
    </xf>
    <xf numFmtId="188" fontId="21" fillId="0" borderId="68" xfId="4" applyNumberFormat="1" applyFont="1" applyFill="1" applyBorder="1" applyProtection="1">
      <protection locked="0"/>
    </xf>
    <xf numFmtId="0" fontId="116" fillId="0" borderId="0" xfId="0" applyFont="1" applyAlignment="1">
      <alignment horizontal="center"/>
    </xf>
    <xf numFmtId="200" fontId="67" fillId="2" borderId="69" xfId="0" applyNumberFormat="1" applyFont="1" applyFill="1" applyBorder="1" applyProtection="1"/>
    <xf numFmtId="200" fontId="67" fillId="0" borderId="19" xfId="0" applyNumberFormat="1" applyFont="1" applyBorder="1" applyProtection="1"/>
    <xf numFmtId="200" fontId="41" fillId="0" borderId="12" xfId="0" applyNumberFormat="1" applyFont="1" applyBorder="1" applyAlignment="1" applyProtection="1">
      <alignment vertical="center"/>
    </xf>
    <xf numFmtId="200" fontId="41" fillId="0" borderId="38" xfId="0" applyNumberFormat="1" applyFont="1" applyBorder="1" applyAlignment="1" applyProtection="1">
      <alignment vertical="center"/>
    </xf>
    <xf numFmtId="200" fontId="41" fillId="0" borderId="19" xfId="0" applyNumberFormat="1" applyFont="1" applyBorder="1" applyAlignment="1" applyProtection="1">
      <alignment vertical="center"/>
    </xf>
    <xf numFmtId="233" fontId="41" fillId="0" borderId="19" xfId="0" applyNumberFormat="1" applyFont="1" applyBorder="1" applyAlignment="1" applyProtection="1">
      <alignment vertical="center"/>
    </xf>
    <xf numFmtId="238" fontId="31" fillId="0" borderId="0" xfId="4" applyNumberFormat="1" applyFont="1" applyFill="1" applyBorder="1" applyAlignment="1" applyProtection="1">
      <alignment vertical="center"/>
    </xf>
    <xf numFmtId="3" fontId="21" fillId="0" borderId="10" xfId="0" applyNumberFormat="1" applyFont="1" applyBorder="1" applyAlignment="1" applyProtection="1">
      <alignment horizontal="center"/>
    </xf>
    <xf numFmtId="2" fontId="20" fillId="0" borderId="84" xfId="0" applyNumberFormat="1" applyFont="1" applyBorder="1" applyAlignment="1">
      <alignment horizontal="center"/>
    </xf>
    <xf numFmtId="0" fontId="116" fillId="0" borderId="0" xfId="0" applyFont="1" applyAlignment="1">
      <alignment horizontal="left" indent="2"/>
    </xf>
    <xf numFmtId="200" fontId="23" fillId="0" borderId="10" xfId="0" applyNumberFormat="1" applyFont="1" applyBorder="1" applyProtection="1">
      <protection locked="0"/>
    </xf>
    <xf numFmtId="200" fontId="23" fillId="0" borderId="16" xfId="0" applyNumberFormat="1" applyFont="1" applyBorder="1"/>
    <xf numFmtId="200" fontId="23" fillId="0" borderId="19" xfId="0" applyNumberFormat="1" applyFont="1" applyBorder="1"/>
    <xf numFmtId="233" fontId="21" fillId="15" borderId="12" xfId="0" applyNumberFormat="1" applyFont="1" applyFill="1" applyBorder="1" applyAlignment="1" applyProtection="1">
      <alignment vertical="center"/>
      <protection locked="0"/>
    </xf>
    <xf numFmtId="233" fontId="21" fillId="15" borderId="38" xfId="0" applyNumberFormat="1" applyFont="1" applyFill="1" applyBorder="1" applyAlignment="1" applyProtection="1">
      <alignment vertical="center"/>
      <protection locked="0"/>
    </xf>
    <xf numFmtId="233" fontId="21" fillId="15" borderId="70" xfId="0" applyNumberFormat="1" applyFont="1" applyFill="1" applyBorder="1" applyAlignment="1" applyProtection="1">
      <alignment vertical="center"/>
      <protection locked="0"/>
    </xf>
    <xf numFmtId="200" fontId="21" fillId="15" borderId="15" xfId="0" applyNumberFormat="1" applyFont="1" applyFill="1" applyBorder="1" applyAlignment="1" applyProtection="1">
      <alignment vertical="center"/>
      <protection locked="0"/>
    </xf>
    <xf numFmtId="200" fontId="21" fillId="15" borderId="12" xfId="0" applyNumberFormat="1" applyFont="1" applyFill="1" applyBorder="1" applyAlignment="1" applyProtection="1">
      <alignment vertical="center"/>
      <protection locked="0"/>
    </xf>
    <xf numFmtId="206" fontId="21" fillId="15" borderId="8" xfId="0" applyNumberFormat="1" applyFont="1" applyFill="1" applyBorder="1" applyAlignment="1" applyProtection="1">
      <alignment vertical="center"/>
      <protection locked="0"/>
    </xf>
    <xf numFmtId="206" fontId="21" fillId="15" borderId="7" xfId="0" applyNumberFormat="1" applyFont="1" applyFill="1" applyBorder="1" applyAlignment="1" applyProtection="1">
      <alignment vertical="center"/>
      <protection locked="0"/>
    </xf>
    <xf numFmtId="206" fontId="21" fillId="15" borderId="16" xfId="0" applyNumberFormat="1" applyFont="1" applyFill="1" applyBorder="1" applyAlignment="1" applyProtection="1">
      <alignment vertical="center"/>
      <protection locked="0"/>
    </xf>
    <xf numFmtId="265" fontId="17" fillId="15" borderId="15" xfId="6" applyNumberFormat="1" applyFont="1" applyFill="1" applyBorder="1" applyAlignment="1" applyProtection="1">
      <alignment horizontal="center" vertical="center"/>
      <protection locked="0"/>
    </xf>
    <xf numFmtId="265" fontId="17" fillId="15" borderId="12" xfId="6" applyNumberFormat="1" applyFont="1" applyFill="1" applyBorder="1" applyAlignment="1" applyProtection="1">
      <alignment horizontal="center" vertical="center"/>
      <protection locked="0"/>
    </xf>
    <xf numFmtId="265" fontId="17" fillId="15" borderId="19" xfId="6" applyNumberFormat="1" applyFont="1" applyFill="1" applyBorder="1" applyAlignment="1" applyProtection="1">
      <alignment horizontal="center" vertical="center"/>
      <protection locked="0"/>
    </xf>
    <xf numFmtId="213" fontId="23" fillId="15" borderId="8" xfId="0" applyNumberFormat="1" applyFont="1" applyFill="1" applyBorder="1" applyProtection="1">
      <protection locked="0"/>
    </xf>
    <xf numFmtId="213" fontId="23" fillId="15" borderId="15" xfId="0" applyNumberFormat="1" applyFont="1" applyFill="1" applyBorder="1" applyProtection="1">
      <protection locked="0"/>
    </xf>
    <xf numFmtId="206" fontId="23" fillId="15" borderId="8" xfId="0" applyNumberFormat="1" applyFont="1" applyFill="1" applyBorder="1" applyProtection="1">
      <protection locked="0"/>
    </xf>
    <xf numFmtId="206" fontId="23" fillId="15" borderId="15" xfId="0" applyNumberFormat="1" applyFont="1" applyFill="1" applyBorder="1" applyProtection="1">
      <protection locked="0"/>
    </xf>
    <xf numFmtId="206" fontId="23" fillId="15" borderId="7" xfId="0" applyNumberFormat="1" applyFont="1" applyFill="1" applyBorder="1" applyProtection="1">
      <protection locked="0"/>
    </xf>
    <xf numFmtId="206" fontId="23" fillId="15" borderId="12" xfId="0" applyNumberFormat="1" applyFont="1" applyFill="1" applyBorder="1" applyProtection="1">
      <protection locked="0"/>
    </xf>
    <xf numFmtId="206" fontId="23" fillId="15" borderId="69" xfId="0" applyNumberFormat="1" applyFont="1" applyFill="1" applyBorder="1" applyProtection="1">
      <protection locked="0"/>
    </xf>
    <xf numFmtId="206" fontId="23" fillId="15" borderId="38" xfId="0" applyNumberFormat="1" applyFont="1" applyFill="1" applyBorder="1" applyProtection="1">
      <protection locked="0"/>
    </xf>
    <xf numFmtId="200" fontId="23" fillId="15" borderId="12" xfId="0" applyNumberFormat="1" applyFont="1" applyFill="1" applyBorder="1" applyProtection="1">
      <protection locked="0"/>
    </xf>
    <xf numFmtId="233" fontId="21" fillId="0" borderId="12" xfId="0" applyNumberFormat="1" applyFont="1" applyBorder="1" applyAlignment="1" applyProtection="1">
      <alignment horizontal="center" vertical="center"/>
    </xf>
    <xf numFmtId="164" fontId="21" fillId="0" borderId="15" xfId="4" applyFont="1" applyFill="1" applyBorder="1" applyAlignment="1" applyProtection="1">
      <alignment vertical="center"/>
    </xf>
    <xf numFmtId="10" fontId="21" fillId="0" borderId="12" xfId="0" applyNumberFormat="1" applyFont="1" applyBorder="1" applyAlignment="1" applyProtection="1">
      <alignment horizontal="center" vertical="center"/>
    </xf>
    <xf numFmtId="164" fontId="21" fillId="0" borderId="12" xfId="4" applyFont="1" applyFill="1" applyBorder="1" applyAlignment="1" applyProtection="1">
      <alignment vertical="center"/>
    </xf>
    <xf numFmtId="3" fontId="21" fillId="0" borderId="12" xfId="0" applyNumberFormat="1" applyFont="1" applyBorder="1" applyAlignment="1" applyProtection="1">
      <alignment horizontal="center" vertical="center"/>
    </xf>
    <xf numFmtId="3" fontId="113" fillId="0" borderId="0" xfId="0" applyNumberFormat="1" applyFont="1" applyAlignment="1" applyProtection="1">
      <alignment horizontal="right"/>
    </xf>
    <xf numFmtId="0" fontId="117" fillId="0" borderId="0" xfId="0" applyFont="1" applyAlignment="1" applyProtection="1">
      <alignment horizontal="right"/>
    </xf>
    <xf numFmtId="219" fontId="22" fillId="0" borderId="34" xfId="0" applyNumberFormat="1" applyFont="1" applyBorder="1" applyAlignment="1" applyProtection="1">
      <alignment horizontal="right" vertical="center"/>
    </xf>
    <xf numFmtId="0" fontId="118" fillId="0" borderId="0" xfId="0" quotePrefix="1" applyFont="1"/>
    <xf numFmtId="233" fontId="21" fillId="15" borderId="43" xfId="0" applyNumberFormat="1" applyFont="1" applyFill="1" applyBorder="1" applyAlignment="1" applyProtection="1">
      <alignment vertical="center"/>
      <protection locked="0"/>
    </xf>
    <xf numFmtId="0" fontId="41" fillId="0" borderId="0" xfId="0" applyFont="1"/>
    <xf numFmtId="0" fontId="17" fillId="0" borderId="49" xfId="0" applyFont="1" applyBorder="1" applyAlignment="1">
      <alignment horizontal="center" vertical="center"/>
    </xf>
    <xf numFmtId="0" fontId="17" fillId="0" borderId="21" xfId="0" applyFont="1" applyBorder="1" applyAlignment="1">
      <alignment horizontal="center" vertical="center"/>
    </xf>
    <xf numFmtId="0" fontId="21" fillId="0" borderId="1" xfId="0" applyFont="1" applyBorder="1" applyAlignment="1">
      <alignment horizontal="right" vertical="center" indent="1"/>
    </xf>
    <xf numFmtId="3" fontId="113" fillId="0" borderId="0" xfId="0" applyNumberFormat="1" applyFont="1" applyAlignment="1">
      <alignment horizontal="center"/>
    </xf>
    <xf numFmtId="0" fontId="119" fillId="0" borderId="0" xfId="0" applyFont="1" applyAlignment="1">
      <alignment horizontal="center"/>
    </xf>
    <xf numFmtId="0" fontId="34" fillId="0" borderId="18" xfId="0" applyFont="1" applyBorder="1" applyAlignment="1">
      <alignment horizontal="center" vertical="center" wrapText="1"/>
    </xf>
    <xf numFmtId="0" fontId="34" fillId="0" borderId="21" xfId="0" applyFont="1" applyBorder="1" applyAlignment="1">
      <alignment horizontal="center" vertical="center" wrapText="1"/>
    </xf>
    <xf numFmtId="0" fontId="24" fillId="0" borderId="22" xfId="0" applyFont="1" applyBorder="1" applyAlignment="1" applyProtection="1">
      <alignment horizontal="center" vertical="center" wrapText="1"/>
    </xf>
    <xf numFmtId="0" fontId="34" fillId="0" borderId="18" xfId="0" applyFont="1" applyBorder="1" applyAlignment="1" applyProtection="1">
      <alignment horizontal="center" vertical="center" wrapText="1"/>
    </xf>
    <xf numFmtId="0" fontId="34" fillId="0" borderId="10" xfId="0" applyFont="1" applyBorder="1" applyAlignment="1">
      <alignment horizontal="center" vertical="center" wrapText="1"/>
    </xf>
    <xf numFmtId="0" fontId="34" fillId="0" borderId="49" xfId="0" applyFont="1" applyBorder="1" applyAlignment="1">
      <alignment horizontal="center" vertical="center" shrinkToFit="1"/>
    </xf>
    <xf numFmtId="0" fontId="120" fillId="0" borderId="0" xfId="0" applyFont="1" applyProtection="1"/>
    <xf numFmtId="0" fontId="17" fillId="0" borderId="9" xfId="0" applyFont="1" applyBorder="1" applyAlignment="1">
      <alignment horizontal="right" indent="1"/>
    </xf>
    <xf numFmtId="0" fontId="21" fillId="0" borderId="146" xfId="0" applyFont="1" applyBorder="1" applyAlignment="1">
      <alignment horizontal="center" vertical="center"/>
    </xf>
    <xf numFmtId="0" fontId="21" fillId="0" borderId="145" xfId="0" applyFont="1" applyBorder="1" applyAlignment="1">
      <alignment horizontal="center" vertical="center"/>
    </xf>
    <xf numFmtId="0" fontId="21" fillId="0" borderId="28" xfId="0" applyFont="1" applyBorder="1" applyAlignment="1">
      <alignment horizontal="center" vertical="center"/>
    </xf>
    <xf numFmtId="0" fontId="21" fillId="0" borderId="147" xfId="0" applyFont="1" applyBorder="1" applyAlignment="1">
      <alignment horizontal="center" vertical="center"/>
    </xf>
    <xf numFmtId="0" fontId="22" fillId="0" borderId="6" xfId="0" applyFont="1" applyBorder="1" applyAlignment="1">
      <alignment horizontal="right" vertical="center" indent="1"/>
    </xf>
    <xf numFmtId="0" fontId="22" fillId="0" borderId="61" xfId="0" applyFont="1" applyBorder="1" applyAlignment="1">
      <alignment horizontal="right" vertical="center" indent="1"/>
    </xf>
    <xf numFmtId="0" fontId="20" fillId="0" borderId="148" xfId="0" applyFont="1" applyBorder="1" applyAlignment="1">
      <alignment horizontal="right" vertical="center" indent="1"/>
    </xf>
    <xf numFmtId="0" fontId="38" fillId="0" borderId="27" xfId="0" applyFont="1" applyBorder="1" applyAlignment="1">
      <alignment horizontal="center" vertical="center"/>
    </xf>
    <xf numFmtId="3" fontId="22" fillId="0" borderId="11" xfId="0" applyNumberFormat="1" applyFont="1" applyBorder="1" applyAlignment="1" applyProtection="1">
      <alignment horizontal="right" indent="1"/>
    </xf>
    <xf numFmtId="3" fontId="22" fillId="0" borderId="11" xfId="0" applyNumberFormat="1" applyFont="1" applyBorder="1" applyAlignment="1" applyProtection="1">
      <alignment horizontal="right" indent="2"/>
    </xf>
    <xf numFmtId="0" fontId="22" fillId="0" borderId="11" xfId="0" applyFont="1" applyBorder="1" applyAlignment="1">
      <alignment horizontal="right" indent="1"/>
    </xf>
    <xf numFmtId="3" fontId="20" fillId="0" borderId="56" xfId="0" applyNumberFormat="1" applyFont="1" applyBorder="1"/>
    <xf numFmtId="3" fontId="20" fillId="0" borderId="66" xfId="0" applyNumberFormat="1" applyFont="1" applyBorder="1" applyAlignment="1">
      <alignment horizontal="center"/>
    </xf>
    <xf numFmtId="3" fontId="38" fillId="0" borderId="49" xfId="0" applyNumberFormat="1" applyFont="1" applyBorder="1" applyAlignment="1">
      <alignment horizontal="left" indent="1"/>
    </xf>
    <xf numFmtId="0" fontId="21" fillId="0" borderId="41" xfId="0" applyFont="1" applyBorder="1"/>
    <xf numFmtId="3" fontId="38" fillId="0" borderId="7" xfId="0" applyNumberFormat="1" applyFont="1" applyBorder="1" applyAlignment="1">
      <alignment horizontal="left" indent="1"/>
    </xf>
    <xf numFmtId="0" fontId="21" fillId="0" borderId="51" xfId="0" applyFont="1" applyBorder="1"/>
    <xf numFmtId="3" fontId="38" fillId="0" borderId="16" xfId="0" applyNumberFormat="1" applyFont="1" applyBorder="1" applyAlignment="1">
      <alignment horizontal="left" indent="1"/>
    </xf>
    <xf numFmtId="3" fontId="20" fillId="0" borderId="63" xfId="0" applyNumberFormat="1" applyFont="1" applyBorder="1"/>
    <xf numFmtId="0" fontId="21" fillId="0" borderId="63" xfId="0" applyFont="1" applyBorder="1"/>
    <xf numFmtId="3" fontId="38" fillId="0" borderId="49" xfId="0" applyNumberFormat="1" applyFont="1" applyBorder="1" applyAlignment="1">
      <alignment horizontal="left" indent="3"/>
    </xf>
    <xf numFmtId="3" fontId="20" fillId="0" borderId="61" xfId="0" applyNumberFormat="1" applyFont="1" applyBorder="1" applyAlignment="1">
      <alignment horizontal="center"/>
    </xf>
    <xf numFmtId="3" fontId="22" fillId="0" borderId="9" xfId="0" applyNumberFormat="1" applyFont="1" applyBorder="1"/>
    <xf numFmtId="3" fontId="22" fillId="0" borderId="76" xfId="0" applyNumberFormat="1" applyFont="1" applyBorder="1" applyAlignment="1">
      <alignment horizontal="right"/>
    </xf>
    <xf numFmtId="3" fontId="22" fillId="0" borderId="39" xfId="0" applyNumberFormat="1" applyFont="1" applyBorder="1" applyAlignment="1">
      <alignment horizontal="right" indent="1"/>
    </xf>
    <xf numFmtId="0" fontId="14" fillId="0" borderId="57" xfId="0" applyFont="1" applyBorder="1" applyAlignment="1" applyProtection="1">
      <alignment horizontal="right" vertical="center" indent="1"/>
    </xf>
    <xf numFmtId="9" fontId="22" fillId="0" borderId="57" xfId="6" applyFont="1" applyFill="1" applyBorder="1" applyAlignment="1" applyProtection="1">
      <alignment horizontal="right" vertical="center" indent="1"/>
    </xf>
    <xf numFmtId="0" fontId="39" fillId="0" borderId="56" xfId="0" applyFont="1" applyBorder="1" applyAlignment="1">
      <alignment horizontal="left" indent="1"/>
    </xf>
    <xf numFmtId="3" fontId="67" fillId="0" borderId="7" xfId="0" applyNumberFormat="1" applyFont="1" applyBorder="1" applyAlignment="1" applyProtection="1">
      <alignment horizontal="left" indent="1"/>
    </xf>
    <xf numFmtId="0" fontId="39" fillId="0" borderId="57" xfId="0" applyFont="1" applyBorder="1" applyAlignment="1">
      <alignment horizontal="left" indent="1"/>
    </xf>
    <xf numFmtId="3" fontId="22" fillId="0" borderId="56" xfId="0" applyNumberFormat="1" applyFont="1" applyBorder="1" applyAlignment="1" applyProtection="1">
      <alignment horizontal="center" vertical="center"/>
    </xf>
    <xf numFmtId="0" fontId="22" fillId="0" borderId="26" xfId="0" applyFont="1" applyBorder="1" applyAlignment="1">
      <alignment horizontal="right" vertical="center" indent="1"/>
    </xf>
    <xf numFmtId="0" fontId="21" fillId="0" borderId="62" xfId="0" applyFont="1" applyBorder="1" applyAlignment="1">
      <alignment horizontal="right" vertical="center" indent="1"/>
    </xf>
    <xf numFmtId="0" fontId="22" fillId="0" borderId="62" xfId="0" applyFont="1" applyBorder="1" applyAlignment="1">
      <alignment horizontal="right" vertical="center" indent="1"/>
    </xf>
    <xf numFmtId="0" fontId="17" fillId="0" borderId="6" xfId="0" applyFont="1" applyBorder="1" applyAlignment="1">
      <alignment horizontal="right" indent="1"/>
    </xf>
    <xf numFmtId="0" fontId="17" fillId="0" borderId="61" xfId="0" applyFont="1" applyBorder="1" applyAlignment="1">
      <alignment horizontal="right" vertical="center" indent="1"/>
    </xf>
    <xf numFmtId="0" fontId="21" fillId="0" borderId="64" xfId="0" applyFont="1" applyBorder="1" applyAlignment="1">
      <alignment horizontal="right" vertical="center" indent="1"/>
    </xf>
    <xf numFmtId="206" fontId="23" fillId="0" borderId="20" xfId="0" applyNumberFormat="1" applyFont="1" applyBorder="1" applyAlignment="1">
      <alignment vertical="center"/>
    </xf>
    <xf numFmtId="217" fontId="23" fillId="0" borderId="71" xfId="6" applyNumberFormat="1" applyFont="1" applyBorder="1" applyAlignment="1">
      <alignment vertical="center"/>
    </xf>
    <xf numFmtId="201" fontId="23" fillId="0" borderId="71" xfId="6" applyNumberFormat="1" applyFont="1" applyBorder="1" applyAlignment="1">
      <alignment vertical="center"/>
    </xf>
    <xf numFmtId="217" fontId="23" fillId="0" borderId="18" xfId="6" applyNumberFormat="1" applyFont="1" applyBorder="1" applyAlignment="1">
      <alignment vertical="center"/>
    </xf>
    <xf numFmtId="206" fontId="23" fillId="0" borderId="23" xfId="0" applyNumberFormat="1" applyFont="1" applyBorder="1" applyAlignment="1">
      <alignment vertical="center"/>
    </xf>
    <xf numFmtId="217" fontId="23" fillId="0" borderId="50" xfId="6" applyNumberFormat="1" applyFont="1" applyBorder="1" applyAlignment="1">
      <alignment vertical="center"/>
    </xf>
    <xf numFmtId="201" fontId="23" fillId="0" borderId="50" xfId="6" applyNumberFormat="1" applyFont="1" applyBorder="1" applyAlignment="1">
      <alignment vertical="center"/>
    </xf>
    <xf numFmtId="217" fontId="23" fillId="0" borderId="12" xfId="6" applyNumberFormat="1" applyFont="1" applyBorder="1" applyAlignment="1">
      <alignment vertical="center"/>
    </xf>
    <xf numFmtId="206" fontId="23" fillId="0" borderId="34" xfId="0" applyNumberFormat="1" applyFont="1" applyBorder="1" applyAlignment="1">
      <alignment vertical="center"/>
    </xf>
    <xf numFmtId="3" fontId="23" fillId="0" borderId="49" xfId="0" applyNumberFormat="1" applyFont="1" applyBorder="1" applyAlignment="1">
      <alignment horizontal="left" vertical="center" indent="1"/>
    </xf>
    <xf numFmtId="3" fontId="23" fillId="0" borderId="7" xfId="0" applyNumberFormat="1" applyFont="1" applyBorder="1" applyAlignment="1">
      <alignment horizontal="left" vertical="center" indent="1"/>
    </xf>
    <xf numFmtId="3" fontId="22" fillId="0" borderId="9" xfId="0" applyNumberFormat="1" applyFont="1" applyBorder="1" applyAlignment="1">
      <alignment horizontal="center" vertical="center"/>
    </xf>
    <xf numFmtId="3" fontId="22" fillId="0" borderId="37" xfId="0" applyNumberFormat="1" applyFont="1" applyBorder="1" applyAlignment="1">
      <alignment horizontal="center" vertical="center"/>
    </xf>
    <xf numFmtId="3" fontId="22" fillId="0" borderId="72" xfId="0" applyNumberFormat="1" applyFont="1" applyBorder="1" applyAlignment="1">
      <alignment horizontal="center" vertical="center"/>
    </xf>
    <xf numFmtId="3" fontId="22" fillId="0" borderId="25" xfId="0" applyNumberFormat="1" applyFont="1" applyBorder="1" applyAlignment="1">
      <alignment horizontal="center" vertical="center"/>
    </xf>
    <xf numFmtId="3" fontId="22" fillId="0" borderId="39" xfId="0" applyNumberFormat="1" applyFont="1" applyBorder="1" applyAlignment="1">
      <alignment horizontal="center" vertical="center"/>
    </xf>
    <xf numFmtId="258" fontId="38" fillId="0" borderId="34" xfId="6" applyNumberFormat="1" applyFont="1" applyBorder="1" applyAlignment="1">
      <alignment horizontal="center" vertical="center"/>
    </xf>
    <xf numFmtId="0" fontId="21" fillId="0" borderId="0" xfId="0" applyFont="1" applyAlignment="1">
      <alignment horizontal="centerContinuous" vertical="center" wrapText="1"/>
    </xf>
    <xf numFmtId="0" fontId="48" fillId="0" borderId="11" xfId="0" applyFont="1" applyBorder="1" applyAlignment="1">
      <alignment horizontal="left" vertical="center" indent="3"/>
    </xf>
    <xf numFmtId="0" fontId="121" fillId="0" borderId="0" xfId="0" applyFont="1" applyAlignment="1">
      <alignment horizontal="center"/>
    </xf>
    <xf numFmtId="3" fontId="62" fillId="0" borderId="126" xfId="0" applyNumberFormat="1" applyFont="1" applyBorder="1" applyAlignment="1">
      <alignment horizontal="left" vertical="center" indent="1"/>
    </xf>
    <xf numFmtId="3" fontId="56" fillId="0" borderId="0" xfId="0" applyNumberFormat="1" applyFont="1" applyAlignment="1" applyProtection="1">
      <alignment horizontal="center"/>
    </xf>
    <xf numFmtId="0" fontId="110" fillId="0" borderId="0" xfId="0" applyFont="1" applyAlignment="1">
      <alignment horizontal="left" indent="1"/>
    </xf>
    <xf numFmtId="0" fontId="111" fillId="0" borderId="0" xfId="0" applyFont="1" applyAlignment="1">
      <alignment horizontal="center" vertical="center"/>
    </xf>
    <xf numFmtId="0" fontId="17" fillId="0" borderId="18" xfId="0" applyFont="1" applyBorder="1" applyAlignment="1">
      <alignment horizontal="center"/>
    </xf>
    <xf numFmtId="10" fontId="21" fillId="0" borderId="12" xfId="6" applyNumberFormat="1" applyFont="1" applyBorder="1" applyAlignment="1">
      <alignment horizontal="center"/>
    </xf>
    <xf numFmtId="10" fontId="21" fillId="0" borderId="19" xfId="6" applyNumberFormat="1" applyFont="1" applyBorder="1" applyAlignment="1">
      <alignment horizontal="center"/>
    </xf>
    <xf numFmtId="0" fontId="21" fillId="0" borderId="12" xfId="0" applyFont="1" applyBorder="1" applyAlignment="1">
      <alignment horizontal="center" vertical="center"/>
    </xf>
    <xf numFmtId="3" fontId="21" fillId="0" borderId="8" xfId="0" applyNumberFormat="1" applyFont="1" applyBorder="1" applyAlignment="1" applyProtection="1">
      <alignment horizontal="left" vertical="center" indent="4"/>
    </xf>
    <xf numFmtId="3" fontId="21" fillId="0" borderId="77" xfId="0" applyNumberFormat="1" applyFont="1" applyBorder="1" applyAlignment="1" applyProtection="1">
      <alignment horizontal="left" vertical="center" indent="4"/>
    </xf>
    <xf numFmtId="3" fontId="21" fillId="0" borderId="85" xfId="0" applyNumberFormat="1" applyFont="1" applyBorder="1" applyAlignment="1" applyProtection="1">
      <alignment horizontal="left" vertical="center" indent="4"/>
    </xf>
    <xf numFmtId="0" fontId="49" fillId="0" borderId="0" xfId="0" applyFont="1" applyAlignment="1">
      <alignment horizontal="center" vertical="center"/>
    </xf>
    <xf numFmtId="166" fontId="23" fillId="0" borderId="18" xfId="6" applyNumberFormat="1" applyFont="1" applyBorder="1" applyAlignment="1" applyProtection="1">
      <alignment horizontal="center"/>
      <protection locked="0"/>
    </xf>
    <xf numFmtId="166" fontId="23" fillId="0" borderId="12" xfId="6" applyNumberFormat="1" applyFont="1" applyBorder="1" applyAlignment="1" applyProtection="1">
      <alignment horizontal="center"/>
      <protection locked="0"/>
    </xf>
    <xf numFmtId="166" fontId="23" fillId="0" borderId="19" xfId="6" applyNumberFormat="1" applyFont="1" applyBorder="1" applyAlignment="1" applyProtection="1">
      <alignment horizontal="center"/>
      <protection locked="0"/>
    </xf>
    <xf numFmtId="3" fontId="80" fillId="0" borderId="11" xfId="0" applyNumberFormat="1" applyFont="1" applyBorder="1" applyAlignment="1">
      <alignment horizontal="center" wrapText="1"/>
    </xf>
    <xf numFmtId="0" fontId="122" fillId="0" borderId="0" xfId="0" applyFont="1" applyAlignment="1">
      <alignment horizontal="center" vertical="center"/>
    </xf>
    <xf numFmtId="0" fontId="114" fillId="0" borderId="0" xfId="0" applyFont="1" applyAlignment="1">
      <alignment horizontal="center" vertical="center"/>
    </xf>
    <xf numFmtId="3" fontId="17" fillId="0" borderId="48" xfId="0" applyNumberFormat="1" applyFont="1" applyBorder="1" applyAlignment="1">
      <alignment horizontal="left" vertical="center"/>
    </xf>
    <xf numFmtId="202" fontId="20" fillId="15" borderId="3" xfId="0" applyNumberFormat="1" applyFont="1" applyFill="1" applyBorder="1" applyAlignment="1">
      <alignment vertical="center"/>
    </xf>
    <xf numFmtId="202" fontId="22" fillId="0" borderId="3" xfId="0" applyNumberFormat="1" applyFont="1" applyBorder="1" applyAlignment="1">
      <alignment vertical="center"/>
    </xf>
    <xf numFmtId="3" fontId="17" fillId="0" borderId="16" xfId="0" applyNumberFormat="1" applyFont="1" applyBorder="1" applyAlignment="1">
      <alignment horizontal="left" vertical="center"/>
    </xf>
    <xf numFmtId="0" fontId="21" fillId="0" borderId="63" xfId="0" applyFont="1" applyBorder="1" applyAlignment="1">
      <alignment vertical="center"/>
    </xf>
    <xf numFmtId="190" fontId="22" fillId="2" borderId="35" xfId="0" applyNumberFormat="1" applyFont="1" applyFill="1" applyBorder="1" applyAlignment="1">
      <alignment vertical="center"/>
    </xf>
    <xf numFmtId="190" fontId="22" fillId="0" borderId="35" xfId="0" applyNumberFormat="1" applyFont="1" applyBorder="1" applyAlignment="1">
      <alignment vertical="center"/>
    </xf>
    <xf numFmtId="190" fontId="22" fillId="0" borderId="4" xfId="0" applyNumberFormat="1" applyFont="1" applyBorder="1" applyAlignment="1">
      <alignment vertical="center"/>
    </xf>
    <xf numFmtId="3" fontId="17" fillId="0" borderId="9" xfId="0" applyNumberFormat="1" applyFont="1" applyBorder="1" applyAlignment="1">
      <alignment horizontal="left" vertical="center"/>
    </xf>
    <xf numFmtId="0" fontId="21" fillId="0" borderId="39" xfId="0" applyFont="1" applyBorder="1" applyAlignment="1">
      <alignment vertical="center"/>
    </xf>
    <xf numFmtId="190" fontId="22" fillId="2" borderId="36" xfId="0" applyNumberFormat="1" applyFont="1" applyFill="1" applyBorder="1" applyAlignment="1">
      <alignment vertical="center"/>
    </xf>
    <xf numFmtId="190" fontId="22" fillId="0" borderId="36" xfId="0" applyNumberFormat="1" applyFont="1" applyBorder="1" applyAlignment="1">
      <alignment vertical="center"/>
    </xf>
    <xf numFmtId="277" fontId="22" fillId="0" borderId="25" xfId="0" applyNumberFormat="1" applyFont="1" applyBorder="1" applyAlignment="1">
      <alignment vertical="center"/>
    </xf>
    <xf numFmtId="3" fontId="17" fillId="0" borderId="8" xfId="0" applyNumberFormat="1" applyFont="1" applyBorder="1" applyAlignment="1">
      <alignment horizontal="left" vertical="center"/>
    </xf>
    <xf numFmtId="3" fontId="20" fillId="0" borderId="41" xfId="0" applyNumberFormat="1" applyFont="1" applyBorder="1" applyAlignment="1">
      <alignment vertical="center"/>
    </xf>
    <xf numFmtId="202" fontId="22" fillId="2" borderId="3" xfId="0" applyNumberFormat="1" applyFont="1" applyFill="1" applyBorder="1" applyAlignment="1">
      <alignment vertical="center"/>
    </xf>
    <xf numFmtId="168" fontId="22" fillId="0" borderId="25" xfId="0" applyNumberFormat="1" applyFont="1" applyBorder="1" applyAlignment="1">
      <alignment vertical="center"/>
    </xf>
    <xf numFmtId="190" fontId="22" fillId="0" borderId="25" xfId="0" applyNumberFormat="1" applyFont="1" applyBorder="1" applyAlignment="1">
      <alignment vertical="center"/>
    </xf>
    <xf numFmtId="190" fontId="22" fillId="16" borderId="36" xfId="0" applyNumberFormat="1" applyFont="1" applyFill="1" applyBorder="1" applyAlignment="1">
      <alignment vertical="center"/>
    </xf>
    <xf numFmtId="202" fontId="22" fillId="16" borderId="3" xfId="0" applyNumberFormat="1" applyFont="1" applyFill="1" applyBorder="1" applyAlignment="1">
      <alignment vertical="center"/>
    </xf>
    <xf numFmtId="9" fontId="46" fillId="0" borderId="0" xfId="0" applyNumberFormat="1" applyFont="1" applyAlignment="1" applyProtection="1">
      <alignment horizontal="center" vertical="center"/>
      <protection locked="0"/>
    </xf>
    <xf numFmtId="0" fontId="21" fillId="0" borderId="37" xfId="0" applyFont="1" applyBorder="1"/>
    <xf numFmtId="190" fontId="23" fillId="0" borderId="33" xfId="0" applyNumberFormat="1" applyFont="1" applyBorder="1"/>
    <xf numFmtId="189" fontId="23" fillId="0" borderId="68" xfId="0" applyNumberFormat="1" applyFont="1" applyBorder="1"/>
    <xf numFmtId="230" fontId="23" fillId="0" borderId="33" xfId="0" applyNumberFormat="1" applyFont="1" applyBorder="1"/>
    <xf numFmtId="237" fontId="23" fillId="0" borderId="68" xfId="0" applyNumberFormat="1" applyFont="1" applyBorder="1"/>
    <xf numFmtId="3" fontId="21" fillId="0" borderId="33" xfId="0" applyNumberFormat="1" applyFont="1" applyBorder="1" applyAlignment="1">
      <alignment horizontal="center"/>
    </xf>
    <xf numFmtId="3" fontId="21" fillId="0" borderId="31" xfId="0" applyNumberFormat="1" applyFont="1" applyBorder="1" applyAlignment="1">
      <alignment horizontal="center"/>
    </xf>
    <xf numFmtId="3" fontId="21" fillId="0" borderId="32" xfId="0" applyNumberFormat="1" applyFont="1" applyBorder="1" applyAlignment="1">
      <alignment horizontal="center"/>
    </xf>
    <xf numFmtId="190" fontId="23" fillId="0" borderId="86" xfId="0" applyNumberFormat="1" applyFont="1" applyBorder="1"/>
    <xf numFmtId="189" fontId="23" fillId="0" borderId="90" xfId="0" applyNumberFormat="1" applyFont="1" applyBorder="1"/>
    <xf numFmtId="230" fontId="23" fillId="0" borderId="86" xfId="0" applyNumberFormat="1" applyFont="1" applyBorder="1"/>
    <xf numFmtId="237" fontId="23" fillId="0" borderId="90" xfId="0" applyNumberFormat="1" applyFont="1" applyBorder="1"/>
    <xf numFmtId="3" fontId="21" fillId="0" borderId="38" xfId="0" applyNumberFormat="1" applyFont="1" applyBorder="1"/>
    <xf numFmtId="190" fontId="20" fillId="0" borderId="23" xfId="0" applyNumberFormat="1" applyFont="1" applyBorder="1" applyAlignment="1">
      <alignment vertical="center"/>
    </xf>
    <xf numFmtId="189" fontId="20" fillId="0" borderId="43" xfId="0" applyNumberFormat="1" applyFont="1" applyBorder="1" applyAlignment="1">
      <alignment vertical="center"/>
    </xf>
    <xf numFmtId="237" fontId="20" fillId="0" borderId="43" xfId="0" applyNumberFormat="1" applyFont="1" applyBorder="1" applyAlignment="1">
      <alignment vertical="center"/>
    </xf>
    <xf numFmtId="3" fontId="21" fillId="0" borderId="14" xfId="0" applyNumberFormat="1" applyFont="1" applyBorder="1" applyAlignment="1">
      <alignment horizontal="left" indent="2"/>
    </xf>
    <xf numFmtId="230" fontId="20" fillId="0" borderId="23" xfId="0" applyNumberFormat="1" applyFont="1" applyBorder="1" applyAlignment="1">
      <alignment vertical="center"/>
    </xf>
    <xf numFmtId="3" fontId="49" fillId="0" borderId="0" xfId="0" applyNumberFormat="1" applyFont="1" applyAlignment="1">
      <alignment horizontal="centerContinuous"/>
    </xf>
    <xf numFmtId="3" fontId="38" fillId="0" borderId="38" xfId="0" applyNumberFormat="1" applyFont="1" applyBorder="1" applyAlignment="1">
      <alignment horizontal="left" vertical="center" indent="1"/>
    </xf>
    <xf numFmtId="3" fontId="38" fillId="0" borderId="14" xfId="0" applyNumberFormat="1" applyFont="1" applyBorder="1" applyAlignment="1">
      <alignment horizontal="center" vertical="center" wrapText="1"/>
    </xf>
    <xf numFmtId="258" fontId="38" fillId="0" borderId="33" xfId="6" applyNumberFormat="1" applyFont="1" applyFill="1" applyBorder="1" applyAlignment="1">
      <alignment horizontal="center" vertical="center"/>
    </xf>
    <xf numFmtId="258" fontId="38" fillId="0" borderId="31" xfId="6" applyNumberFormat="1" applyFont="1" applyFill="1" applyBorder="1" applyAlignment="1">
      <alignment horizontal="center" vertical="center"/>
    </xf>
    <xf numFmtId="258" fontId="38" fillId="0" borderId="59" xfId="6" applyNumberFormat="1" applyFont="1" applyFill="1" applyBorder="1" applyAlignment="1">
      <alignment horizontal="center" vertical="center"/>
    </xf>
    <xf numFmtId="258" fontId="38" fillId="0" borderId="68" xfId="6" applyNumberFormat="1" applyFont="1" applyFill="1" applyBorder="1" applyAlignment="1">
      <alignment horizontal="center" vertical="center"/>
    </xf>
    <xf numFmtId="3" fontId="38" fillId="0" borderId="19" xfId="0" applyNumberFormat="1" applyFont="1" applyBorder="1" applyAlignment="1">
      <alignment horizontal="center" vertical="center" wrapText="1"/>
    </xf>
    <xf numFmtId="0" fontId="85" fillId="0" borderId="0" xfId="0" applyFont="1"/>
    <xf numFmtId="3" fontId="0" fillId="0" borderId="0" xfId="0" applyNumberFormat="1" applyAlignment="1">
      <alignment vertical="center"/>
    </xf>
    <xf numFmtId="1" fontId="0" fillId="0" borderId="0" xfId="0" applyNumberFormat="1" applyAlignment="1">
      <alignment horizontal="right" vertical="center"/>
    </xf>
    <xf numFmtId="0" fontId="86" fillId="0" borderId="0" xfId="0" applyFont="1"/>
    <xf numFmtId="286" fontId="38" fillId="0" borderId="18" xfId="0" applyNumberFormat="1" applyFont="1" applyBorder="1" applyAlignment="1">
      <alignment vertical="center"/>
    </xf>
    <xf numFmtId="286" fontId="38" fillId="0" borderId="61" xfId="0" applyNumberFormat="1" applyFont="1" applyBorder="1" applyAlignment="1">
      <alignment vertical="center"/>
    </xf>
    <xf numFmtId="286" fontId="38" fillId="0" borderId="19" xfId="0" applyNumberFormat="1" applyFont="1" applyBorder="1" applyAlignment="1">
      <alignment vertical="center"/>
    </xf>
    <xf numFmtId="286" fontId="38" fillId="0" borderId="62" xfId="0" applyNumberFormat="1" applyFont="1" applyBorder="1" applyAlignment="1">
      <alignment vertical="center"/>
    </xf>
    <xf numFmtId="286" fontId="17" fillId="0" borderId="30" xfId="0" applyNumberFormat="1" applyFont="1" applyBorder="1" applyAlignment="1">
      <alignment vertical="center"/>
    </xf>
    <xf numFmtId="286" fontId="17" fillId="0" borderId="26" xfId="0" applyNumberFormat="1" applyFont="1" applyBorder="1" applyAlignment="1">
      <alignment vertical="center"/>
    </xf>
    <xf numFmtId="286" fontId="41" fillId="0" borderId="19" xfId="0" applyNumberFormat="1" applyFont="1" applyBorder="1" applyAlignment="1">
      <alignment vertical="center"/>
    </xf>
    <xf numFmtId="286" fontId="41" fillId="0" borderId="62" xfId="0" applyNumberFormat="1" applyFont="1" applyBorder="1" applyAlignment="1">
      <alignment vertical="center"/>
    </xf>
    <xf numFmtId="287" fontId="38" fillId="0" borderId="7" xfId="0" applyNumberFormat="1" applyFont="1" applyBorder="1" applyAlignment="1">
      <alignment horizontal="right" vertical="center"/>
    </xf>
    <xf numFmtId="287" fontId="38" fillId="0" borderId="2" xfId="0" applyNumberFormat="1" applyFont="1" applyBorder="1" applyAlignment="1">
      <alignment horizontal="right" vertical="center"/>
    </xf>
    <xf numFmtId="287" fontId="38" fillId="0" borderId="13" xfId="0" applyNumberFormat="1" applyFont="1" applyBorder="1" applyAlignment="1">
      <alignment horizontal="right" vertical="center"/>
    </xf>
    <xf numFmtId="287" fontId="38" fillId="0" borderId="43" xfId="0" applyNumberFormat="1" applyFont="1" applyBorder="1" applyAlignment="1">
      <alignment horizontal="right" vertical="center"/>
    </xf>
    <xf numFmtId="3" fontId="38" fillId="0" borderId="9" xfId="0" applyNumberFormat="1" applyFont="1" applyBorder="1" applyAlignment="1">
      <alignment horizontal="left" vertical="center" indent="1"/>
    </xf>
    <xf numFmtId="0" fontId="38" fillId="0" borderId="9" xfId="0" applyFont="1" applyBorder="1" applyAlignment="1">
      <alignment horizontal="right" vertical="center" indent="2"/>
    </xf>
    <xf numFmtId="0" fontId="38" fillId="0" borderId="16" xfId="0" applyFont="1" applyBorder="1" applyAlignment="1">
      <alignment horizontal="right" vertical="center" indent="2"/>
    </xf>
    <xf numFmtId="0" fontId="38" fillId="0" borderId="11" xfId="0" applyFont="1" applyBorder="1" applyAlignment="1">
      <alignment horizontal="center" vertical="center"/>
    </xf>
    <xf numFmtId="288" fontId="21" fillId="0" borderId="22" xfId="6" applyNumberFormat="1" applyFont="1" applyBorder="1" applyAlignment="1" applyProtection="1">
      <alignment vertical="center"/>
    </xf>
    <xf numFmtId="288" fontId="21" fillId="0" borderId="24" xfId="6" applyNumberFormat="1" applyFont="1" applyBorder="1" applyAlignment="1" applyProtection="1">
      <alignment vertical="center"/>
    </xf>
    <xf numFmtId="288" fontId="17" fillId="0" borderId="5" xfId="6" applyNumberFormat="1" applyFont="1" applyBorder="1" applyAlignment="1" applyProtection="1">
      <alignment vertical="center"/>
    </xf>
    <xf numFmtId="288" fontId="17" fillId="0" borderId="24" xfId="6" applyNumberFormat="1" applyFont="1" applyBorder="1" applyAlignment="1" applyProtection="1">
      <alignment vertical="center"/>
    </xf>
    <xf numFmtId="288" fontId="21" fillId="0" borderId="47" xfId="6" applyNumberFormat="1" applyFont="1" applyBorder="1" applyAlignment="1" applyProtection="1">
      <alignment vertical="center"/>
    </xf>
    <xf numFmtId="288" fontId="17" fillId="0" borderId="4" xfId="6" applyNumberFormat="1" applyFont="1" applyBorder="1" applyAlignment="1" applyProtection="1">
      <alignment vertical="center"/>
    </xf>
    <xf numFmtId="288" fontId="17" fillId="0" borderId="32" xfId="6" applyNumberFormat="1" applyFont="1" applyBorder="1" applyAlignment="1" applyProtection="1">
      <alignment vertical="center"/>
    </xf>
    <xf numFmtId="288" fontId="17" fillId="0" borderId="25" xfId="6" applyNumberFormat="1" applyFont="1" applyBorder="1" applyAlignment="1" applyProtection="1">
      <alignment vertical="center"/>
    </xf>
    <xf numFmtId="288" fontId="17" fillId="0" borderId="47" xfId="6" applyNumberFormat="1" applyFont="1" applyBorder="1" applyAlignment="1" applyProtection="1">
      <alignment vertical="center"/>
    </xf>
    <xf numFmtId="288" fontId="17" fillId="0" borderId="5" xfId="0" applyNumberFormat="1" applyFont="1" applyBorder="1" applyAlignment="1" applyProtection="1">
      <alignment vertical="center"/>
    </xf>
    <xf numFmtId="288" fontId="21" fillId="0" borderId="47" xfId="0" applyNumberFormat="1" applyFont="1" applyBorder="1" applyAlignment="1" applyProtection="1">
      <alignment vertical="center"/>
    </xf>
    <xf numFmtId="288" fontId="21" fillId="0" borderId="37" xfId="6" applyNumberFormat="1" applyFont="1" applyBorder="1" applyAlignment="1">
      <alignment horizontal="center" vertical="center"/>
    </xf>
    <xf numFmtId="288" fontId="21" fillId="0" borderId="36" xfId="6" applyNumberFormat="1" applyFont="1" applyBorder="1" applyAlignment="1">
      <alignment horizontal="center" vertical="center"/>
    </xf>
    <xf numFmtId="288" fontId="21" fillId="0" borderId="25" xfId="6" applyNumberFormat="1" applyFont="1" applyBorder="1" applyAlignment="1">
      <alignment horizontal="center" vertical="center"/>
    </xf>
    <xf numFmtId="288" fontId="21" fillId="0" borderId="34" xfId="6" applyNumberFormat="1" applyFont="1" applyBorder="1" applyAlignment="1">
      <alignment horizontal="center" vertical="center"/>
    </xf>
    <xf numFmtId="288" fontId="21" fillId="0" borderId="35" xfId="6" applyNumberFormat="1" applyFont="1" applyBorder="1" applyAlignment="1">
      <alignment horizontal="center" vertical="center"/>
    </xf>
    <xf numFmtId="288" fontId="21" fillId="0" borderId="4" xfId="6" applyNumberFormat="1" applyFont="1" applyBorder="1" applyAlignment="1">
      <alignment horizontal="center" vertical="center"/>
    </xf>
    <xf numFmtId="289" fontId="38" fillId="0" borderId="7" xfId="0" applyNumberFormat="1" applyFont="1" applyBorder="1" applyAlignment="1">
      <alignment horizontal="center" vertical="center"/>
    </xf>
    <xf numFmtId="289" fontId="38" fillId="0" borderId="2" xfId="0" applyNumberFormat="1" applyFont="1" applyBorder="1" applyAlignment="1">
      <alignment horizontal="center" vertical="center"/>
    </xf>
    <xf numFmtId="289" fontId="38" fillId="0" borderId="13" xfId="0" applyNumberFormat="1" applyFont="1" applyBorder="1" applyAlignment="1">
      <alignment horizontal="center" vertical="center"/>
    </xf>
    <xf numFmtId="289" fontId="38" fillId="0" borderId="43" xfId="0" applyNumberFormat="1" applyFont="1" applyBorder="1" applyAlignment="1">
      <alignment horizontal="center" vertical="center"/>
    </xf>
    <xf numFmtId="208" fontId="21" fillId="0" borderId="18" xfId="0" applyNumberFormat="1" applyFont="1" applyBorder="1" applyAlignment="1">
      <alignment horizontal="left" indent="1"/>
    </xf>
    <xf numFmtId="208" fontId="20" fillId="0" borderId="0" xfId="0" applyNumberFormat="1" applyFont="1"/>
    <xf numFmtId="0" fontId="17" fillId="0" borderId="10" xfId="0" applyFont="1" applyBorder="1" applyAlignment="1">
      <alignment horizontal="left" vertical="center" indent="1"/>
    </xf>
    <xf numFmtId="208" fontId="21" fillId="0" borderId="12" xfId="0" applyNumberFormat="1" applyFont="1" applyBorder="1" applyAlignment="1">
      <alignment horizontal="left" indent="1"/>
    </xf>
    <xf numFmtId="208" fontId="21" fillId="0" borderId="19" xfId="0" applyNumberFormat="1" applyFont="1" applyBorder="1" applyAlignment="1">
      <alignment horizontal="left" indent="1"/>
    </xf>
    <xf numFmtId="3" fontId="17" fillId="0" borderId="1" xfId="0" applyNumberFormat="1" applyFont="1" applyBorder="1" applyAlignment="1" applyProtection="1">
      <alignment horizontal="center" vertical="center" shrinkToFit="1"/>
    </xf>
    <xf numFmtId="181" fontId="21" fillId="2" borderId="21" xfId="6" applyNumberFormat="1" applyFont="1" applyFill="1" applyBorder="1" applyAlignment="1" applyProtection="1">
      <alignment horizontal="center" vertical="center"/>
      <protection locked="0"/>
    </xf>
    <xf numFmtId="181" fontId="21" fillId="2" borderId="22" xfId="6" applyNumberFormat="1" applyFont="1" applyFill="1" applyBorder="1" applyAlignment="1" applyProtection="1">
      <alignment horizontal="center" vertical="center"/>
      <protection locked="0"/>
    </xf>
    <xf numFmtId="181" fontId="21" fillId="0" borderId="20" xfId="6" applyNumberFormat="1" applyFont="1" applyFill="1" applyBorder="1" applyAlignment="1" applyProtection="1">
      <alignment horizontal="center" vertical="center"/>
    </xf>
    <xf numFmtId="181" fontId="21" fillId="0" borderId="48" xfId="6" applyNumberFormat="1" applyFont="1" applyFill="1" applyBorder="1" applyAlignment="1" applyProtection="1">
      <alignment horizontal="center" vertical="center"/>
    </xf>
    <xf numFmtId="181" fontId="21" fillId="2" borderId="3" xfId="6" applyNumberFormat="1" applyFont="1" applyFill="1" applyBorder="1" applyAlignment="1" applyProtection="1">
      <alignment horizontal="center" vertical="center"/>
      <protection locked="0"/>
    </xf>
    <xf numFmtId="181" fontId="21" fillId="2" borderId="5" xfId="6" applyNumberFormat="1" applyFont="1" applyFill="1" applyBorder="1" applyAlignment="1" applyProtection="1">
      <alignment horizontal="center" vertical="center"/>
      <protection locked="0"/>
    </xf>
    <xf numFmtId="181" fontId="21" fillId="0" borderId="86" xfId="6" applyNumberFormat="1" applyFont="1" applyFill="1" applyBorder="1" applyAlignment="1" applyProtection="1">
      <alignment horizontal="center" vertical="center"/>
    </xf>
    <xf numFmtId="181" fontId="21" fillId="2" borderId="84" xfId="6" applyNumberFormat="1" applyFont="1" applyFill="1" applyBorder="1" applyAlignment="1" applyProtection="1">
      <alignment horizontal="center" vertical="center"/>
      <protection locked="0"/>
    </xf>
    <xf numFmtId="181" fontId="21" fillId="2" borderId="87" xfId="6" applyNumberFormat="1" applyFont="1" applyFill="1" applyBorder="1" applyAlignment="1" applyProtection="1">
      <alignment horizontal="center" vertical="center"/>
      <protection locked="0"/>
    </xf>
    <xf numFmtId="286" fontId="23" fillId="0" borderId="20" xfId="0" applyNumberFormat="1" applyFont="1" applyBorder="1" applyProtection="1"/>
    <xf numFmtId="286" fontId="23" fillId="0" borderId="23" xfId="0" applyNumberFormat="1" applyFont="1" applyBorder="1" applyProtection="1"/>
    <xf numFmtId="286" fontId="23" fillId="0" borderId="34" xfId="0" applyNumberFormat="1" applyFont="1" applyBorder="1" applyProtection="1"/>
    <xf numFmtId="286" fontId="23" fillId="0" borderId="41" xfId="0" applyNumberFormat="1" applyFont="1" applyBorder="1" applyProtection="1"/>
    <xf numFmtId="286" fontId="23" fillId="0" borderId="51" xfId="0" applyNumberFormat="1" applyFont="1" applyBorder="1" applyProtection="1"/>
    <xf numFmtId="286" fontId="23" fillId="0" borderId="63" xfId="0" applyNumberFormat="1" applyFont="1" applyBorder="1" applyProtection="1"/>
    <xf numFmtId="286" fontId="23" fillId="0" borderId="61" xfId="0" applyNumberFormat="1" applyFont="1" applyBorder="1" applyProtection="1"/>
    <xf numFmtId="286" fontId="23" fillId="0" borderId="13" xfId="0" applyNumberFormat="1" applyFont="1" applyBorder="1" applyProtection="1"/>
    <xf numFmtId="286" fontId="23" fillId="0" borderId="62" xfId="0" applyNumberFormat="1" applyFont="1" applyBorder="1" applyProtection="1"/>
    <xf numFmtId="286" fontId="23" fillId="0" borderId="67" xfId="0" applyNumberFormat="1" applyFont="1" applyBorder="1" applyProtection="1"/>
    <xf numFmtId="286" fontId="23" fillId="0" borderId="45" xfId="0" applyNumberFormat="1" applyFont="1" applyBorder="1" applyProtection="1"/>
    <xf numFmtId="286" fontId="23" fillId="0" borderId="52" xfId="0" applyNumberFormat="1" applyFont="1" applyBorder="1" applyProtection="1"/>
    <xf numFmtId="286" fontId="23" fillId="0" borderId="18" xfId="0" applyNumberFormat="1" applyFont="1" applyBorder="1" applyProtection="1"/>
    <xf numFmtId="286" fontId="23" fillId="0" borderId="12" xfId="0" applyNumberFormat="1" applyFont="1" applyBorder="1" applyProtection="1"/>
    <xf numFmtId="286" fontId="23" fillId="0" borderId="38" xfId="0" applyNumberFormat="1" applyFont="1" applyBorder="1" applyProtection="1"/>
    <xf numFmtId="286" fontId="38" fillId="0" borderId="12" xfId="0" applyNumberFormat="1" applyFont="1" applyBorder="1"/>
    <xf numFmtId="286" fontId="38" fillId="0" borderId="13" xfId="0" applyNumberFormat="1" applyFont="1" applyBorder="1"/>
    <xf numFmtId="286" fontId="38" fillId="0" borderId="7" xfId="0" applyNumberFormat="1" applyFont="1" applyBorder="1"/>
    <xf numFmtId="286" fontId="38" fillId="0" borderId="98" xfId="0" applyNumberFormat="1" applyFont="1" applyBorder="1"/>
    <xf numFmtId="286" fontId="38" fillId="0" borderId="149" xfId="0" applyNumberFormat="1" applyFont="1" applyBorder="1"/>
    <xf numFmtId="286" fontId="38" fillId="0" borderId="150" xfId="0" applyNumberFormat="1" applyFont="1" applyBorder="1"/>
    <xf numFmtId="286" fontId="38" fillId="0" borderId="151" xfId="0" applyNumberFormat="1" applyFont="1" applyBorder="1"/>
    <xf numFmtId="286" fontId="38" fillId="0" borderId="152" xfId="0" applyNumberFormat="1" applyFont="1" applyBorder="1"/>
    <xf numFmtId="286" fontId="38" fillId="0" borderId="12" xfId="3" applyNumberFormat="1" applyFont="1" applyBorder="1"/>
    <xf numFmtId="286" fontId="38" fillId="0" borderId="7" xfId="3" applyNumberFormat="1" applyFont="1" applyBorder="1"/>
    <xf numFmtId="286" fontId="38" fillId="0" borderId="98" xfId="3" applyNumberFormat="1" applyFont="1" applyBorder="1"/>
    <xf numFmtId="286" fontId="38" fillId="0" borderId="13" xfId="3" applyNumberFormat="1" applyFont="1" applyBorder="1"/>
    <xf numFmtId="286" fontId="38" fillId="0" borderId="12" xfId="3" applyNumberFormat="1" applyFont="1" applyFill="1" applyBorder="1"/>
    <xf numFmtId="286" fontId="38" fillId="0" borderId="98" xfId="3" applyNumberFormat="1" applyFont="1" applyFill="1" applyBorder="1"/>
    <xf numFmtId="286" fontId="38" fillId="0" borderId="15" xfId="0" applyNumberFormat="1" applyFont="1" applyBorder="1"/>
    <xf numFmtId="286" fontId="38" fillId="0" borderId="77" xfId="0" applyNumberFormat="1" applyFont="1" applyBorder="1"/>
    <xf numFmtId="286" fontId="38" fillId="0" borderId="8" xfId="0" applyNumberFormat="1" applyFont="1" applyBorder="1"/>
    <xf numFmtId="286" fontId="38" fillId="0" borderId="153" xfId="0" applyNumberFormat="1" applyFont="1" applyBorder="1"/>
    <xf numFmtId="286" fontId="22" fillId="0" borderId="12" xfId="0" applyNumberFormat="1" applyFont="1" applyBorder="1"/>
    <xf numFmtId="286" fontId="22" fillId="0" borderId="13" xfId="0" applyNumberFormat="1" applyFont="1" applyBorder="1"/>
    <xf numFmtId="286" fontId="22" fillId="0" borderId="7" xfId="0" applyNumberFormat="1" applyFont="1" applyBorder="1"/>
    <xf numFmtId="286" fontId="22" fillId="0" borderId="98" xfId="0" applyNumberFormat="1" applyFont="1" applyBorder="1"/>
    <xf numFmtId="286" fontId="22" fillId="0" borderId="19" xfId="0" applyNumberFormat="1" applyFont="1" applyBorder="1"/>
    <xf numFmtId="286" fontId="22" fillId="0" borderId="62" xfId="0" applyNumberFormat="1" applyFont="1" applyBorder="1"/>
    <xf numFmtId="286" fontId="22" fillId="0" borderId="16" xfId="0" applyNumberFormat="1" applyFont="1" applyBorder="1"/>
    <xf numFmtId="286" fontId="22" fillId="0" borderId="154" xfId="0" applyNumberFormat="1" applyFont="1" applyBorder="1"/>
    <xf numFmtId="286" fontId="23" fillId="0" borderId="12" xfId="0" applyNumberFormat="1" applyFont="1" applyBorder="1"/>
    <xf numFmtId="286" fontId="23" fillId="0" borderId="13" xfId="0" applyNumberFormat="1" applyFont="1" applyBorder="1"/>
    <xf numFmtId="286" fontId="23" fillId="0" borderId="15" xfId="0" applyNumberFormat="1" applyFont="1" applyBorder="1"/>
    <xf numFmtId="286" fontId="23" fillId="0" borderId="77" xfId="0" applyNumberFormat="1" applyFont="1" applyBorder="1"/>
    <xf numFmtId="290" fontId="17" fillId="0" borderId="35" xfId="6" applyNumberFormat="1" applyFont="1" applyBorder="1" applyAlignment="1" applyProtection="1">
      <alignment vertical="center"/>
    </xf>
    <xf numFmtId="290" fontId="17" fillId="0" borderId="4" xfId="6" applyNumberFormat="1" applyFont="1" applyBorder="1" applyAlignment="1" applyProtection="1">
      <alignment vertical="center"/>
    </xf>
    <xf numFmtId="286" fontId="38" fillId="0" borderId="48" xfId="0" applyNumberFormat="1" applyFont="1" applyBorder="1" applyAlignment="1">
      <alignment vertical="center"/>
    </xf>
    <xf numFmtId="286" fontId="38" fillId="0" borderId="3" xfId="0" applyNumberFormat="1" applyFont="1" applyBorder="1" applyAlignment="1">
      <alignment vertical="center"/>
    </xf>
    <xf numFmtId="286" fontId="38" fillId="0" borderId="5" xfId="0" applyNumberFormat="1" applyFont="1" applyBorder="1" applyAlignment="1">
      <alignment vertical="center"/>
    </xf>
    <xf numFmtId="286" fontId="38" fillId="0" borderId="23" xfId="0" applyNumberFormat="1" applyFont="1" applyBorder="1" applyAlignment="1">
      <alignment vertical="center"/>
    </xf>
    <xf numFmtId="286" fontId="38" fillId="0" borderId="2" xfId="0" applyNumberFormat="1" applyFont="1" applyBorder="1" applyAlignment="1">
      <alignment vertical="center"/>
    </xf>
    <xf numFmtId="286" fontId="38" fillId="0" borderId="24" xfId="0" applyNumberFormat="1" applyFont="1" applyBorder="1" applyAlignment="1">
      <alignment vertical="center"/>
    </xf>
    <xf numFmtId="286" fontId="38" fillId="0" borderId="34" xfId="0" applyNumberFormat="1" applyFont="1" applyBorder="1" applyAlignment="1">
      <alignment vertical="center"/>
    </xf>
    <xf numFmtId="286" fontId="38" fillId="0" borderId="35" xfId="0" applyNumberFormat="1" applyFont="1" applyBorder="1" applyAlignment="1">
      <alignment vertical="center"/>
    </xf>
    <xf numFmtId="286" fontId="38" fillId="0" borderId="4" xfId="0" applyNumberFormat="1" applyFont="1" applyBorder="1" applyAlignment="1">
      <alignment vertical="center"/>
    </xf>
    <xf numFmtId="287" fontId="38" fillId="0" borderId="20" xfId="0" applyNumberFormat="1" applyFont="1" applyBorder="1" applyAlignment="1">
      <alignment vertical="center"/>
    </xf>
    <xf numFmtId="287" fontId="38" fillId="0" borderId="23" xfId="0" applyNumberFormat="1" applyFont="1" applyBorder="1" applyAlignment="1">
      <alignment vertical="center"/>
    </xf>
    <xf numFmtId="287" fontId="38" fillId="0" borderId="34" xfId="0" applyNumberFormat="1" applyFont="1" applyBorder="1" applyAlignment="1">
      <alignment vertical="center"/>
    </xf>
    <xf numFmtId="286" fontId="21" fillId="0" borderId="2" xfId="0" applyNumberFormat="1" applyFont="1" applyBorder="1"/>
    <xf numFmtId="286" fontId="21" fillId="0" borderId="24" xfId="0" applyNumberFormat="1" applyFont="1" applyBorder="1"/>
    <xf numFmtId="220" fontId="35" fillId="0" borderId="0" xfId="0" applyNumberFormat="1" applyFont="1" applyAlignment="1" applyProtection="1">
      <alignment horizontal="left"/>
    </xf>
    <xf numFmtId="208" fontId="48" fillId="0" borderId="0" xfId="4" applyNumberFormat="1" applyFont="1" applyFill="1" applyBorder="1" applyAlignment="1" applyProtection="1">
      <alignment horizontal="center" vertical="center"/>
    </xf>
    <xf numFmtId="208" fontId="48" fillId="0" borderId="10" xfId="4" applyNumberFormat="1" applyFont="1" applyFill="1" applyBorder="1" applyAlignment="1" applyProtection="1">
      <alignment horizontal="center" vertical="center"/>
    </xf>
    <xf numFmtId="208" fontId="48" fillId="0" borderId="14" xfId="4" applyNumberFormat="1" applyFont="1" applyFill="1" applyBorder="1" applyAlignment="1" applyProtection="1">
      <alignment horizontal="center" vertical="center"/>
    </xf>
    <xf numFmtId="208" fontId="44" fillId="0" borderId="9" xfId="0" applyNumberFormat="1" applyFont="1" applyBorder="1" applyAlignment="1">
      <alignment horizontal="center" vertical="center"/>
    </xf>
    <xf numFmtId="208" fontId="44" fillId="0" borderId="11" xfId="0" applyNumberFormat="1" applyFont="1" applyBorder="1" applyAlignment="1">
      <alignment horizontal="center" vertical="center"/>
    </xf>
    <xf numFmtId="208" fontId="44" fillId="0" borderId="6" xfId="0" applyNumberFormat="1" applyFont="1" applyBorder="1" applyAlignment="1">
      <alignment horizontal="center" vertical="center"/>
    </xf>
    <xf numFmtId="208" fontId="44" fillId="0" borderId="1" xfId="0" applyNumberFormat="1" applyFont="1" applyBorder="1" applyAlignment="1">
      <alignment horizontal="center" vertical="center"/>
    </xf>
    <xf numFmtId="210" fontId="35" fillId="0" borderId="0" xfId="0" applyNumberFormat="1" applyFont="1" applyAlignment="1">
      <alignment horizontal="right" indent="1"/>
    </xf>
    <xf numFmtId="208" fontId="22" fillId="2" borderId="36" xfId="0" applyNumberFormat="1" applyFont="1" applyFill="1" applyBorder="1" applyAlignment="1">
      <alignment horizontal="centerContinuous" vertical="center"/>
    </xf>
    <xf numFmtId="208" fontId="22" fillId="2" borderId="6" xfId="0" applyNumberFormat="1" applyFont="1" applyFill="1" applyBorder="1" applyAlignment="1">
      <alignment horizontal="centerContinuous" vertical="center"/>
    </xf>
    <xf numFmtId="208" fontId="22" fillId="2" borderId="1" xfId="0" applyNumberFormat="1" applyFont="1" applyFill="1" applyBorder="1" applyAlignment="1">
      <alignment horizontal="centerContinuous" vertical="center"/>
    </xf>
    <xf numFmtId="0" fontId="34" fillId="0" borderId="37" xfId="0" applyFont="1" applyBorder="1" applyAlignment="1">
      <alignment horizontal="center" vertical="center"/>
    </xf>
    <xf numFmtId="0" fontId="34" fillId="0" borderId="36" xfId="0" applyFont="1" applyBorder="1" applyAlignment="1">
      <alignment horizontal="center" vertical="center"/>
    </xf>
    <xf numFmtId="0" fontId="34" fillId="0" borderId="25" xfId="0" applyFont="1" applyBorder="1" applyAlignment="1">
      <alignment horizontal="center" vertical="center"/>
    </xf>
    <xf numFmtId="208" fontId="23" fillId="0" borderId="12" xfId="0" applyNumberFormat="1" applyFont="1" applyBorder="1" applyAlignment="1">
      <alignment horizontal="center" vertical="center"/>
    </xf>
    <xf numFmtId="208" fontId="23" fillId="0" borderId="19" xfId="0" applyNumberFormat="1" applyFont="1" applyBorder="1" applyAlignment="1">
      <alignment horizontal="center" vertical="center"/>
    </xf>
    <xf numFmtId="0" fontId="38" fillId="0" borderId="18" xfId="0" applyFont="1" applyBorder="1" applyAlignment="1">
      <alignment horizontal="right" indent="1"/>
    </xf>
    <xf numFmtId="1" fontId="0" fillId="0" borderId="0" xfId="0" applyNumberFormat="1" applyAlignment="1">
      <alignment horizontal="right" vertical="center" indent="1"/>
    </xf>
    <xf numFmtId="210" fontId="35" fillId="0" borderId="0" xfId="0" applyNumberFormat="1" applyFont="1" applyAlignment="1">
      <alignment horizontal="left"/>
    </xf>
    <xf numFmtId="1" fontId="26" fillId="0" borderId="0" xfId="0" applyNumberFormat="1" applyFont="1" applyAlignment="1" applyProtection="1">
      <alignment horizontal="left" vertical="center"/>
    </xf>
    <xf numFmtId="210" fontId="26" fillId="0" borderId="0" xfId="0" applyNumberFormat="1" applyFont="1" applyAlignment="1">
      <alignment horizontal="center"/>
    </xf>
    <xf numFmtId="3" fontId="22" fillId="0" borderId="39" xfId="0" applyNumberFormat="1" applyFont="1" applyBorder="1" applyAlignment="1">
      <alignment horizontal="center" vertical="center" wrapText="1"/>
    </xf>
    <xf numFmtId="3" fontId="22" fillId="0" borderId="36" xfId="0" applyNumberFormat="1" applyFont="1" applyBorder="1" applyAlignment="1">
      <alignment horizontal="center" vertical="center" wrapText="1"/>
    </xf>
    <xf numFmtId="3" fontId="22" fillId="0" borderId="25" xfId="0" applyNumberFormat="1" applyFont="1" applyBorder="1" applyAlignment="1">
      <alignment horizontal="center" vertical="center" wrapText="1"/>
    </xf>
    <xf numFmtId="3" fontId="22" fillId="0" borderId="39" xfId="0" applyNumberFormat="1" applyFont="1" applyBorder="1" applyAlignment="1">
      <alignment horizontal="center" vertical="center" wrapText="1" shrinkToFit="1"/>
    </xf>
    <xf numFmtId="3" fontId="22" fillId="0" borderId="36" xfId="0" applyNumberFormat="1" applyFont="1" applyBorder="1" applyAlignment="1">
      <alignment horizontal="center" vertical="center" wrapText="1" shrinkToFit="1"/>
    </xf>
    <xf numFmtId="3" fontId="22" fillId="0" borderId="25" xfId="0" applyNumberFormat="1" applyFont="1" applyBorder="1" applyAlignment="1">
      <alignment horizontal="center" vertical="center" wrapText="1" shrinkToFit="1"/>
    </xf>
    <xf numFmtId="220" fontId="35" fillId="0" borderId="0" xfId="0" applyNumberFormat="1" applyFont="1" applyAlignment="1" applyProtection="1">
      <alignment horizontal="left" vertical="center"/>
    </xf>
    <xf numFmtId="1" fontId="14" fillId="0" borderId="0" xfId="0" applyNumberFormat="1" applyFont="1" applyAlignment="1">
      <alignment horizontal="center"/>
    </xf>
    <xf numFmtId="210" fontId="35" fillId="0" borderId="0" xfId="0" applyNumberFormat="1" applyFont="1" applyAlignment="1" applyProtection="1">
      <alignment horizontal="left"/>
    </xf>
    <xf numFmtId="208" fontId="20" fillId="0" borderId="49" xfId="0" applyNumberFormat="1" applyFont="1" applyBorder="1" applyAlignment="1">
      <alignment horizontal="center" shrinkToFit="1"/>
    </xf>
    <xf numFmtId="208" fontId="20" fillId="0" borderId="18" xfId="0" applyNumberFormat="1" applyFont="1" applyBorder="1" applyAlignment="1">
      <alignment horizontal="center" shrinkToFit="1"/>
    </xf>
    <xf numFmtId="3" fontId="44" fillId="0" borderId="1" xfId="0" applyNumberFormat="1" applyFont="1" applyBorder="1" applyAlignment="1" applyProtection="1">
      <alignment horizontal="center" vertical="center"/>
    </xf>
    <xf numFmtId="3" fontId="44" fillId="0" borderId="11" xfId="0" applyNumberFormat="1" applyFont="1" applyBorder="1" applyAlignment="1" applyProtection="1">
      <alignment horizontal="center" vertical="center"/>
    </xf>
    <xf numFmtId="3" fontId="34" fillId="0" borderId="11" xfId="0" applyNumberFormat="1" applyFont="1" applyBorder="1" applyAlignment="1" applyProtection="1">
      <alignment horizontal="center" vertical="center" wrapText="1"/>
    </xf>
    <xf numFmtId="226" fontId="34" fillId="0" borderId="17" xfId="0" applyNumberFormat="1" applyFont="1" applyBorder="1" applyAlignment="1" applyProtection="1">
      <alignment vertical="center"/>
    </xf>
    <xf numFmtId="206" fontId="34" fillId="0" borderId="11" xfId="0" applyNumberFormat="1" applyFont="1" applyBorder="1" applyAlignment="1" applyProtection="1">
      <alignment vertical="center"/>
    </xf>
    <xf numFmtId="206" fontId="34" fillId="0" borderId="17" xfId="0" applyNumberFormat="1" applyFont="1" applyBorder="1" applyAlignment="1" applyProtection="1">
      <alignment vertical="center"/>
    </xf>
    <xf numFmtId="0" fontId="22" fillId="0" borderId="56" xfId="0" applyFont="1" applyBorder="1" applyAlignment="1">
      <alignment horizontal="center" vertical="center" wrapText="1"/>
    </xf>
    <xf numFmtId="208" fontId="17" fillId="0" borderId="28" xfId="0" applyNumberFormat="1" applyFont="1" applyBorder="1" applyAlignment="1">
      <alignment horizontal="center" wrapText="1"/>
    </xf>
    <xf numFmtId="208" fontId="17" fillId="0" borderId="145" xfId="0" applyNumberFormat="1" applyFont="1" applyBorder="1" applyAlignment="1">
      <alignment horizontal="center" wrapText="1"/>
    </xf>
    <xf numFmtId="208" fontId="17" fillId="0" borderId="40" xfId="0" applyNumberFormat="1" applyFont="1" applyBorder="1" applyAlignment="1">
      <alignment horizontal="center" wrapText="1"/>
    </xf>
    <xf numFmtId="0" fontId="20" fillId="0" borderId="11" xfId="0" applyFont="1" applyBorder="1" applyAlignment="1">
      <alignment horizontal="center" wrapText="1"/>
    </xf>
    <xf numFmtId="0" fontId="17" fillId="0" borderId="11" xfId="0" applyFont="1" applyBorder="1" applyAlignment="1">
      <alignment horizontal="center" vertical="center" wrapText="1"/>
    </xf>
    <xf numFmtId="0" fontId="27" fillId="0" borderId="0" xfId="0" applyFont="1" applyAlignment="1" applyProtection="1">
      <alignment horizontal="center" vertical="center"/>
    </xf>
    <xf numFmtId="210" fontId="14" fillId="0" borderId="0" xfId="0" applyNumberFormat="1" applyFont="1" applyAlignment="1" applyProtection="1">
      <alignment horizontal="left" vertical="center" indent="1"/>
    </xf>
    <xf numFmtId="1" fontId="17" fillId="0" borderId="35" xfId="0" applyNumberFormat="1" applyFont="1" applyBorder="1" applyAlignment="1">
      <alignment horizontal="center" vertical="center"/>
    </xf>
    <xf numFmtId="1" fontId="17" fillId="0" borderId="60" xfId="0" applyNumberFormat="1" applyFont="1" applyBorder="1" applyAlignment="1">
      <alignment horizontal="center" vertical="center"/>
    </xf>
    <xf numFmtId="1" fontId="17" fillId="0" borderId="44" xfId="0" applyNumberFormat="1" applyFont="1" applyBorder="1" applyAlignment="1">
      <alignment horizontal="center" vertical="center"/>
    </xf>
    <xf numFmtId="1" fontId="14" fillId="2" borderId="11" xfId="0" applyNumberFormat="1" applyFont="1" applyFill="1" applyBorder="1" applyAlignment="1" applyProtection="1">
      <alignment horizontal="center" vertical="center"/>
      <protection locked="0"/>
    </xf>
    <xf numFmtId="0" fontId="14" fillId="2" borderId="9" xfId="0" applyFont="1" applyFill="1" applyBorder="1" applyAlignment="1" applyProtection="1">
      <alignment horizontal="center" vertical="center"/>
      <protection locked="0"/>
    </xf>
    <xf numFmtId="292" fontId="21" fillId="0" borderId="2" xfId="0" applyNumberFormat="1" applyFont="1" applyBorder="1"/>
    <xf numFmtId="0" fontId="112" fillId="0" borderId="0" xfId="0" applyFont="1" applyAlignment="1">
      <alignment horizontal="center" vertical="center"/>
    </xf>
    <xf numFmtId="0" fontId="111" fillId="0" borderId="0" xfId="0" applyFont="1" applyAlignment="1" applyProtection="1">
      <alignment horizontal="left" indent="1"/>
    </xf>
    <xf numFmtId="3" fontId="17" fillId="0" borderId="11" xfId="0" applyNumberFormat="1" applyFont="1" applyBorder="1" applyAlignment="1">
      <alignment horizontal="centerContinuous" vertical="center" wrapText="1"/>
    </xf>
    <xf numFmtId="3" fontId="17" fillId="0" borderId="30" xfId="0" applyNumberFormat="1" applyFont="1" applyBorder="1" applyAlignment="1">
      <alignment horizontal="centerContinuous" vertical="center"/>
    </xf>
    <xf numFmtId="3" fontId="38" fillId="0" borderId="18" xfId="0" applyNumberFormat="1" applyFont="1" applyBorder="1" applyAlignment="1">
      <alignment horizontal="left" indent="1"/>
    </xf>
    <xf numFmtId="286" fontId="38" fillId="0" borderId="20" xfId="0" applyNumberFormat="1" applyFont="1" applyBorder="1" applyProtection="1"/>
    <xf numFmtId="196" fontId="38" fillId="0" borderId="22" xfId="6" applyNumberFormat="1" applyFont="1" applyFill="1" applyBorder="1" applyProtection="1"/>
    <xf numFmtId="286" fontId="38" fillId="0" borderId="41" xfId="0" applyNumberFormat="1" applyFont="1" applyBorder="1" applyProtection="1"/>
    <xf numFmtId="286" fontId="38" fillId="0" borderId="61" xfId="0" applyNumberFormat="1" applyFont="1" applyBorder="1" applyProtection="1"/>
    <xf numFmtId="286" fontId="38" fillId="0" borderId="23" xfId="0" applyNumberFormat="1" applyFont="1" applyBorder="1" applyProtection="1"/>
    <xf numFmtId="196" fontId="38" fillId="0" borderId="24" xfId="6" applyNumberFormat="1" applyFont="1" applyFill="1" applyBorder="1" applyProtection="1"/>
    <xf numFmtId="286" fontId="38" fillId="0" borderId="51" xfId="0" applyNumberFormat="1" applyFont="1" applyBorder="1" applyProtection="1"/>
    <xf numFmtId="286" fontId="38" fillId="0" borderId="13" xfId="0" applyNumberFormat="1" applyFont="1" applyBorder="1" applyProtection="1"/>
    <xf numFmtId="3" fontId="38" fillId="0" borderId="19" xfId="0" applyNumberFormat="1" applyFont="1" applyBorder="1" applyAlignment="1">
      <alignment horizontal="left" indent="1"/>
    </xf>
    <xf numFmtId="286" fontId="38" fillId="0" borderId="34" xfId="0" applyNumberFormat="1" applyFont="1" applyBorder="1" applyProtection="1"/>
    <xf numFmtId="196" fontId="38" fillId="0" borderId="4" xfId="6" applyNumberFormat="1" applyFont="1" applyFill="1" applyBorder="1" applyProtection="1"/>
    <xf numFmtId="286" fontId="38" fillId="0" borderId="63" xfId="0" applyNumberFormat="1" applyFont="1" applyBorder="1" applyProtection="1"/>
    <xf numFmtId="286" fontId="38" fillId="0" borderId="62" xfId="0" applyNumberFormat="1" applyFont="1" applyBorder="1" applyProtection="1"/>
    <xf numFmtId="286" fontId="38" fillId="0" borderId="18" xfId="0" applyNumberFormat="1" applyFont="1" applyBorder="1" applyProtection="1"/>
    <xf numFmtId="286" fontId="38" fillId="0" borderId="12" xfId="0" applyNumberFormat="1" applyFont="1" applyBorder="1" applyProtection="1"/>
    <xf numFmtId="3" fontId="38" fillId="0" borderId="38" xfId="0" applyNumberFormat="1" applyFont="1" applyBorder="1" applyAlignment="1">
      <alignment horizontal="left" indent="1"/>
    </xf>
    <xf numFmtId="286" fontId="38" fillId="0" borderId="38" xfId="0" applyNumberFormat="1" applyFont="1" applyBorder="1" applyProtection="1"/>
    <xf numFmtId="286" fontId="38" fillId="0" borderId="45" xfId="0" applyNumberFormat="1" applyFont="1" applyBorder="1" applyProtection="1"/>
    <xf numFmtId="286" fontId="38" fillId="0" borderId="52" xfId="0" applyNumberFormat="1" applyFont="1" applyBorder="1" applyProtection="1"/>
    <xf numFmtId="286" fontId="38" fillId="0" borderId="67" xfId="0" applyNumberFormat="1" applyFont="1" applyBorder="1" applyProtection="1"/>
    <xf numFmtId="0" fontId="20" fillId="17" borderId="0" xfId="0" applyFont="1" applyFill="1" applyAlignment="1">
      <alignment horizontal="left" indent="2"/>
    </xf>
    <xf numFmtId="0" fontId="0" fillId="17" borderId="0" xfId="0" applyFill="1"/>
    <xf numFmtId="3" fontId="38" fillId="17" borderId="27" xfId="0" applyNumberFormat="1" applyFont="1" applyFill="1" applyBorder="1" applyAlignment="1">
      <alignment horizontal="centerContinuous" vertical="center"/>
    </xf>
    <xf numFmtId="3" fontId="38" fillId="17" borderId="40" xfId="0" applyNumberFormat="1" applyFont="1" applyFill="1" applyBorder="1" applyAlignment="1">
      <alignment horizontal="centerContinuous" vertical="center"/>
    </xf>
    <xf numFmtId="3" fontId="38" fillId="17" borderId="66" xfId="0" applyNumberFormat="1" applyFont="1" applyFill="1" applyBorder="1" applyAlignment="1">
      <alignment horizontal="centerContinuous" vertical="center"/>
    </xf>
    <xf numFmtId="3" fontId="38" fillId="17" borderId="26" xfId="0" applyNumberFormat="1" applyFont="1" applyFill="1" applyBorder="1" applyAlignment="1">
      <alignment horizontal="centerContinuous" vertical="center"/>
    </xf>
    <xf numFmtId="3" fontId="38" fillId="17" borderId="29" xfId="0" applyNumberFormat="1" applyFont="1" applyFill="1" applyBorder="1" applyAlignment="1">
      <alignment horizontal="centerContinuous" vertical="center"/>
    </xf>
    <xf numFmtId="286" fontId="22" fillId="0" borderId="30" xfId="0" applyNumberFormat="1" applyFont="1" applyBorder="1" applyAlignment="1">
      <alignment vertical="center"/>
    </xf>
    <xf numFmtId="286" fontId="22" fillId="0" borderId="26" xfId="0" applyNumberFormat="1" applyFont="1" applyBorder="1" applyAlignment="1">
      <alignment vertical="center"/>
    </xf>
    <xf numFmtId="0" fontId="38" fillId="0" borderId="40" xfId="0" applyFont="1" applyBorder="1" applyAlignment="1">
      <alignment vertical="center"/>
    </xf>
    <xf numFmtId="0" fontId="87" fillId="0" borderId="0" xfId="0" applyFont="1"/>
    <xf numFmtId="286" fontId="79" fillId="0" borderId="19" xfId="0" applyNumberFormat="1" applyFont="1" applyBorder="1" applyAlignment="1">
      <alignment vertical="center"/>
    </xf>
    <xf numFmtId="286" fontId="79" fillId="0" borderId="62" xfId="0" applyNumberFormat="1" applyFont="1" applyBorder="1" applyAlignment="1">
      <alignment vertical="center"/>
    </xf>
    <xf numFmtId="0" fontId="38" fillId="0" borderId="44" xfId="0" applyFont="1" applyBorder="1" applyAlignment="1">
      <alignment vertical="center"/>
    </xf>
    <xf numFmtId="209" fontId="20" fillId="0" borderId="30" xfId="0" applyNumberFormat="1" applyFont="1" applyBorder="1" applyAlignment="1">
      <alignment horizontal="center" wrapText="1"/>
    </xf>
    <xf numFmtId="0" fontId="87" fillId="0" borderId="11" xfId="0" applyFont="1" applyBorder="1"/>
    <xf numFmtId="0" fontId="87" fillId="0" borderId="1" xfId="0" applyFont="1" applyBorder="1"/>
    <xf numFmtId="0" fontId="23" fillId="0" borderId="62" xfId="0" applyFont="1" applyBorder="1" applyAlignment="1">
      <alignment horizontal="right" vertical="center" indent="1"/>
    </xf>
    <xf numFmtId="0" fontId="20" fillId="0" borderId="26" xfId="0" applyFont="1" applyBorder="1" applyAlignment="1">
      <alignment horizontal="left" vertical="center" indent="1"/>
    </xf>
    <xf numFmtId="0" fontId="67" fillId="0" borderId="62" xfId="0" applyFont="1" applyBorder="1" applyAlignment="1">
      <alignment horizontal="left" vertical="center" indent="1"/>
    </xf>
    <xf numFmtId="0" fontId="88" fillId="0" borderId="9" xfId="0" applyFont="1" applyBorder="1"/>
    <xf numFmtId="0" fontId="20" fillId="0" borderId="26" xfId="0" applyFont="1" applyBorder="1" applyAlignment="1">
      <alignment horizontal="center" vertical="center"/>
    </xf>
    <xf numFmtId="0" fontId="67" fillId="0" borderId="9" xfId="0" applyFont="1" applyBorder="1" applyAlignment="1">
      <alignment horizontal="center"/>
    </xf>
    <xf numFmtId="200" fontId="67" fillId="0" borderId="11" xfId="0" applyNumberFormat="1" applyFont="1" applyBorder="1"/>
    <xf numFmtId="200" fontId="67" fillId="0" borderId="6" xfId="0" applyNumberFormat="1" applyFont="1" applyBorder="1"/>
    <xf numFmtId="3" fontId="46" fillId="0" borderId="0" xfId="0" applyNumberFormat="1" applyFont="1"/>
    <xf numFmtId="0" fontId="17" fillId="0" borderId="0" xfId="0" applyFont="1" applyAlignment="1">
      <alignment horizontal="left" indent="3"/>
    </xf>
    <xf numFmtId="216" fontId="23" fillId="15" borderId="12" xfId="0" applyNumberFormat="1" applyFont="1" applyFill="1" applyBorder="1" applyAlignment="1" applyProtection="1">
      <alignment vertical="center"/>
      <protection locked="0"/>
    </xf>
    <xf numFmtId="286" fontId="20" fillId="2" borderId="37" xfId="6" applyNumberFormat="1" applyFont="1" applyFill="1" applyBorder="1" applyAlignment="1" applyProtection="1">
      <alignment horizontal="center" vertical="center"/>
    </xf>
    <xf numFmtId="286" fontId="20" fillId="2" borderId="36" xfId="6" applyNumberFormat="1" applyFont="1" applyFill="1" applyBorder="1" applyAlignment="1" applyProtection="1">
      <alignment horizontal="center" vertical="center"/>
    </xf>
    <xf numFmtId="286" fontId="20" fillId="2" borderId="25" xfId="6" applyNumberFormat="1" applyFont="1" applyFill="1" applyBorder="1" applyAlignment="1" applyProtection="1">
      <alignment horizontal="center" vertical="center"/>
    </xf>
    <xf numFmtId="208" fontId="20" fillId="0" borderId="9" xfId="0" applyNumberFormat="1" applyFont="1" applyBorder="1" applyAlignment="1">
      <alignment horizontal="center" wrapText="1"/>
    </xf>
    <xf numFmtId="216" fontId="23" fillId="0" borderId="7" xfId="0" applyNumberFormat="1" applyFont="1" applyBorder="1" applyAlignment="1" applyProtection="1">
      <alignment vertical="center"/>
      <protection locked="0"/>
    </xf>
    <xf numFmtId="286" fontId="20" fillId="2" borderId="9" xfId="6" applyNumberFormat="1" applyFont="1" applyFill="1" applyBorder="1" applyAlignment="1" applyProtection="1">
      <alignment horizontal="center" vertical="center"/>
    </xf>
    <xf numFmtId="293" fontId="38" fillId="3" borderId="15" xfId="0" applyNumberFormat="1" applyFont="1" applyFill="1" applyBorder="1" applyAlignment="1" applyProtection="1">
      <alignment horizontal="center" vertical="center"/>
      <protection locked="0"/>
    </xf>
    <xf numFmtId="293" fontId="38" fillId="3" borderId="17" xfId="0" applyNumberFormat="1" applyFont="1" applyFill="1" applyBorder="1" applyAlignment="1" applyProtection="1">
      <alignment horizontal="center" vertical="center"/>
      <protection locked="0"/>
    </xf>
    <xf numFmtId="293" fontId="38" fillId="3" borderId="18" xfId="0" applyNumberFormat="1" applyFont="1" applyFill="1" applyBorder="1" applyAlignment="1" applyProtection="1">
      <alignment horizontal="center" vertical="center"/>
      <protection locked="0"/>
    </xf>
    <xf numFmtId="3" fontId="23" fillId="0" borderId="0" xfId="0" applyNumberFormat="1" applyFont="1" applyAlignment="1">
      <alignment horizontal="left"/>
    </xf>
    <xf numFmtId="3" fontId="20" fillId="0" borderId="18" xfId="0" applyNumberFormat="1" applyFont="1" applyBorder="1" applyAlignment="1">
      <alignment horizontal="left" vertical="center" indent="1"/>
    </xf>
    <xf numFmtId="3" fontId="20" fillId="0" borderId="12" xfId="0" applyNumberFormat="1" applyFont="1" applyBorder="1" applyAlignment="1">
      <alignment horizontal="left" vertical="center" indent="1"/>
    </xf>
    <xf numFmtId="3" fontId="20" fillId="0" borderId="19" xfId="0" applyNumberFormat="1" applyFont="1" applyBorder="1" applyAlignment="1">
      <alignment horizontal="left" vertical="center" indent="1"/>
    </xf>
    <xf numFmtId="3" fontId="21" fillId="0" borderId="8" xfId="0" applyNumberFormat="1" applyFont="1" applyBorder="1" applyAlignment="1" applyProtection="1">
      <alignment horizontal="left" vertical="center" indent="3"/>
    </xf>
    <xf numFmtId="288" fontId="21" fillId="0" borderId="5" xfId="6" applyNumberFormat="1" applyFont="1" applyBorder="1" applyAlignment="1" applyProtection="1">
      <alignment vertical="center"/>
    </xf>
    <xf numFmtId="190" fontId="21" fillId="0" borderId="54" xfId="0" applyNumberFormat="1" applyFont="1" applyBorder="1" applyAlignment="1" applyProtection="1">
      <alignment vertical="center"/>
    </xf>
    <xf numFmtId="189" fontId="21" fillId="0" borderId="55" xfId="0" applyNumberFormat="1" applyFont="1" applyBorder="1" applyAlignment="1" applyProtection="1">
      <alignment vertical="center"/>
    </xf>
    <xf numFmtId="189" fontId="21" fillId="0" borderId="77" xfId="0" applyNumberFormat="1" applyFont="1" applyBorder="1" applyAlignment="1" applyProtection="1">
      <alignment vertical="center"/>
    </xf>
    <xf numFmtId="189" fontId="21" fillId="0" borderId="78" xfId="0" applyNumberFormat="1" applyFont="1" applyBorder="1" applyAlignment="1" applyProtection="1">
      <alignment vertical="center"/>
    </xf>
    <xf numFmtId="3" fontId="22" fillId="0" borderId="19" xfId="0" applyNumberFormat="1" applyFont="1" applyBorder="1" applyAlignment="1" applyProtection="1">
      <alignment horizontal="center" vertical="center"/>
    </xf>
    <xf numFmtId="3" fontId="44" fillId="0" borderId="19" xfId="0" applyNumberFormat="1" applyFont="1" applyBorder="1" applyAlignment="1" applyProtection="1">
      <alignment horizontal="center" vertical="center"/>
    </xf>
    <xf numFmtId="0" fontId="22" fillId="0" borderId="11" xfId="0" applyFont="1" applyBorder="1" applyAlignment="1" applyProtection="1">
      <alignment horizontal="center"/>
    </xf>
    <xf numFmtId="0" fontId="20" fillId="0" borderId="18" xfId="0" applyFont="1" applyBorder="1" applyAlignment="1" applyProtection="1">
      <alignment horizontal="center"/>
    </xf>
    <xf numFmtId="0" fontId="23" fillId="0" borderId="15" xfId="0" applyFont="1" applyBorder="1" applyAlignment="1" applyProtection="1">
      <alignment horizontal="left" indent="1"/>
    </xf>
    <xf numFmtId="0" fontId="20" fillId="0" borderId="17" xfId="0" applyFont="1" applyBorder="1" applyAlignment="1" applyProtection="1">
      <alignment horizontal="center"/>
    </xf>
    <xf numFmtId="0" fontId="17" fillId="0" borderId="14" xfId="0" applyFont="1" applyBorder="1" applyProtection="1"/>
    <xf numFmtId="3" fontId="23" fillId="0" borderId="10" xfId="0" applyNumberFormat="1" applyFont="1" applyBorder="1" applyAlignment="1" applyProtection="1">
      <alignment horizontal="left" indent="1"/>
    </xf>
    <xf numFmtId="3" fontId="20" fillId="0" borderId="9" xfId="0" applyNumberFormat="1" applyFont="1" applyBorder="1" applyAlignment="1">
      <alignment horizontal="center" vertical="center"/>
    </xf>
    <xf numFmtId="3" fontId="20" fillId="0" borderId="9" xfId="0" applyNumberFormat="1" applyFont="1" applyBorder="1" applyAlignment="1">
      <alignment horizontal="right" vertical="center" indent="1"/>
    </xf>
    <xf numFmtId="0" fontId="38" fillId="0" borderId="18" xfId="0" applyFont="1" applyBorder="1" applyAlignment="1">
      <alignment horizontal="right" vertical="center" indent="1"/>
    </xf>
    <xf numFmtId="0" fontId="38" fillId="0" borderId="12" xfId="0" applyFont="1" applyBorder="1" applyAlignment="1">
      <alignment horizontal="right" vertical="center" indent="1"/>
    </xf>
    <xf numFmtId="0" fontId="38" fillId="0" borderId="19" xfId="0" applyFont="1" applyBorder="1" applyAlignment="1">
      <alignment horizontal="right" vertical="center" indent="1"/>
    </xf>
    <xf numFmtId="0" fontId="38" fillId="0" borderId="18" xfId="0" applyFont="1" applyBorder="1" applyAlignment="1">
      <alignment horizontal="right" vertical="center" indent="2"/>
    </xf>
    <xf numFmtId="0" fontId="38" fillId="0" borderId="12" xfId="0" applyFont="1" applyBorder="1" applyAlignment="1">
      <alignment horizontal="right" vertical="center" indent="2"/>
    </xf>
    <xf numFmtId="0" fontId="38" fillId="0" borderId="19" xfId="0" applyFont="1" applyBorder="1" applyAlignment="1">
      <alignment horizontal="right" vertical="center" indent="2"/>
    </xf>
    <xf numFmtId="3" fontId="14" fillId="0" borderId="10" xfId="0" applyNumberFormat="1" applyFont="1" applyBorder="1" applyAlignment="1">
      <alignment horizontal="left" indent="1"/>
    </xf>
    <xf numFmtId="3" fontId="14" fillId="0" borderId="64" xfId="0" applyNumberFormat="1" applyFont="1" applyBorder="1"/>
    <xf numFmtId="3" fontId="17" fillId="0" borderId="10" xfId="0" applyNumberFormat="1" applyFont="1" applyBorder="1" applyAlignment="1">
      <alignment horizontal="left" indent="1"/>
    </xf>
    <xf numFmtId="3" fontId="14" fillId="0" borderId="64" xfId="0" applyNumberFormat="1" applyFont="1" applyBorder="1" applyAlignment="1">
      <alignment horizontal="right"/>
    </xf>
    <xf numFmtId="0" fontId="35" fillId="0" borderId="9" xfId="0" applyFont="1" applyBorder="1" applyAlignment="1" applyProtection="1">
      <alignment horizontal="centerContinuous"/>
    </xf>
    <xf numFmtId="0" fontId="0" fillId="0" borderId="6" xfId="0" applyBorder="1" applyAlignment="1" applyProtection="1">
      <alignment horizontal="centerContinuous"/>
    </xf>
    <xf numFmtId="0" fontId="0" fillId="0" borderId="6" xfId="0" applyBorder="1" applyAlignment="1">
      <alignment horizontal="centerContinuous"/>
    </xf>
    <xf numFmtId="0" fontId="0" fillId="0" borderId="1" xfId="0" applyBorder="1" applyAlignment="1">
      <alignment horizontal="centerContinuous"/>
    </xf>
    <xf numFmtId="0" fontId="22" fillId="0" borderId="9" xfId="0" applyFont="1" applyBorder="1" applyAlignment="1" applyProtection="1">
      <alignment horizontal="left" vertical="center" indent="2"/>
    </xf>
    <xf numFmtId="0" fontId="20" fillId="0" borderId="11" xfId="0" applyFont="1" applyBorder="1" applyAlignment="1" applyProtection="1">
      <alignment horizontal="center" wrapText="1"/>
    </xf>
    <xf numFmtId="294" fontId="20" fillId="0" borderId="9" xfId="0" applyNumberFormat="1" applyFont="1" applyBorder="1" applyAlignment="1">
      <alignment horizontal="center" wrapText="1"/>
    </xf>
    <xf numFmtId="294" fontId="20" fillId="0" borderId="11" xfId="0" applyNumberFormat="1" applyFont="1" applyBorder="1" applyAlignment="1">
      <alignment horizontal="center" wrapText="1"/>
    </xf>
    <xf numFmtId="0" fontId="23" fillId="0" borderId="15" xfId="0" applyFont="1" applyBorder="1" applyAlignment="1" applyProtection="1">
      <alignment horizontal="left" vertical="center" indent="2"/>
    </xf>
    <xf numFmtId="200" fontId="23" fillId="0" borderId="15" xfId="0" applyNumberFormat="1" applyFont="1" applyBorder="1" applyProtection="1"/>
    <xf numFmtId="0" fontId="23" fillId="0" borderId="12" xfId="0" applyFont="1" applyBorder="1" applyAlignment="1" applyProtection="1">
      <alignment horizontal="left" indent="2"/>
    </xf>
    <xf numFmtId="0" fontId="23" fillId="0" borderId="7" xfId="0" applyFont="1" applyBorder="1" applyAlignment="1" applyProtection="1">
      <alignment horizontal="left" indent="2"/>
    </xf>
    <xf numFmtId="200" fontId="23" fillId="0" borderId="12" xfId="0" applyNumberFormat="1" applyFont="1" applyBorder="1" applyProtection="1"/>
    <xf numFmtId="0" fontId="20" fillId="0" borderId="16" xfId="0" applyFont="1" applyBorder="1" applyAlignment="1" applyProtection="1">
      <alignment horizontal="left" indent="2"/>
    </xf>
    <xf numFmtId="200" fontId="80" fillId="0" borderId="17" xfId="0" applyNumberFormat="1" applyFont="1" applyBorder="1" applyProtection="1"/>
    <xf numFmtId="200" fontId="80" fillId="0" borderId="57" xfId="0" applyNumberFormat="1" applyFont="1" applyBorder="1" applyProtection="1"/>
    <xf numFmtId="0" fontId="0" fillId="0" borderId="10" xfId="0" applyBorder="1" applyProtection="1"/>
    <xf numFmtId="0" fontId="0" fillId="0" borderId="68" xfId="0" applyBorder="1"/>
    <xf numFmtId="200" fontId="80" fillId="0" borderId="11" xfId="0" applyNumberFormat="1" applyFont="1" applyBorder="1" applyProtection="1"/>
    <xf numFmtId="200" fontId="80" fillId="0" borderId="9" xfId="0" applyNumberFormat="1" applyFont="1" applyBorder="1" applyProtection="1"/>
    <xf numFmtId="200" fontId="20" fillId="0" borderId="11" xfId="0" applyNumberFormat="1" applyFont="1" applyBorder="1" applyProtection="1"/>
    <xf numFmtId="200" fontId="20" fillId="0" borderId="9" xfId="0" applyNumberFormat="1" applyFont="1" applyBorder="1" applyProtection="1"/>
    <xf numFmtId="0" fontId="17" fillId="0" borderId="49" xfId="0" applyFont="1" applyBorder="1" applyAlignment="1" applyProtection="1">
      <alignment horizontal="center" vertical="center"/>
    </xf>
    <xf numFmtId="236" fontId="17" fillId="0" borderId="11" xfId="4" applyNumberFormat="1" applyFont="1" applyFill="1" applyBorder="1" applyAlignment="1" applyProtection="1">
      <alignment vertical="center"/>
    </xf>
    <xf numFmtId="3" fontId="21" fillId="0" borderId="2" xfId="0" applyNumberFormat="1" applyFont="1" applyBorder="1" applyAlignment="1" applyProtection="1">
      <alignment horizontal="center" vertical="center" wrapText="1"/>
    </xf>
    <xf numFmtId="200" fontId="17" fillId="0" borderId="9" xfId="0" applyNumberFormat="1" applyFont="1" applyBorder="1" applyAlignment="1" applyProtection="1">
      <alignment horizontal="center" vertical="center"/>
    </xf>
    <xf numFmtId="200" fontId="17" fillId="0" borderId="11" xfId="0" applyNumberFormat="1" applyFont="1" applyBorder="1" applyAlignment="1" applyProtection="1">
      <alignment horizontal="center" vertical="center"/>
    </xf>
    <xf numFmtId="200" fontId="17" fillId="0" borderId="1" xfId="0" applyNumberFormat="1" applyFont="1" applyBorder="1" applyAlignment="1" applyProtection="1">
      <alignment horizontal="center" vertical="center"/>
    </xf>
    <xf numFmtId="206" fontId="17" fillId="0" borderId="49" xfId="0" applyNumberFormat="1" applyFont="1" applyBorder="1" applyAlignment="1" applyProtection="1">
      <alignment vertical="center"/>
    </xf>
    <xf numFmtId="206" fontId="17" fillId="0" borderId="18" xfId="0" applyNumberFormat="1" applyFont="1" applyBorder="1" applyAlignment="1" applyProtection="1">
      <alignment vertical="center"/>
    </xf>
    <xf numFmtId="206" fontId="17" fillId="0" borderId="42" xfId="0" applyNumberFormat="1" applyFont="1" applyBorder="1" applyAlignment="1" applyProtection="1">
      <alignment vertical="center"/>
    </xf>
    <xf numFmtId="233" fontId="41" fillId="0" borderId="7" xfId="0" applyNumberFormat="1" applyFont="1" applyBorder="1" applyAlignment="1" applyProtection="1">
      <alignment vertical="center"/>
    </xf>
    <xf numFmtId="233" fontId="21" fillId="18" borderId="12" xfId="0" applyNumberFormat="1" applyFont="1" applyFill="1" applyBorder="1" applyAlignment="1" applyProtection="1">
      <alignment vertical="center"/>
      <protection locked="0"/>
    </xf>
    <xf numFmtId="206" fontId="17" fillId="0" borderId="43" xfId="0" applyNumberFormat="1" applyFont="1" applyBorder="1" applyAlignment="1" applyProtection="1">
      <alignment vertical="center"/>
    </xf>
    <xf numFmtId="233" fontId="41" fillId="0" borderId="12" xfId="0" applyNumberFormat="1" applyFont="1" applyBorder="1" applyAlignment="1" applyProtection="1">
      <alignment vertical="center"/>
    </xf>
    <xf numFmtId="3" fontId="21" fillId="0" borderId="16" xfId="0" applyNumberFormat="1" applyFont="1" applyBorder="1" applyAlignment="1" applyProtection="1">
      <alignment horizontal="right"/>
    </xf>
    <xf numFmtId="3" fontId="21" fillId="0" borderId="19" xfId="0" applyNumberFormat="1" applyFont="1" applyBorder="1" applyAlignment="1" applyProtection="1">
      <alignment horizontal="right"/>
    </xf>
    <xf numFmtId="3" fontId="21" fillId="0" borderId="44" xfId="0" applyNumberFormat="1" applyFont="1" applyBorder="1" applyAlignment="1" applyProtection="1">
      <alignment horizontal="right"/>
    </xf>
    <xf numFmtId="9" fontId="21" fillId="0" borderId="10" xfId="6" applyFont="1" applyFill="1" applyBorder="1" applyProtection="1"/>
    <xf numFmtId="3" fontId="21" fillId="0" borderId="68" xfId="0" applyNumberFormat="1" applyFont="1" applyBorder="1" applyAlignment="1" applyProtection="1">
      <alignment horizontal="right"/>
    </xf>
    <xf numFmtId="233" fontId="41" fillId="0" borderId="7" xfId="0" quotePrefix="1" applyNumberFormat="1" applyFont="1" applyBorder="1" applyAlignment="1" applyProtection="1">
      <alignment vertical="center"/>
    </xf>
    <xf numFmtId="206" fontId="17" fillId="0" borderId="9" xfId="0" applyNumberFormat="1" applyFont="1" applyBorder="1" applyAlignment="1" applyProtection="1">
      <alignment vertical="center"/>
    </xf>
    <xf numFmtId="206" fontId="17" fillId="0" borderId="11" xfId="0" applyNumberFormat="1" applyFont="1" applyBorder="1" applyAlignment="1" applyProtection="1">
      <alignment vertical="center"/>
    </xf>
    <xf numFmtId="206" fontId="17" fillId="0" borderId="1" xfId="0" applyNumberFormat="1" applyFont="1" applyBorder="1" applyAlignment="1" applyProtection="1">
      <alignment vertical="center"/>
    </xf>
    <xf numFmtId="190" fontId="17" fillId="0" borderId="9" xfId="4" applyNumberFormat="1" applyFont="1" applyFill="1" applyBorder="1" applyAlignment="1" applyProtection="1">
      <alignment horizontal="right" vertical="center"/>
    </xf>
    <xf numFmtId="9" fontId="17" fillId="0" borderId="40" xfId="0" applyNumberFormat="1" applyFont="1" applyBorder="1" applyAlignment="1" applyProtection="1">
      <alignment horizontal="center" vertical="center"/>
    </xf>
    <xf numFmtId="206" fontId="21" fillId="0" borderId="12" xfId="6" applyNumberFormat="1" applyFont="1" applyFill="1" applyBorder="1" applyAlignment="1" applyProtection="1">
      <alignment vertical="center"/>
    </xf>
    <xf numFmtId="213" fontId="23" fillId="0" borderId="42" xfId="0" applyNumberFormat="1" applyFont="1" applyBorder="1" applyAlignment="1" applyProtection="1">
      <alignment vertical="center"/>
      <protection locked="0"/>
    </xf>
    <xf numFmtId="288" fontId="23" fillId="0" borderId="155" xfId="6" applyNumberFormat="1" applyFont="1" applyBorder="1"/>
    <xf numFmtId="213" fontId="23" fillId="0" borderId="12" xfId="0" applyNumberFormat="1" applyFont="1" applyBorder="1" applyAlignment="1">
      <alignment vertical="center"/>
    </xf>
    <xf numFmtId="288" fontId="23" fillId="0" borderId="98" xfId="6" applyNumberFormat="1" applyFont="1" applyBorder="1"/>
    <xf numFmtId="213" fontId="20" fillId="0" borderId="156" xfId="0" applyNumberFormat="1" applyFont="1" applyBorder="1" applyAlignment="1">
      <alignment vertical="center"/>
    </xf>
    <xf numFmtId="288" fontId="20" fillId="0" borderId="152" xfId="6" applyNumberFormat="1" applyFont="1" applyBorder="1"/>
    <xf numFmtId="264" fontId="38" fillId="0" borderId="2" xfId="0" applyNumberFormat="1" applyFont="1" applyBorder="1" applyAlignment="1">
      <alignment vertical="center"/>
    </xf>
    <xf numFmtId="0" fontId="38" fillId="0" borderId="24" xfId="0" applyFont="1" applyBorder="1" applyAlignment="1">
      <alignment horizontal="left" vertical="center" indent="1"/>
    </xf>
    <xf numFmtId="295" fontId="38" fillId="0" borderId="21" xfId="0" applyNumberFormat="1" applyFont="1" applyBorder="1" applyAlignment="1">
      <alignment vertical="center"/>
    </xf>
    <xf numFmtId="3" fontId="23" fillId="0" borderId="57" xfId="0" applyNumberFormat="1" applyFont="1" applyBorder="1" applyAlignment="1" applyProtection="1">
      <alignment horizontal="left" indent="1"/>
    </xf>
    <xf numFmtId="227" fontId="23" fillId="0" borderId="65" xfId="0" applyNumberFormat="1" applyFont="1" applyBorder="1" applyProtection="1">
      <protection locked="0"/>
    </xf>
    <xf numFmtId="227" fontId="23" fillId="0" borderId="84" xfId="0" applyNumberFormat="1" applyFont="1" applyBorder="1" applyProtection="1">
      <protection locked="0"/>
    </xf>
    <xf numFmtId="227" fontId="23" fillId="0" borderId="116" xfId="0" applyNumberFormat="1" applyFont="1" applyBorder="1" applyProtection="1">
      <protection locked="0"/>
    </xf>
    <xf numFmtId="206" fontId="23" fillId="0" borderId="17" xfId="0" applyNumberFormat="1" applyFont="1" applyBorder="1" applyProtection="1">
      <protection locked="0"/>
    </xf>
    <xf numFmtId="227" fontId="23" fillId="0" borderId="24" xfId="0" applyNumberFormat="1" applyFont="1" applyBorder="1" applyProtection="1">
      <protection locked="0"/>
    </xf>
    <xf numFmtId="3" fontId="23" fillId="0" borderId="12" xfId="0" applyNumberFormat="1" applyFont="1" applyBorder="1" applyProtection="1">
      <protection locked="0"/>
    </xf>
    <xf numFmtId="206" fontId="23" fillId="0" borderId="12" xfId="0" applyNumberFormat="1" applyFont="1" applyBorder="1" applyProtection="1">
      <protection locked="0"/>
    </xf>
    <xf numFmtId="0" fontId="17" fillId="0" borderId="9" xfId="0" applyFont="1" applyBorder="1" applyAlignment="1">
      <alignment horizontal="right" vertical="center"/>
    </xf>
    <xf numFmtId="0" fontId="14" fillId="0" borderId="39" xfId="0" applyFont="1" applyBorder="1" applyAlignment="1">
      <alignment vertical="center"/>
    </xf>
    <xf numFmtId="10" fontId="21" fillId="2" borderId="11" xfId="0" applyNumberFormat="1" applyFont="1" applyFill="1" applyBorder="1" applyAlignment="1" applyProtection="1">
      <alignment horizontal="center" vertical="center"/>
      <protection locked="0"/>
    </xf>
    <xf numFmtId="0" fontId="38" fillId="0" borderId="25" xfId="0" applyFont="1" applyBorder="1" applyAlignment="1">
      <alignment horizontal="right" vertical="center" indent="1"/>
    </xf>
    <xf numFmtId="166" fontId="23" fillId="2" borderId="19" xfId="6" applyNumberFormat="1" applyFont="1" applyFill="1" applyBorder="1" applyAlignment="1" applyProtection="1">
      <alignment horizontal="center" vertical="center"/>
      <protection locked="0"/>
    </xf>
    <xf numFmtId="166" fontId="23" fillId="2" borderId="18" xfId="6" applyNumberFormat="1" applyFont="1" applyFill="1" applyBorder="1" applyAlignment="1" applyProtection="1">
      <alignment horizontal="center" vertical="center"/>
      <protection locked="0"/>
    </xf>
    <xf numFmtId="166" fontId="23" fillId="2" borderId="15" xfId="6" applyNumberFormat="1" applyFont="1" applyFill="1" applyBorder="1" applyAlignment="1" applyProtection="1">
      <alignment horizontal="center" vertical="center"/>
      <protection locked="0"/>
    </xf>
    <xf numFmtId="4" fontId="23" fillId="2" borderId="12" xfId="6" applyNumberFormat="1" applyFont="1" applyFill="1" applyBorder="1" applyAlignment="1" applyProtection="1">
      <alignment horizontal="center" vertical="center"/>
    </xf>
    <xf numFmtId="4" fontId="23" fillId="2" borderId="38" xfId="6" applyNumberFormat="1" applyFont="1" applyFill="1" applyBorder="1" applyAlignment="1" applyProtection="1">
      <alignment horizontal="center" vertical="center"/>
    </xf>
    <xf numFmtId="206" fontId="23" fillId="0" borderId="19" xfId="0" applyNumberFormat="1" applyFont="1" applyBorder="1" applyProtection="1">
      <protection locked="0"/>
    </xf>
    <xf numFmtId="3" fontId="38" fillId="0" borderId="12" xfId="0" applyNumberFormat="1" applyFont="1" applyBorder="1" applyAlignment="1">
      <alignment horizontal="center" vertical="center" wrapText="1"/>
    </xf>
    <xf numFmtId="272" fontId="38" fillId="0" borderId="23" xfId="6" applyNumberFormat="1" applyFont="1" applyFill="1" applyBorder="1" applyAlignment="1">
      <alignment horizontal="center" vertical="center"/>
    </xf>
    <xf numFmtId="272" fontId="38" fillId="0" borderId="51" xfId="6" applyNumberFormat="1" applyFont="1" applyFill="1" applyBorder="1" applyAlignment="1">
      <alignment horizontal="center" vertical="center"/>
    </xf>
    <xf numFmtId="272" fontId="38" fillId="0" borderId="50" xfId="6" applyNumberFormat="1" applyFont="1" applyFill="1" applyBorder="1" applyAlignment="1">
      <alignment horizontal="center" vertical="center"/>
    </xf>
    <xf numFmtId="272" fontId="38" fillId="0" borderId="2" xfId="6" applyNumberFormat="1" applyFont="1" applyFill="1" applyBorder="1" applyAlignment="1">
      <alignment horizontal="center" vertical="center"/>
    </xf>
    <xf numFmtId="272" fontId="38" fillId="0" borderId="43" xfId="6" applyNumberFormat="1" applyFont="1" applyFill="1" applyBorder="1" applyAlignment="1">
      <alignment horizontal="center" vertical="center"/>
    </xf>
    <xf numFmtId="296" fontId="38" fillId="0" borderId="34" xfId="6" applyNumberFormat="1" applyFont="1" applyFill="1" applyBorder="1" applyAlignment="1">
      <alignment horizontal="center" vertical="center"/>
    </xf>
    <xf numFmtId="296" fontId="38" fillId="0" borderId="63" xfId="6" applyNumberFormat="1" applyFont="1" applyFill="1" applyBorder="1" applyAlignment="1">
      <alignment horizontal="center" vertical="center"/>
    </xf>
    <xf numFmtId="296" fontId="38" fillId="0" borderId="60" xfId="6" applyNumberFormat="1" applyFont="1" applyFill="1" applyBorder="1" applyAlignment="1">
      <alignment horizontal="center" vertical="center"/>
    </xf>
    <xf numFmtId="296" fontId="38" fillId="0" borderId="35" xfId="6" applyNumberFormat="1" applyFont="1" applyFill="1" applyBorder="1" applyAlignment="1">
      <alignment horizontal="center" vertical="center"/>
    </xf>
    <xf numFmtId="296" fontId="38" fillId="0" borderId="44" xfId="6" applyNumberFormat="1" applyFont="1" applyFill="1" applyBorder="1" applyAlignment="1">
      <alignment horizontal="center" vertical="center"/>
    </xf>
    <xf numFmtId="3" fontId="23" fillId="3" borderId="43" xfId="0" applyNumberFormat="1" applyFont="1" applyFill="1" applyBorder="1" applyAlignment="1" applyProtection="1">
      <alignment horizontal="center" vertical="center"/>
      <protection locked="0"/>
    </xf>
    <xf numFmtId="0" fontId="21" fillId="0" borderId="1" xfId="0" applyFont="1" applyBorder="1" applyAlignment="1" applyProtection="1">
      <alignment horizontal="centerContinuous" vertical="center"/>
    </xf>
    <xf numFmtId="0" fontId="38" fillId="0" borderId="20" xfId="0" applyFont="1" applyBorder="1" applyAlignment="1" applyProtection="1">
      <alignment horizontal="center" vertical="center" shrinkToFit="1"/>
    </xf>
    <xf numFmtId="0" fontId="38" fillId="0" borderId="22" xfId="0" applyFont="1" applyBorder="1" applyAlignment="1" applyProtection="1">
      <alignment vertical="center" shrinkToFit="1"/>
    </xf>
    <xf numFmtId="0" fontId="22" fillId="0" borderId="22" xfId="0" applyFont="1" applyBorder="1" applyAlignment="1" applyProtection="1">
      <alignment horizontal="center" vertical="center" wrapText="1" shrinkToFit="1"/>
    </xf>
    <xf numFmtId="216" fontId="23" fillId="0" borderId="12" xfId="0" applyNumberFormat="1" applyFont="1" applyBorder="1" applyAlignment="1" applyProtection="1">
      <alignment vertical="center"/>
    </xf>
    <xf numFmtId="0" fontId="20" fillId="0" borderId="127" xfId="0" applyFont="1" applyBorder="1" applyAlignment="1" applyProtection="1">
      <alignment horizontal="center" vertical="center" wrapText="1"/>
    </xf>
    <xf numFmtId="0" fontId="17" fillId="0" borderId="10" xfId="0" applyFont="1" applyBorder="1" applyAlignment="1">
      <alignment horizontal="center" vertical="center"/>
    </xf>
    <xf numFmtId="0" fontId="21" fillId="0" borderId="7" xfId="0" applyFont="1" applyBorder="1" applyAlignment="1">
      <alignment horizontal="left" vertical="center" indent="3"/>
    </xf>
    <xf numFmtId="0" fontId="21" fillId="0" borderId="10" xfId="0" applyFont="1" applyBorder="1" applyAlignment="1">
      <alignment vertical="center"/>
    </xf>
    <xf numFmtId="0" fontId="21" fillId="0" borderId="68" xfId="0" applyFont="1" applyBorder="1" applyAlignment="1" applyProtection="1">
      <alignment vertical="center"/>
    </xf>
    <xf numFmtId="0" fontId="21" fillId="0" borderId="23" xfId="0" applyFont="1" applyBorder="1" applyAlignment="1" applyProtection="1">
      <alignment horizontal="left" vertical="center" indent="1"/>
    </xf>
    <xf numFmtId="0" fontId="21" fillId="0" borderId="10" xfId="0" applyFont="1" applyBorder="1" applyAlignment="1" applyProtection="1">
      <alignment horizontal="left" vertical="center" indent="1"/>
    </xf>
    <xf numFmtId="0" fontId="21" fillId="0" borderId="0" xfId="0" applyFont="1" applyAlignment="1" applyProtection="1">
      <alignment horizontal="left" vertical="center" indent="1"/>
    </xf>
    <xf numFmtId="3" fontId="17" fillId="0" borderId="6" xfId="0" applyNumberFormat="1" applyFont="1" applyBorder="1" applyAlignment="1" applyProtection="1">
      <alignment horizontal="centerContinuous" vertical="center" wrapText="1"/>
    </xf>
    <xf numFmtId="0" fontId="38" fillId="0" borderId="41" xfId="0" applyFont="1" applyBorder="1" applyAlignment="1" applyProtection="1">
      <alignment horizontal="center" vertical="center" shrinkToFit="1"/>
    </xf>
    <xf numFmtId="0" fontId="22" fillId="0" borderId="42" xfId="0" applyFont="1" applyBorder="1" applyAlignment="1" applyProtection="1">
      <alignment horizontal="center" vertical="center" wrapText="1" shrinkToFit="1"/>
    </xf>
    <xf numFmtId="0" fontId="21" fillId="0" borderId="62" xfId="0" applyFont="1" applyBorder="1" applyAlignment="1" applyProtection="1">
      <alignment vertical="center"/>
    </xf>
    <xf numFmtId="0" fontId="22" fillId="0" borderId="18" xfId="0" applyFont="1" applyBorder="1" applyAlignment="1" applyProtection="1">
      <alignment horizontal="center" vertical="center" wrapText="1" shrinkToFit="1"/>
    </xf>
    <xf numFmtId="0" fontId="21" fillId="0" borderId="16" xfId="0" applyFont="1" applyBorder="1" applyAlignment="1" applyProtection="1">
      <alignment vertical="center"/>
    </xf>
    <xf numFmtId="3" fontId="23" fillId="0" borderId="12" xfId="0" applyNumberFormat="1" applyFont="1" applyBorder="1" applyAlignment="1" applyProtection="1">
      <alignment horizontal="center" vertical="center"/>
    </xf>
    <xf numFmtId="216" fontId="20" fillId="0" borderId="37" xfId="0" applyNumberFormat="1" applyFont="1" applyBorder="1"/>
    <xf numFmtId="216" fontId="20" fillId="0" borderId="36" xfId="0" applyNumberFormat="1" applyFont="1" applyBorder="1"/>
    <xf numFmtId="218" fontId="20" fillId="0" borderId="37" xfId="0" applyNumberFormat="1" applyFont="1" applyBorder="1"/>
    <xf numFmtId="218" fontId="20" fillId="0" borderId="36" xfId="0" applyNumberFormat="1" applyFont="1" applyBorder="1"/>
    <xf numFmtId="218" fontId="20" fillId="0" borderId="25" xfId="0" applyNumberFormat="1" applyFont="1" applyBorder="1"/>
    <xf numFmtId="218" fontId="23" fillId="0" borderId="37" xfId="0" applyNumberFormat="1" applyFont="1" applyBorder="1"/>
    <xf numFmtId="218" fontId="23" fillId="0" borderId="36" xfId="0" applyNumberFormat="1" applyFont="1" applyBorder="1"/>
    <xf numFmtId="218" fontId="23" fillId="0" borderId="25" xfId="0" applyNumberFormat="1" applyFont="1" applyBorder="1"/>
    <xf numFmtId="216" fontId="23" fillId="0" borderId="37" xfId="0" applyNumberFormat="1" applyFont="1" applyBorder="1"/>
    <xf numFmtId="216" fontId="23" fillId="0" borderId="36" xfId="0" applyNumberFormat="1" applyFont="1" applyBorder="1"/>
    <xf numFmtId="216" fontId="23" fillId="0" borderId="25" xfId="0" applyNumberFormat="1" applyFont="1" applyBorder="1"/>
    <xf numFmtId="292" fontId="23" fillId="0" borderId="12" xfId="0" applyNumberFormat="1" applyFont="1" applyBorder="1" applyAlignment="1" applyProtection="1">
      <alignment horizontal="right" vertical="center"/>
    </xf>
    <xf numFmtId="166" fontId="23" fillId="2" borderId="12" xfId="0" applyNumberFormat="1" applyFont="1" applyFill="1" applyBorder="1" applyAlignment="1" applyProtection="1">
      <alignment horizontal="center" vertical="center"/>
      <protection locked="0"/>
    </xf>
    <xf numFmtId="166" fontId="23" fillId="2" borderId="43" xfId="0" applyNumberFormat="1" applyFont="1" applyFill="1" applyBorder="1" applyAlignment="1" applyProtection="1">
      <alignment horizontal="center" vertical="center"/>
      <protection locked="0"/>
    </xf>
    <xf numFmtId="0" fontId="21" fillId="0" borderId="6" xfId="0" applyFont="1" applyBorder="1" applyAlignment="1" applyProtection="1">
      <alignment horizontal="centerContinuous" vertical="center"/>
    </xf>
    <xf numFmtId="3" fontId="4" fillId="0" borderId="0" xfId="5" applyNumberFormat="1" applyAlignment="1">
      <alignment horizontal="right" indent="1"/>
    </xf>
    <xf numFmtId="230" fontId="23" fillId="15" borderId="24" xfId="0" applyNumberFormat="1" applyFont="1" applyFill="1" applyBorder="1" applyAlignment="1">
      <alignment vertical="center"/>
    </xf>
    <xf numFmtId="1" fontId="23" fillId="0" borderId="7" xfId="5" applyNumberFormat="1" applyFont="1" applyBorder="1" applyAlignment="1">
      <alignment horizontal="left" vertical="center"/>
    </xf>
    <xf numFmtId="1" fontId="23" fillId="0" borderId="16" xfId="5" applyNumberFormat="1" applyFont="1" applyBorder="1" applyAlignment="1">
      <alignment horizontal="left" vertical="center"/>
    </xf>
    <xf numFmtId="0" fontId="4" fillId="0" borderId="51" xfId="5" applyBorder="1" applyAlignment="1">
      <alignment horizontal="right" vertical="center" indent="1"/>
    </xf>
    <xf numFmtId="0" fontId="4" fillId="0" borderId="63" xfId="5" applyBorder="1" applyAlignment="1">
      <alignment horizontal="right" vertical="center" indent="1"/>
    </xf>
    <xf numFmtId="10" fontId="23" fillId="0" borderId="24" xfId="6" applyNumberFormat="1" applyFont="1" applyFill="1" applyBorder="1" applyAlignment="1">
      <alignment horizontal="right" vertical="center" indent="1"/>
    </xf>
    <xf numFmtId="3" fontId="17" fillId="0" borderId="56" xfId="0" applyNumberFormat="1" applyFont="1" applyBorder="1" applyAlignment="1" applyProtection="1">
      <alignment horizontal="centerContinuous" vertical="center" wrapText="1"/>
    </xf>
    <xf numFmtId="0" fontId="21" fillId="0" borderId="40" xfId="0" applyFont="1" applyBorder="1" applyAlignment="1" applyProtection="1">
      <alignment horizontal="centerContinuous" vertical="center"/>
    </xf>
    <xf numFmtId="0" fontId="17" fillId="0" borderId="26" xfId="0" applyFont="1" applyBorder="1" applyAlignment="1" applyProtection="1">
      <alignment horizontal="centerContinuous" vertical="center"/>
    </xf>
    <xf numFmtId="0" fontId="17" fillId="0" borderId="26" xfId="0" applyFont="1" applyBorder="1" applyAlignment="1">
      <alignment horizontal="centerContinuous" vertical="center"/>
    </xf>
    <xf numFmtId="0" fontId="17" fillId="0" borderId="40" xfId="0" applyFont="1" applyBorder="1" applyAlignment="1" applyProtection="1">
      <alignment horizontal="centerContinuous" vertical="center"/>
    </xf>
    <xf numFmtId="0" fontId="23" fillId="0" borderId="7" xfId="0" applyFont="1" applyBorder="1" applyAlignment="1" applyProtection="1">
      <alignment vertical="center"/>
    </xf>
    <xf numFmtId="0" fontId="23" fillId="0" borderId="13" xfId="0" applyFont="1" applyBorder="1" applyAlignment="1" applyProtection="1">
      <alignment vertical="center"/>
    </xf>
    <xf numFmtId="0" fontId="23" fillId="0" borderId="13" xfId="0" applyFont="1" applyBorder="1" applyAlignment="1">
      <alignment vertical="center"/>
    </xf>
    <xf numFmtId="0" fontId="23" fillId="0" borderId="43" xfId="0" applyFont="1" applyBorder="1" applyAlignment="1" applyProtection="1">
      <alignment horizontal="right" vertical="center" indent="1"/>
    </xf>
    <xf numFmtId="3" fontId="23" fillId="0" borderId="7" xfId="0" applyNumberFormat="1" applyFont="1" applyBorder="1" applyAlignment="1" applyProtection="1">
      <alignment horizontal="centerContinuous" vertical="center"/>
    </xf>
    <xf numFmtId="3" fontId="23" fillId="0" borderId="7" xfId="0" applyNumberFormat="1" applyFont="1" applyBorder="1" applyAlignment="1" applyProtection="1">
      <alignment horizontal="right" vertical="center" indent="1"/>
    </xf>
    <xf numFmtId="0" fontId="20" fillId="0" borderId="43" xfId="0" applyFont="1" applyBorder="1" applyAlignment="1" applyProtection="1">
      <alignment horizontal="center" vertical="center"/>
    </xf>
    <xf numFmtId="298" fontId="20" fillId="0" borderId="43" xfId="0" applyNumberFormat="1" applyFont="1" applyBorder="1" applyAlignment="1" applyProtection="1">
      <alignment horizontal="right" vertical="center"/>
    </xf>
    <xf numFmtId="298" fontId="20" fillId="0" borderId="43" xfId="0" applyNumberFormat="1" applyFont="1" applyBorder="1" applyAlignment="1" applyProtection="1">
      <alignment vertical="center"/>
    </xf>
    <xf numFmtId="0" fontId="23" fillId="0" borderId="43" xfId="0" applyFont="1" applyBorder="1" applyAlignment="1" applyProtection="1">
      <alignment vertical="center"/>
    </xf>
    <xf numFmtId="0" fontId="23" fillId="0" borderId="43" xfId="0" applyFont="1" applyBorder="1" applyAlignment="1">
      <alignment vertical="center"/>
    </xf>
    <xf numFmtId="0" fontId="23" fillId="0" borderId="43" xfId="0" applyFont="1" applyBorder="1" applyAlignment="1">
      <alignment horizontal="right" vertical="center" indent="1"/>
    </xf>
    <xf numFmtId="297" fontId="23" fillId="0" borderId="43" xfId="0" applyNumberFormat="1" applyFont="1" applyBorder="1" applyAlignment="1">
      <alignment vertical="center"/>
    </xf>
    <xf numFmtId="295" fontId="23" fillId="0" borderId="7" xfId="0" applyNumberFormat="1" applyFont="1" applyBorder="1" applyAlignment="1">
      <alignment vertical="center"/>
    </xf>
    <xf numFmtId="0" fontId="23" fillId="0" borderId="62" xfId="0" applyFont="1" applyBorder="1" applyAlignment="1">
      <alignment vertical="center"/>
    </xf>
    <xf numFmtId="0" fontId="23" fillId="0" borderId="44" xfId="0" applyFont="1" applyBorder="1" applyAlignment="1">
      <alignment horizontal="right" vertical="center" indent="1"/>
    </xf>
    <xf numFmtId="10" fontId="23" fillId="0" borderId="44" xfId="6" applyNumberFormat="1" applyFont="1" applyFill="1" applyBorder="1" applyAlignment="1">
      <alignment vertical="center"/>
    </xf>
    <xf numFmtId="0" fontId="23" fillId="0" borderId="0" xfId="0" applyFont="1" applyAlignment="1" applyProtection="1">
      <alignment vertical="center"/>
    </xf>
    <xf numFmtId="0" fontId="23" fillId="0" borderId="0" xfId="0" applyFont="1" applyAlignment="1" applyProtection="1">
      <alignment horizontal="right" vertical="center" indent="1"/>
    </xf>
    <xf numFmtId="0" fontId="23" fillId="0" borderId="0" xfId="0" applyFont="1" applyAlignment="1">
      <alignment vertical="center"/>
    </xf>
    <xf numFmtId="0" fontId="123" fillId="0" borderId="0" xfId="0" applyFont="1" applyAlignment="1">
      <alignment vertical="center"/>
    </xf>
    <xf numFmtId="0" fontId="23" fillId="0" borderId="16" xfId="0" applyFont="1" applyBorder="1" applyAlignment="1" applyProtection="1">
      <alignment vertical="center"/>
    </xf>
    <xf numFmtId="0" fontId="23" fillId="0" borderId="62" xfId="0" applyFont="1" applyBorder="1" applyAlignment="1" applyProtection="1">
      <alignment vertical="center"/>
    </xf>
    <xf numFmtId="0" fontId="23" fillId="0" borderId="44" xfId="0" applyFont="1" applyBorder="1" applyAlignment="1" applyProtection="1">
      <alignment horizontal="right" vertical="center" indent="1"/>
    </xf>
    <xf numFmtId="297" fontId="23" fillId="0" borderId="44" xfId="0" applyNumberFormat="1" applyFont="1" applyBorder="1" applyAlignment="1">
      <alignment vertical="center"/>
    </xf>
    <xf numFmtId="0" fontId="91" fillId="0" borderId="157" xfId="0" applyFont="1" applyBorder="1" applyAlignment="1">
      <alignment horizontal="center" vertical="center" wrapText="1"/>
    </xf>
    <xf numFmtId="0" fontId="91" fillId="0" borderId="158" xfId="0" applyFont="1" applyBorder="1" applyAlignment="1">
      <alignment horizontal="center" vertical="center" wrapText="1"/>
    </xf>
    <xf numFmtId="0" fontId="94" fillId="0" borderId="158" xfId="0" applyFont="1" applyBorder="1" applyAlignment="1">
      <alignment horizontal="center" vertical="center" wrapText="1"/>
    </xf>
    <xf numFmtId="0" fontId="124" fillId="0" borderId="0" xfId="0" applyFont="1"/>
    <xf numFmtId="0" fontId="95" fillId="19" borderId="159" xfId="0" applyFont="1" applyFill="1" applyBorder="1" applyAlignment="1">
      <alignment horizontal="center" vertical="center" wrapText="1"/>
    </xf>
    <xf numFmtId="0" fontId="95" fillId="0" borderId="159" xfId="0" applyFont="1" applyBorder="1" applyAlignment="1">
      <alignment horizontal="center" vertical="center" wrapText="1"/>
    </xf>
    <xf numFmtId="0" fontId="95" fillId="19" borderId="159" xfId="0" applyFont="1" applyFill="1" applyBorder="1" applyAlignment="1">
      <alignment horizontal="center" vertical="center"/>
    </xf>
    <xf numFmtId="0" fontId="95" fillId="0" borderId="159" xfId="0" applyFont="1" applyBorder="1" applyAlignment="1">
      <alignment horizontal="center" vertical="center"/>
    </xf>
    <xf numFmtId="0" fontId="125" fillId="0" borderId="0" xfId="0" applyFont="1" applyAlignment="1">
      <alignment vertical="center"/>
    </xf>
    <xf numFmtId="0" fontId="91" fillId="0" borderId="160" xfId="0" applyFont="1" applyBorder="1" applyAlignment="1">
      <alignment horizontal="center" vertical="center" wrapText="1"/>
    </xf>
    <xf numFmtId="0" fontId="103" fillId="0" borderId="161" xfId="0" applyFont="1" applyBorder="1" applyAlignment="1">
      <alignment horizontal="center" vertical="center" wrapText="1"/>
    </xf>
    <xf numFmtId="0" fontId="91" fillId="0" borderId="161" xfId="0" applyFont="1" applyBorder="1" applyAlignment="1">
      <alignment horizontal="center" vertical="center" wrapText="1"/>
    </xf>
    <xf numFmtId="0" fontId="91" fillId="0" borderId="159" xfId="0" applyFont="1" applyBorder="1" applyAlignment="1">
      <alignment vertical="center" wrapText="1"/>
    </xf>
    <xf numFmtId="0" fontId="92" fillId="0" borderId="162" xfId="0" applyFont="1" applyBorder="1" applyAlignment="1">
      <alignment horizontal="right" vertical="center" wrapText="1" indent="1"/>
    </xf>
    <xf numFmtId="0" fontId="92" fillId="0" borderId="163" xfId="0" applyFont="1" applyBorder="1" applyAlignment="1">
      <alignment horizontal="right" vertical="center" wrapText="1" indent="1"/>
    </xf>
    <xf numFmtId="0" fontId="98" fillId="0" borderId="164" xfId="0" applyFont="1" applyBorder="1" applyAlignment="1">
      <alignment horizontal="right" vertical="center" wrapText="1" indent="1"/>
    </xf>
    <xf numFmtId="291" fontId="95" fillId="19" borderId="158" xfId="0" applyNumberFormat="1" applyFont="1" applyFill="1" applyBorder="1" applyAlignment="1">
      <alignment horizontal="center" vertical="center" wrapText="1"/>
    </xf>
    <xf numFmtId="0" fontId="91" fillId="0" borderId="162" xfId="0" applyFont="1" applyBorder="1" applyAlignment="1">
      <alignment horizontal="right" vertical="center" wrapText="1" indent="1"/>
    </xf>
    <xf numFmtId="0" fontId="91" fillId="0" borderId="159" xfId="0" applyFont="1" applyBorder="1" applyAlignment="1">
      <alignment horizontal="right" vertical="center" wrapText="1" indent="1"/>
    </xf>
    <xf numFmtId="0" fontId="92" fillId="0" borderId="160" xfId="0" applyFont="1" applyBorder="1" applyAlignment="1" applyProtection="1">
      <alignment vertical="center" wrapText="1"/>
      <protection locked="0"/>
    </xf>
    <xf numFmtId="0" fontId="92" fillId="0" borderId="161" xfId="0" applyFont="1" applyBorder="1" applyAlignment="1" applyProtection="1">
      <alignment vertical="center" wrapText="1"/>
      <protection locked="0"/>
    </xf>
    <xf numFmtId="0" fontId="92" fillId="0" borderId="162" xfId="0" applyFont="1" applyBorder="1" applyAlignment="1" applyProtection="1">
      <alignment vertical="center" wrapText="1"/>
      <protection locked="0"/>
    </xf>
    <xf numFmtId="0" fontId="92" fillId="0" borderId="159" xfId="0" applyFont="1" applyBorder="1" applyAlignment="1" applyProtection="1">
      <alignment vertical="center" wrapText="1"/>
      <protection locked="0"/>
    </xf>
    <xf numFmtId="3" fontId="96" fillId="19" borderId="159" xfId="0" applyNumberFormat="1" applyFont="1" applyFill="1" applyBorder="1" applyAlignment="1">
      <alignment horizontal="right" vertical="center" wrapText="1" indent="1"/>
    </xf>
    <xf numFmtId="3" fontId="96" fillId="0" borderId="159" xfId="0" applyNumberFormat="1" applyFont="1" applyBorder="1" applyAlignment="1">
      <alignment horizontal="right" vertical="center" wrapText="1" indent="1"/>
    </xf>
    <xf numFmtId="0" fontId="92" fillId="0" borderId="162" xfId="0" applyFont="1" applyBorder="1" applyAlignment="1">
      <alignment horizontal="right" vertical="center" indent="1"/>
    </xf>
    <xf numFmtId="0" fontId="126" fillId="0" borderId="0" xfId="0" applyFont="1"/>
    <xf numFmtId="0" fontId="127" fillId="0" borderId="0" xfId="0" applyFont="1" applyAlignment="1">
      <alignment horizontal="center" vertical="center"/>
    </xf>
    <xf numFmtId="291" fontId="95" fillId="0" borderId="158" xfId="0" applyNumberFormat="1" applyFont="1" applyBorder="1" applyAlignment="1">
      <alignment horizontal="center" vertical="center" wrapText="1"/>
    </xf>
    <xf numFmtId="300" fontId="104" fillId="19" borderId="159" xfId="0" applyNumberFormat="1" applyFont="1" applyFill="1" applyBorder="1" applyAlignment="1">
      <alignment horizontal="right" vertical="center" wrapText="1" indent="1"/>
    </xf>
    <xf numFmtId="300" fontId="104" fillId="0" borderId="159" xfId="0" applyNumberFormat="1" applyFont="1" applyBorder="1" applyAlignment="1">
      <alignment horizontal="right" vertical="center" wrapText="1" indent="1"/>
    </xf>
    <xf numFmtId="0" fontId="20" fillId="0" borderId="11" xfId="0" applyFont="1" applyBorder="1" applyAlignment="1">
      <alignment horizontal="center" vertical="center"/>
    </xf>
    <xf numFmtId="0" fontId="23" fillId="0" borderId="49" xfId="0" applyFont="1" applyBorder="1" applyAlignment="1">
      <alignment horizontal="right" vertical="center" indent="2"/>
    </xf>
    <xf numFmtId="0" fontId="23" fillId="0" borderId="42" xfId="0" applyFont="1" applyBorder="1" applyAlignment="1" applyProtection="1">
      <alignment horizontal="left" vertical="center" indent="1"/>
    </xf>
    <xf numFmtId="0" fontId="23" fillId="0" borderId="57" xfId="0" applyFont="1" applyBorder="1" applyAlignment="1">
      <alignment horizontal="left" vertical="center" indent="2"/>
    </xf>
    <xf numFmtId="299" fontId="23" fillId="15" borderId="4" xfId="0" applyNumberFormat="1" applyFont="1" applyFill="1" applyBorder="1" applyAlignment="1" applyProtection="1">
      <alignment horizontal="right" vertical="center" indent="1"/>
      <protection locked="0"/>
    </xf>
    <xf numFmtId="299" fontId="23" fillId="15" borderId="29" xfId="0" applyNumberFormat="1" applyFont="1" applyFill="1" applyBorder="1" applyAlignment="1" applyProtection="1">
      <alignment horizontal="right" vertical="center" indent="1"/>
      <protection locked="0"/>
    </xf>
    <xf numFmtId="0" fontId="20" fillId="0" borderId="61" xfId="0" applyFont="1" applyBorder="1" applyAlignment="1">
      <alignment horizontal="center" vertical="center"/>
    </xf>
    <xf numFmtId="0" fontId="20" fillId="0" borderId="62" xfId="0" applyFont="1" applyBorder="1" applyAlignment="1">
      <alignment horizontal="center" vertical="center"/>
    </xf>
    <xf numFmtId="299" fontId="23" fillId="15" borderId="145" xfId="0" applyNumberFormat="1" applyFont="1" applyFill="1" applyBorder="1" applyAlignment="1" applyProtection="1">
      <alignment horizontal="right" vertical="center" indent="1"/>
      <protection locked="0"/>
    </xf>
    <xf numFmtId="299" fontId="23" fillId="15" borderId="60" xfId="0" applyNumberFormat="1" applyFont="1" applyFill="1" applyBorder="1" applyAlignment="1" applyProtection="1">
      <alignment horizontal="right" vertical="center" indent="1"/>
      <protection locked="0"/>
    </xf>
    <xf numFmtId="0" fontId="23" fillId="0" borderId="26" xfId="0" applyFont="1" applyBorder="1" applyAlignment="1">
      <alignment horizontal="right" vertical="center"/>
    </xf>
    <xf numFmtId="0" fontId="23" fillId="0" borderId="62" xfId="0" applyFont="1" applyBorder="1" applyAlignment="1" applyProtection="1">
      <alignment horizontal="right" vertical="center"/>
    </xf>
    <xf numFmtId="0" fontId="21" fillId="0" borderId="69" xfId="0" applyFont="1" applyBorder="1" applyAlignment="1" applyProtection="1">
      <alignment vertical="center"/>
    </xf>
    <xf numFmtId="0" fontId="21" fillId="0" borderId="67" xfId="0" applyFont="1" applyBorder="1" applyAlignment="1" applyProtection="1">
      <alignment vertical="center"/>
    </xf>
    <xf numFmtId="0" fontId="17" fillId="0" borderId="67" xfId="0" applyFont="1" applyBorder="1" applyAlignment="1" applyProtection="1">
      <alignment horizontal="right" vertical="center" indent="1"/>
    </xf>
    <xf numFmtId="0" fontId="38" fillId="0" borderId="69" xfId="0" applyFont="1" applyBorder="1" applyAlignment="1" applyProtection="1">
      <alignment horizontal="right" vertical="center"/>
    </xf>
    <xf numFmtId="292" fontId="20" fillId="0" borderId="70" xfId="0" applyNumberFormat="1" applyFont="1" applyBorder="1" applyAlignment="1" applyProtection="1">
      <alignment vertical="center"/>
    </xf>
    <xf numFmtId="210" fontId="38" fillId="0" borderId="69" xfId="0" applyNumberFormat="1" applyFont="1" applyBorder="1" applyAlignment="1" applyProtection="1">
      <alignment vertical="center"/>
    </xf>
    <xf numFmtId="210" fontId="38" fillId="0" borderId="67" xfId="0" applyNumberFormat="1" applyFont="1" applyBorder="1" applyAlignment="1" applyProtection="1">
      <alignment vertical="center"/>
    </xf>
    <xf numFmtId="0" fontId="38" fillId="0" borderId="62" xfId="0" applyFont="1" applyBorder="1" applyAlignment="1" applyProtection="1">
      <alignment horizontal="right" vertical="center" indent="1"/>
    </xf>
    <xf numFmtId="216" fontId="23" fillId="2" borderId="20" xfId="0" applyNumberFormat="1" applyFont="1" applyFill="1" applyBorder="1" applyAlignment="1" applyProtection="1">
      <alignment horizontal="right" vertical="center" indent="1" shrinkToFit="1"/>
      <protection locked="0"/>
    </xf>
    <xf numFmtId="0" fontId="23" fillId="0" borderId="22" xfId="0" applyFont="1" applyBorder="1" applyAlignment="1" applyProtection="1">
      <alignment horizontal="center" vertical="center" shrinkToFit="1"/>
    </xf>
    <xf numFmtId="216" fontId="23" fillId="2" borderId="23" xfId="0" applyNumberFormat="1" applyFont="1" applyFill="1" applyBorder="1" applyAlignment="1" applyProtection="1">
      <alignment horizontal="right" vertical="center" indent="1" shrinkToFit="1"/>
      <protection locked="0"/>
    </xf>
    <xf numFmtId="0" fontId="23" fillId="0" borderId="24" xfId="0" applyFont="1" applyBorder="1" applyAlignment="1" applyProtection="1">
      <alignment horizontal="center" vertical="center" shrinkToFit="1"/>
    </xf>
    <xf numFmtId="0" fontId="92" fillId="0" borderId="165" xfId="0" applyFont="1" applyBorder="1" applyAlignment="1">
      <alignment horizontal="right" vertical="center" wrapText="1" indent="1"/>
    </xf>
    <xf numFmtId="302" fontId="96" fillId="19" borderId="165" xfId="6" applyNumberFormat="1" applyFont="1" applyFill="1" applyBorder="1" applyAlignment="1">
      <alignment horizontal="right" vertical="center" wrapText="1" indent="1"/>
    </xf>
    <xf numFmtId="302" fontId="96" fillId="0" borderId="165" xfId="6" applyNumberFormat="1" applyFont="1" applyBorder="1" applyAlignment="1">
      <alignment horizontal="right" vertical="center" wrapText="1" indent="1"/>
    </xf>
    <xf numFmtId="300" fontId="104" fillId="19" borderId="165" xfId="0" applyNumberFormat="1" applyFont="1" applyFill="1" applyBorder="1" applyAlignment="1">
      <alignment horizontal="right" vertical="center" wrapText="1" indent="1"/>
    </xf>
    <xf numFmtId="300" fontId="104" fillId="0" borderId="165" xfId="0" applyNumberFormat="1" applyFont="1" applyBorder="1" applyAlignment="1">
      <alignment horizontal="right" vertical="center" wrapText="1" indent="1"/>
    </xf>
    <xf numFmtId="0" fontId="93" fillId="0" borderId="165" xfId="0" applyFont="1" applyBorder="1" applyAlignment="1">
      <alignment horizontal="right" vertical="center" wrapText="1" indent="1"/>
    </xf>
    <xf numFmtId="3" fontId="104" fillId="19" borderId="165" xfId="0" applyNumberFormat="1" applyFont="1" applyFill="1" applyBorder="1" applyAlignment="1">
      <alignment horizontal="right" vertical="center" wrapText="1" indent="1"/>
    </xf>
    <xf numFmtId="10" fontId="96" fillId="19" borderId="165" xfId="6" applyNumberFormat="1" applyFont="1" applyFill="1" applyBorder="1" applyAlignment="1">
      <alignment horizontal="right" vertical="center" wrapText="1" indent="1"/>
    </xf>
    <xf numFmtId="1" fontId="17" fillId="0" borderId="166" xfId="5" applyNumberFormat="1" applyFont="1" applyBorder="1" applyAlignment="1">
      <alignment horizontal="centerContinuous" vertical="center"/>
    </xf>
    <xf numFmtId="0" fontId="23" fillId="0" borderId="167" xfId="5" applyFont="1" applyBorder="1" applyAlignment="1">
      <alignment horizontal="centerContinuous" vertical="center"/>
    </xf>
    <xf numFmtId="1" fontId="23" fillId="0" borderId="168" xfId="5" applyNumberFormat="1" applyFont="1" applyBorder="1" applyAlignment="1">
      <alignment horizontal="centerContinuous" vertical="center"/>
    </xf>
    <xf numFmtId="1" fontId="23" fillId="0" borderId="169" xfId="5" applyNumberFormat="1" applyFont="1" applyBorder="1" applyAlignment="1">
      <alignment horizontal="left" vertical="center"/>
    </xf>
    <xf numFmtId="0" fontId="23" fillId="0" borderId="170" xfId="5" applyFont="1" applyBorder="1" applyAlignment="1">
      <alignment horizontal="right" vertical="center" indent="1"/>
    </xf>
    <xf numFmtId="230" fontId="23" fillId="0" borderId="171" xfId="0" applyNumberFormat="1" applyFont="1" applyBorder="1" applyAlignment="1">
      <alignment vertical="center"/>
    </xf>
    <xf numFmtId="10" fontId="23" fillId="0" borderId="171" xfId="6" applyNumberFormat="1" applyFont="1" applyFill="1" applyBorder="1" applyAlignment="1">
      <alignment horizontal="right" vertical="center" indent="1"/>
    </xf>
    <xf numFmtId="1" fontId="23" fillId="0" borderId="172" xfId="5" applyNumberFormat="1" applyFont="1" applyBorder="1" applyAlignment="1">
      <alignment horizontal="left" vertical="center"/>
    </xf>
    <xf numFmtId="0" fontId="23" fillId="0" borderId="173" xfId="5" applyFont="1" applyBorder="1" applyAlignment="1">
      <alignment horizontal="right" vertical="center" indent="1"/>
    </xf>
    <xf numFmtId="230" fontId="20" fillId="0" borderId="174" xfId="0" applyNumberFormat="1" applyFont="1" applyBorder="1" applyAlignment="1">
      <alignment vertical="center"/>
    </xf>
    <xf numFmtId="1" fontId="38" fillId="0" borderId="175" xfId="5" applyNumberFormat="1" applyFont="1" applyBorder="1" applyAlignment="1">
      <alignment horizontal="left" vertical="center"/>
    </xf>
    <xf numFmtId="0" fontId="38" fillId="0" borderId="175" xfId="5" applyFont="1" applyBorder="1" applyAlignment="1">
      <alignment horizontal="right" vertical="center" indent="1"/>
    </xf>
    <xf numFmtId="301" fontId="38" fillId="0" borderId="175" xfId="0" applyNumberFormat="1" applyFont="1" applyBorder="1" applyAlignment="1">
      <alignment vertical="center"/>
    </xf>
    <xf numFmtId="0" fontId="38" fillId="0" borderId="175" xfId="0" applyFont="1" applyBorder="1" applyAlignment="1">
      <alignment horizontal="left" vertical="center" indent="1"/>
    </xf>
    <xf numFmtId="299" fontId="23" fillId="0" borderId="29" xfId="0" applyNumberFormat="1" applyFont="1" applyBorder="1" applyAlignment="1" applyProtection="1">
      <alignment horizontal="right" vertical="center" indent="1"/>
    </xf>
    <xf numFmtId="0" fontId="21" fillId="0" borderId="26" xfId="0" applyFont="1" applyBorder="1" applyAlignment="1" applyProtection="1">
      <alignment vertical="center"/>
    </xf>
    <xf numFmtId="0" fontId="21" fillId="0" borderId="56" xfId="0" applyFont="1" applyBorder="1" applyAlignment="1" applyProtection="1">
      <alignment vertical="center"/>
    </xf>
    <xf numFmtId="299" fontId="23" fillId="0" borderId="4" xfId="0" applyNumberFormat="1" applyFont="1" applyBorder="1" applyAlignment="1" applyProtection="1">
      <alignment horizontal="right" vertical="center" indent="1"/>
    </xf>
    <xf numFmtId="303" fontId="23" fillId="0" borderId="29" xfId="6" applyNumberFormat="1" applyFont="1" applyFill="1" applyBorder="1" applyAlignment="1" applyProtection="1">
      <alignment horizontal="right" vertical="center" indent="1"/>
    </xf>
    <xf numFmtId="303" fontId="23" fillId="0" borderId="4" xfId="0" applyNumberFormat="1" applyFont="1" applyBorder="1" applyAlignment="1" applyProtection="1">
      <alignment horizontal="right" vertical="center" indent="1"/>
    </xf>
    <xf numFmtId="303" fontId="104" fillId="19" borderId="165" xfId="6" applyNumberFormat="1" applyFont="1" applyFill="1" applyBorder="1" applyAlignment="1">
      <alignment horizontal="right" vertical="center" wrapText="1" indent="1"/>
    </xf>
    <xf numFmtId="303" fontId="104" fillId="0" borderId="165" xfId="6" applyNumberFormat="1" applyFont="1" applyBorder="1" applyAlignment="1">
      <alignment horizontal="right" vertical="center" wrapText="1" indent="1"/>
    </xf>
    <xf numFmtId="271" fontId="96" fillId="19" borderId="165" xfId="0" applyNumberFormat="1" applyFont="1" applyFill="1" applyBorder="1" applyAlignment="1">
      <alignment horizontal="right" vertical="center" wrapText="1" indent="1"/>
    </xf>
    <xf numFmtId="0" fontId="23" fillId="0" borderId="0" xfId="0" applyFont="1" applyAlignment="1">
      <alignment horizontal="left" vertical="center"/>
    </xf>
    <xf numFmtId="0" fontId="38" fillId="0" borderId="0" xfId="0" applyFont="1" applyAlignment="1">
      <alignment horizontal="left" vertical="center" indent="1"/>
    </xf>
    <xf numFmtId="0" fontId="96" fillId="0" borderId="165" xfId="0" applyFont="1" applyBorder="1" applyAlignment="1">
      <alignment horizontal="right" vertical="center" wrapText="1" indent="1"/>
    </xf>
    <xf numFmtId="0" fontId="20" fillId="20" borderId="2" xfId="0" applyFont="1" applyFill="1" applyBorder="1" applyAlignment="1" applyProtection="1">
      <alignment horizontal="center" vertical="center"/>
      <protection locked="0"/>
    </xf>
    <xf numFmtId="3" fontId="20" fillId="0" borderId="18" xfId="0" applyNumberFormat="1" applyFont="1" applyBorder="1" applyAlignment="1">
      <alignment horizontal="center" vertical="center" wrapText="1"/>
    </xf>
    <xf numFmtId="3" fontId="23" fillId="13" borderId="19" xfId="0" applyNumberFormat="1" applyFont="1" applyFill="1" applyBorder="1" applyAlignment="1" applyProtection="1">
      <alignment horizontal="right" indent="1"/>
      <protection locked="0"/>
    </xf>
    <xf numFmtId="3" fontId="23" fillId="0" borderId="24" xfId="0" applyNumberFormat="1" applyFont="1" applyBorder="1" applyAlignment="1" applyProtection="1">
      <alignment horizontal="right" vertical="center" indent="1"/>
    </xf>
    <xf numFmtId="0" fontId="21" fillId="0" borderId="20" xfId="0" applyFont="1" applyBorder="1" applyAlignment="1">
      <alignment horizontal="centerContinuous"/>
    </xf>
    <xf numFmtId="0" fontId="21" fillId="0" borderId="61" xfId="0" applyFont="1" applyBorder="1" applyAlignment="1">
      <alignment horizontal="centerContinuous"/>
    </xf>
    <xf numFmtId="0" fontId="21" fillId="0" borderId="34" xfId="0" applyFont="1" applyBorder="1" applyAlignment="1">
      <alignment horizontal="centerContinuous" vertical="center" wrapText="1"/>
    </xf>
    <xf numFmtId="0" fontId="21" fillId="0" borderId="62" xfId="0" applyFont="1" applyBorder="1" applyAlignment="1">
      <alignment horizontal="centerContinuous" vertical="center"/>
    </xf>
    <xf numFmtId="9" fontId="46" fillId="0" borderId="4" xfId="0" applyNumberFormat="1" applyFont="1" applyBorder="1" applyAlignment="1" applyProtection="1">
      <alignment horizontal="center" vertical="center"/>
      <protection locked="0"/>
    </xf>
    <xf numFmtId="208" fontId="20" fillId="0" borderId="30" xfId="0" applyNumberFormat="1" applyFont="1" applyBorder="1" applyAlignment="1">
      <alignment horizontal="center" vertical="center" wrapText="1"/>
    </xf>
    <xf numFmtId="0" fontId="123" fillId="0" borderId="0" xfId="0" applyFont="1" applyAlignment="1">
      <alignment horizontal="center" vertical="center" wrapText="1"/>
    </xf>
    <xf numFmtId="293" fontId="38" fillId="0" borderId="18" xfId="0" applyNumberFormat="1" applyFont="1" applyBorder="1" applyAlignment="1" applyProtection="1">
      <alignment horizontal="center" vertical="center"/>
    </xf>
    <xf numFmtId="293" fontId="38" fillId="0" borderId="15" xfId="0" applyNumberFormat="1" applyFont="1" applyBorder="1" applyAlignment="1" applyProtection="1">
      <alignment horizontal="center" vertical="center"/>
    </xf>
    <xf numFmtId="293" fontId="38" fillId="0" borderId="17" xfId="0" applyNumberFormat="1" applyFont="1" applyBorder="1" applyAlignment="1" applyProtection="1">
      <alignment horizontal="center" vertical="center"/>
    </xf>
    <xf numFmtId="223" fontId="67" fillId="0" borderId="11" xfId="0" applyNumberFormat="1" applyFont="1" applyBorder="1"/>
    <xf numFmtId="223" fontId="67" fillId="0" borderId="6" xfId="0" applyNumberFormat="1" applyFont="1" applyBorder="1"/>
    <xf numFmtId="274" fontId="23" fillId="0" borderId="12" xfId="0" applyNumberFormat="1" applyFont="1" applyBorder="1"/>
    <xf numFmtId="274" fontId="23" fillId="0" borderId="13" xfId="0" applyNumberFormat="1" applyFont="1" applyBorder="1"/>
    <xf numFmtId="274" fontId="23" fillId="0" borderId="38" xfId="0" applyNumberFormat="1" applyFont="1" applyBorder="1"/>
    <xf numFmtId="274" fontId="23" fillId="0" borderId="67" xfId="0" applyNumberFormat="1" applyFont="1" applyBorder="1"/>
    <xf numFmtId="3" fontId="38" fillId="0" borderId="10" xfId="0" applyNumberFormat="1" applyFont="1" applyBorder="1" applyAlignment="1">
      <alignment horizontal="center" vertical="center" wrapText="1"/>
    </xf>
    <xf numFmtId="258" fontId="38" fillId="0" borderId="31" xfId="6" applyNumberFormat="1" applyFont="1" applyBorder="1" applyAlignment="1">
      <alignment horizontal="center" vertical="center"/>
    </xf>
    <xf numFmtId="258" fontId="38" fillId="0" borderId="0" xfId="6" applyNumberFormat="1" applyFont="1" applyBorder="1" applyAlignment="1">
      <alignment horizontal="center" vertical="center"/>
    </xf>
    <xf numFmtId="3" fontId="38" fillId="0" borderId="7" xfId="0" applyNumberFormat="1" applyFont="1" applyBorder="1" applyAlignment="1">
      <alignment horizontal="left" wrapText="1" indent="1"/>
    </xf>
    <xf numFmtId="166" fontId="38" fillId="0" borderId="51" xfId="6" applyNumberFormat="1" applyFont="1" applyBorder="1" applyAlignment="1">
      <alignment horizontal="center" vertical="center"/>
    </xf>
    <xf numFmtId="3" fontId="67" fillId="2" borderId="2" xfId="0" applyNumberFormat="1" applyFont="1" applyFill="1" applyBorder="1" applyAlignment="1" applyProtection="1">
      <alignment horizontal="center"/>
    </xf>
    <xf numFmtId="206" fontId="23" fillId="0" borderId="10" xfId="0" applyNumberFormat="1" applyFont="1" applyBorder="1" applyAlignment="1" applyProtection="1">
      <alignment horizontal="right"/>
    </xf>
    <xf numFmtId="213" fontId="23" fillId="0" borderId="10" xfId="0" applyNumberFormat="1" applyFont="1" applyBorder="1" applyAlignment="1" applyProtection="1">
      <alignment horizontal="right"/>
    </xf>
    <xf numFmtId="231" fontId="23" fillId="0" borderId="24" xfId="6" applyNumberFormat="1" applyFont="1" applyFill="1" applyBorder="1" applyAlignment="1" applyProtection="1">
      <alignment horizontal="center"/>
    </xf>
    <xf numFmtId="206" fontId="23" fillId="0" borderId="10" xfId="0" applyNumberFormat="1" applyFont="1" applyBorder="1" applyProtection="1"/>
    <xf numFmtId="231" fontId="23" fillId="0" borderId="24" xfId="6" applyNumberFormat="1" applyFont="1" applyBorder="1" applyAlignment="1" applyProtection="1">
      <alignment horizontal="center"/>
    </xf>
    <xf numFmtId="200" fontId="23" fillId="18" borderId="15" xfId="0" applyNumberFormat="1" applyFont="1" applyFill="1" applyBorder="1" applyProtection="1">
      <protection locked="0"/>
    </xf>
    <xf numFmtId="3" fontId="80" fillId="0" borderId="11" xfId="0" applyNumberFormat="1" applyFont="1" applyBorder="1" applyAlignment="1" applyProtection="1">
      <alignment horizontal="center" wrapText="1"/>
      <protection locked="0"/>
    </xf>
    <xf numFmtId="3" fontId="23" fillId="0" borderId="0" xfId="0" applyNumberFormat="1" applyFont="1" applyAlignment="1" applyProtection="1">
      <alignment horizontal="center" vertical="center"/>
      <protection locked="0"/>
    </xf>
    <xf numFmtId="3" fontId="20" fillId="0" borderId="0" xfId="0" applyNumberFormat="1" applyFont="1" applyAlignment="1" applyProtection="1">
      <alignment horizontal="center" vertical="center"/>
      <protection locked="0"/>
    </xf>
    <xf numFmtId="0" fontId="17" fillId="18" borderId="11" xfId="0" applyFont="1" applyFill="1" applyBorder="1" applyAlignment="1" applyProtection="1">
      <alignment horizontal="center" vertical="center"/>
      <protection locked="0"/>
    </xf>
    <xf numFmtId="0" fontId="22" fillId="0" borderId="6" xfId="0" applyFont="1" applyBorder="1" applyAlignment="1">
      <alignment horizontal="centerContinuous" vertical="center"/>
    </xf>
    <xf numFmtId="298" fontId="38" fillId="0" borderId="50" xfId="3" applyNumberFormat="1" applyFont="1" applyBorder="1"/>
    <xf numFmtId="0" fontId="22" fillId="0" borderId="1" xfId="0" applyFont="1" applyBorder="1" applyAlignment="1">
      <alignment horizontal="centerContinuous" vertical="center"/>
    </xf>
    <xf numFmtId="298" fontId="38" fillId="0" borderId="7" xfId="3" applyNumberFormat="1" applyFont="1" applyBorder="1"/>
    <xf numFmtId="298" fontId="38" fillId="0" borderId="22" xfId="3" applyNumberFormat="1" applyFont="1" applyBorder="1"/>
    <xf numFmtId="298" fontId="38" fillId="0" borderId="24" xfId="3" applyNumberFormat="1" applyFont="1" applyBorder="1"/>
    <xf numFmtId="298" fontId="38" fillId="0" borderId="69" xfId="3" applyNumberFormat="1" applyFont="1" applyBorder="1"/>
    <xf numFmtId="298" fontId="38" fillId="0" borderId="53" xfId="3" applyNumberFormat="1" applyFont="1" applyBorder="1"/>
    <xf numFmtId="298" fontId="38" fillId="0" borderId="47" xfId="3" applyNumberFormat="1" applyFont="1" applyBorder="1"/>
    <xf numFmtId="298" fontId="38" fillId="0" borderId="9" xfId="3" applyNumberFormat="1" applyFont="1" applyBorder="1" applyAlignment="1">
      <alignment shrinkToFit="1"/>
    </xf>
    <xf numFmtId="298" fontId="38" fillId="0" borderId="72" xfId="3" applyNumberFormat="1" applyFont="1" applyBorder="1" applyAlignment="1">
      <alignment shrinkToFit="1"/>
    </xf>
    <xf numFmtId="298" fontId="38" fillId="0" borderId="25" xfId="3" applyNumberFormat="1" applyFont="1" applyBorder="1" applyAlignment="1">
      <alignment shrinkToFit="1"/>
    </xf>
    <xf numFmtId="0" fontId="14" fillId="0" borderId="1" xfId="0" applyFont="1" applyBorder="1" applyAlignment="1">
      <alignment horizontal="center" vertical="center"/>
    </xf>
    <xf numFmtId="0" fontId="109" fillId="0" borderId="0" xfId="7" applyFont="1" applyAlignment="1">
      <alignment horizontal="center"/>
    </xf>
    <xf numFmtId="0" fontId="109" fillId="0" borderId="0" xfId="7" applyFont="1" applyAlignment="1">
      <alignment horizontal="left" indent="1"/>
    </xf>
    <xf numFmtId="304" fontId="109" fillId="0" borderId="0" xfId="7" applyNumberFormat="1" applyFont="1" applyAlignment="1">
      <alignment horizontal="right" indent="1"/>
    </xf>
    <xf numFmtId="0" fontId="113" fillId="0" borderId="0" xfId="7" quotePrefix="1" applyFont="1" applyAlignment="1">
      <alignment horizontal="center"/>
    </xf>
    <xf numFmtId="3" fontId="109" fillId="0" borderId="0" xfId="7" applyNumberFormat="1" applyFont="1" applyAlignment="1">
      <alignment horizontal="right" indent="1"/>
    </xf>
    <xf numFmtId="0" fontId="21" fillId="0" borderId="6" xfId="0" applyFont="1" applyBorder="1" applyAlignment="1">
      <alignment horizontal="right" vertical="center" indent="1"/>
    </xf>
    <xf numFmtId="303" fontId="23" fillId="0" borderId="44" xfId="6" applyNumberFormat="1" applyFont="1" applyBorder="1" applyAlignment="1" applyProtection="1">
      <alignment horizontal="right" vertical="center" indent="1"/>
    </xf>
    <xf numFmtId="0" fontId="1" fillId="0" borderId="0" xfId="8"/>
    <xf numFmtId="0" fontId="1" fillId="0" borderId="0" xfId="8" quotePrefix="1"/>
    <xf numFmtId="0" fontId="1" fillId="0" borderId="0" xfId="8" applyAlignment="1">
      <alignment horizontal="left" indent="1"/>
    </xf>
    <xf numFmtId="9" fontId="1" fillId="0" borderId="0" xfId="8" applyNumberFormat="1" applyAlignment="1">
      <alignment horizontal="right" indent="1"/>
    </xf>
    <xf numFmtId="9" fontId="1" fillId="0" borderId="0" xfId="8" applyNumberFormat="1"/>
    <xf numFmtId="6" fontId="1" fillId="0" borderId="0" xfId="8" applyNumberFormat="1"/>
    <xf numFmtId="0" fontId="1" fillId="0" borderId="0" xfId="8" applyAlignment="1">
      <alignment horizontal="right" indent="1"/>
    </xf>
    <xf numFmtId="10" fontId="0" fillId="0" borderId="0" xfId="9" applyNumberFormat="1" applyFont="1"/>
    <xf numFmtId="0" fontId="1" fillId="20" borderId="0" xfId="8" applyFill="1" applyAlignment="1">
      <alignment horizontal="centerContinuous" vertical="center" wrapText="1"/>
    </xf>
    <xf numFmtId="0" fontId="1" fillId="21" borderId="37" xfId="8" applyFill="1" applyBorder="1" applyAlignment="1">
      <alignment horizontal="centerContinuous" wrapText="1"/>
    </xf>
    <xf numFmtId="0" fontId="1" fillId="21" borderId="25" xfId="8" applyFill="1" applyBorder="1" applyAlignment="1">
      <alignment horizontal="centerContinuous" wrapText="1"/>
    </xf>
    <xf numFmtId="0" fontId="1" fillId="0" borderId="0" xfId="8" applyAlignment="1">
      <alignment horizontal="center" vertical="center" wrapText="1"/>
    </xf>
    <xf numFmtId="0" fontId="1" fillId="20" borderId="0" xfId="8" applyFill="1" applyAlignment="1">
      <alignment horizontal="center" vertical="center" wrapText="1"/>
    </xf>
    <xf numFmtId="0" fontId="1" fillId="20" borderId="86" xfId="8" applyFill="1" applyBorder="1" applyAlignment="1">
      <alignment horizontal="center" vertical="center" wrapText="1"/>
    </xf>
    <xf numFmtId="0" fontId="1" fillId="20" borderId="87" xfId="8" applyFill="1" applyBorder="1" applyAlignment="1">
      <alignment horizontal="center" vertical="center" wrapText="1"/>
    </xf>
    <xf numFmtId="4" fontId="1" fillId="0" borderId="20" xfId="8" applyNumberFormat="1" applyBorder="1" applyAlignment="1">
      <alignment horizontal="right" vertical="center" indent="1"/>
    </xf>
    <xf numFmtId="4" fontId="1" fillId="0" borderId="22" xfId="8" applyNumberFormat="1" applyBorder="1" applyAlignment="1">
      <alignment horizontal="right" vertical="center" indent="1"/>
    </xf>
    <xf numFmtId="4" fontId="1" fillId="0" borderId="23" xfId="8" applyNumberFormat="1" applyBorder="1" applyAlignment="1">
      <alignment horizontal="right" vertical="center" indent="1"/>
    </xf>
    <xf numFmtId="4" fontId="1" fillId="0" borderId="24" xfId="8" applyNumberFormat="1" applyBorder="1" applyAlignment="1">
      <alignment horizontal="right" vertical="center" indent="1"/>
    </xf>
    <xf numFmtId="4" fontId="1" fillId="0" borderId="34" xfId="8" applyNumberFormat="1" applyBorder="1" applyAlignment="1">
      <alignment horizontal="right" vertical="center" indent="1"/>
    </xf>
    <xf numFmtId="4" fontId="1" fillId="0" borderId="4" xfId="8" applyNumberFormat="1" applyBorder="1" applyAlignment="1">
      <alignment horizontal="right" vertical="center" indent="1"/>
    </xf>
    <xf numFmtId="4" fontId="1" fillId="0" borderId="0" xfId="8" applyNumberFormat="1" applyAlignment="1">
      <alignment horizontal="right" vertical="center" indent="1"/>
    </xf>
    <xf numFmtId="0" fontId="1" fillId="0" borderId="54" xfId="8" applyBorder="1" applyAlignment="1">
      <alignment horizontal="right" indent="1"/>
    </xf>
    <xf numFmtId="2" fontId="1" fillId="0" borderId="5" xfId="8" applyNumberFormat="1" applyBorder="1" applyAlignment="1">
      <alignment horizontal="right" indent="1"/>
    </xf>
    <xf numFmtId="0" fontId="1" fillId="0" borderId="48" xfId="8" applyBorder="1" applyAlignment="1">
      <alignment horizontal="right" indent="1"/>
    </xf>
    <xf numFmtId="4" fontId="1" fillId="0" borderId="51" xfId="8" applyNumberFormat="1" applyBorder="1" applyAlignment="1">
      <alignment horizontal="right" indent="1"/>
    </xf>
    <xf numFmtId="2" fontId="1" fillId="0" borderId="24" xfId="8" applyNumberFormat="1" applyBorder="1" applyAlignment="1">
      <alignment horizontal="right" indent="1"/>
    </xf>
    <xf numFmtId="4" fontId="1" fillId="0" borderId="23" xfId="8" applyNumberFormat="1" applyBorder="1" applyAlignment="1">
      <alignment horizontal="right" indent="1"/>
    </xf>
    <xf numFmtId="4" fontId="1" fillId="22" borderId="51" xfId="8" applyNumberFormat="1" applyFill="1" applyBorder="1" applyAlignment="1">
      <alignment horizontal="right" indent="1"/>
    </xf>
    <xf numFmtId="4" fontId="1" fillId="0" borderId="63" xfId="8" applyNumberFormat="1" applyBorder="1" applyAlignment="1">
      <alignment horizontal="right" indent="1"/>
    </xf>
    <xf numFmtId="2" fontId="1" fillId="0" borderId="4" xfId="8" applyNumberFormat="1" applyBorder="1" applyAlignment="1">
      <alignment horizontal="right" indent="1"/>
    </xf>
    <xf numFmtId="4" fontId="1" fillId="0" borderId="34" xfId="8" applyNumberFormat="1" applyBorder="1" applyAlignment="1">
      <alignment horizontal="right" indent="1"/>
    </xf>
    <xf numFmtId="178" fontId="21" fillId="0" borderId="0" xfId="0" applyNumberFormat="1" applyFont="1" applyAlignment="1">
      <alignment horizontal="left"/>
    </xf>
    <xf numFmtId="3" fontId="22" fillId="0" borderId="0" xfId="0" applyNumberFormat="1" applyFont="1"/>
    <xf numFmtId="3" fontId="129" fillId="0" borderId="0" xfId="0" applyNumberFormat="1" applyFont="1" applyAlignment="1">
      <alignment horizontal="left" indent="2"/>
    </xf>
    <xf numFmtId="0" fontId="64" fillId="0" borderId="72" xfId="0" applyFont="1" applyBorder="1" applyAlignment="1">
      <alignment horizontal="right" vertical="center" indent="1"/>
    </xf>
    <xf numFmtId="0" fontId="23" fillId="0" borderId="71" xfId="0" applyFont="1" applyBorder="1" applyAlignment="1">
      <alignment horizontal="right" indent="1"/>
    </xf>
    <xf numFmtId="305" fontId="22" fillId="0" borderId="12" xfId="0" applyNumberFormat="1" applyFont="1" applyBorder="1" applyAlignment="1">
      <alignment horizontal="center"/>
    </xf>
    <xf numFmtId="305" fontId="22" fillId="0" borderId="13" xfId="0" applyNumberFormat="1" applyFont="1" applyBorder="1" applyAlignment="1">
      <alignment horizontal="center"/>
    </xf>
    <xf numFmtId="305" fontId="22" fillId="0" borderId="7" xfId="0" applyNumberFormat="1" applyFont="1" applyBorder="1" applyAlignment="1">
      <alignment horizontal="center"/>
    </xf>
    <xf numFmtId="306" fontId="38" fillId="0" borderId="12" xfId="0" applyNumberFormat="1" applyFont="1" applyBorder="1"/>
    <xf numFmtId="306" fontId="38" fillId="0" borderId="13" xfId="0" applyNumberFormat="1" applyFont="1" applyBorder="1"/>
    <xf numFmtId="306" fontId="38" fillId="0" borderId="7" xfId="0" applyNumberFormat="1" applyFont="1" applyBorder="1"/>
    <xf numFmtId="0" fontId="22" fillId="0" borderId="43" xfId="0" applyFont="1" applyBorder="1" applyAlignment="1">
      <alignment horizontal="right" indent="1"/>
    </xf>
    <xf numFmtId="0" fontId="111" fillId="0" borderId="43" xfId="0" applyFont="1" applyBorder="1" applyAlignment="1">
      <alignment horizontal="right" indent="1"/>
    </xf>
    <xf numFmtId="0" fontId="23" fillId="0" borderId="43" xfId="0" applyFont="1" applyBorder="1" applyAlignment="1">
      <alignment horizontal="right" indent="1"/>
    </xf>
    <xf numFmtId="0" fontId="61" fillId="0" borderId="56" xfId="0" applyFont="1" applyBorder="1"/>
    <xf numFmtId="0" fontId="61" fillId="0" borderId="26" xfId="0" applyFont="1" applyBorder="1"/>
    <xf numFmtId="208" fontId="44" fillId="0" borderId="30" xfId="0" applyNumberFormat="1" applyFont="1" applyBorder="1" applyAlignment="1">
      <alignment horizontal="center" wrapText="1"/>
    </xf>
    <xf numFmtId="208" fontId="44" fillId="0" borderId="26" xfId="0" applyNumberFormat="1" applyFont="1" applyBorder="1" applyAlignment="1">
      <alignment horizontal="center" wrapText="1"/>
    </xf>
    <xf numFmtId="208" fontId="44" fillId="0" borderId="56" xfId="0" applyNumberFormat="1" applyFont="1" applyBorder="1" applyAlignment="1">
      <alignment horizontal="center" wrapText="1"/>
    </xf>
    <xf numFmtId="0" fontId="21" fillId="0" borderId="23" xfId="0" applyFont="1" applyBorder="1"/>
    <xf numFmtId="0" fontId="21" fillId="0" borderId="20" xfId="0" applyFont="1" applyBorder="1"/>
    <xf numFmtId="0" fontId="21" fillId="0" borderId="16" xfId="0" applyFont="1" applyBorder="1"/>
    <xf numFmtId="0" fontId="20" fillId="0" borderId="44" xfId="0" applyFont="1" applyBorder="1" applyAlignment="1">
      <alignment horizontal="right" indent="1"/>
    </xf>
    <xf numFmtId="3" fontId="17" fillId="0" borderId="155" xfId="0" applyNumberFormat="1" applyFont="1" applyBorder="1" applyAlignment="1">
      <alignment horizontal="center" vertical="center"/>
    </xf>
    <xf numFmtId="286" fontId="38" fillId="0" borderId="12" xfId="0" applyNumberFormat="1" applyFont="1" applyBorder="1" applyAlignment="1">
      <alignment horizontal="center"/>
    </xf>
    <xf numFmtId="286" fontId="38" fillId="0" borderId="13" xfId="0" applyNumberFormat="1" applyFont="1" applyBorder="1" applyAlignment="1">
      <alignment horizontal="center"/>
    </xf>
    <xf numFmtId="286" fontId="38" fillId="0" borderId="7" xfId="0" applyNumberFormat="1" applyFont="1" applyBorder="1" applyAlignment="1">
      <alignment horizontal="center"/>
    </xf>
    <xf numFmtId="307" fontId="22" fillId="0" borderId="12" xfId="0" applyNumberFormat="1" applyFont="1" applyBorder="1"/>
    <xf numFmtId="307" fontId="22" fillId="0" borderId="13" xfId="0" applyNumberFormat="1" applyFont="1" applyBorder="1"/>
    <xf numFmtId="307" fontId="22" fillId="0" borderId="98" xfId="0" applyNumberFormat="1" applyFont="1" applyBorder="1"/>
    <xf numFmtId="307" fontId="22" fillId="0" borderId="38" xfId="0" applyNumberFormat="1" applyFont="1" applyBorder="1"/>
    <xf numFmtId="307" fontId="22" fillId="0" borderId="67" xfId="0" applyNumberFormat="1" applyFont="1" applyBorder="1"/>
    <xf numFmtId="307" fontId="22" fillId="0" borderId="154" xfId="0" applyNumberFormat="1" applyFont="1" applyBorder="1"/>
    <xf numFmtId="307" fontId="22" fillId="0" borderId="11" xfId="0" applyNumberFormat="1" applyFont="1" applyBorder="1" applyAlignment="1">
      <alignment vertical="center"/>
    </xf>
    <xf numFmtId="307" fontId="22" fillId="0" borderId="6" xfId="0" applyNumberFormat="1" applyFont="1" applyBorder="1" applyAlignment="1">
      <alignment vertical="center"/>
    </xf>
    <xf numFmtId="307" fontId="22" fillId="0" borderId="1" xfId="0" applyNumberFormat="1" applyFont="1" applyBorder="1" applyAlignment="1">
      <alignment vertical="center"/>
    </xf>
    <xf numFmtId="307" fontId="38" fillId="0" borderId="12" xfId="0" applyNumberFormat="1" applyFont="1" applyBorder="1"/>
    <xf numFmtId="307" fontId="38" fillId="0" borderId="13" xfId="0" applyNumberFormat="1" applyFont="1" applyBorder="1"/>
    <xf numFmtId="307" fontId="38" fillId="0" borderId="98" xfId="0" applyNumberFormat="1" applyFont="1" applyBorder="1"/>
    <xf numFmtId="302" fontId="23" fillId="0" borderId="125" xfId="6" applyNumberFormat="1" applyFont="1" applyBorder="1" applyAlignment="1">
      <alignment horizontal="center" vertical="center"/>
    </xf>
    <xf numFmtId="302" fontId="23" fillId="0" borderId="124" xfId="6" applyNumberFormat="1" applyFont="1" applyBorder="1" applyAlignment="1">
      <alignment horizontal="center" vertical="center"/>
    </xf>
    <xf numFmtId="302" fontId="23" fillId="0" borderId="125" xfId="6" applyNumberFormat="1" applyFont="1" applyFill="1" applyBorder="1" applyAlignment="1">
      <alignment horizontal="center" vertical="center"/>
    </xf>
    <xf numFmtId="302" fontId="23" fillId="0" borderId="112" xfId="6" applyNumberFormat="1" applyFont="1" applyFill="1" applyBorder="1" applyAlignment="1">
      <alignment horizontal="center" vertical="center"/>
    </xf>
    <xf numFmtId="286" fontId="38" fillId="15" borderId="12" xfId="0" applyNumberFormat="1" applyFont="1" applyFill="1" applyBorder="1" applyProtection="1">
      <protection locked="0"/>
    </xf>
    <xf numFmtId="0" fontId="21" fillId="0" borderId="49" xfId="0" applyFont="1" applyBorder="1"/>
    <xf numFmtId="0" fontId="23" fillId="0" borderId="42" xfId="0" applyFont="1" applyBorder="1" applyAlignment="1">
      <alignment horizontal="right" indent="1"/>
    </xf>
    <xf numFmtId="306" fontId="38" fillId="0" borderId="18" xfId="0" applyNumberFormat="1" applyFont="1" applyBorder="1"/>
    <xf numFmtId="306" fontId="38" fillId="0" borderId="61" xfId="0" applyNumberFormat="1" applyFont="1" applyBorder="1"/>
    <xf numFmtId="306" fontId="38" fillId="0" borderId="49" xfId="0" applyNumberFormat="1" applyFont="1" applyBorder="1"/>
    <xf numFmtId="0" fontId="23" fillId="0" borderId="44" xfId="0" applyFont="1" applyBorder="1" applyAlignment="1">
      <alignment horizontal="right" indent="1"/>
    </xf>
    <xf numFmtId="306" fontId="38" fillId="0" borderId="19" xfId="0" applyNumberFormat="1" applyFont="1" applyBorder="1"/>
    <xf numFmtId="306" fontId="38" fillId="0" borderId="62" xfId="0" applyNumberFormat="1" applyFont="1" applyBorder="1"/>
    <xf numFmtId="306" fontId="38" fillId="0" borderId="16" xfId="0" applyNumberFormat="1" applyFont="1" applyBorder="1"/>
    <xf numFmtId="292" fontId="23" fillId="2" borderId="54" xfId="0" applyNumberFormat="1" applyFont="1" applyFill="1" applyBorder="1" applyProtection="1">
      <protection locked="0"/>
    </xf>
    <xf numFmtId="292" fontId="23" fillId="2" borderId="3" xfId="0" applyNumberFormat="1" applyFont="1" applyFill="1" applyBorder="1" applyProtection="1">
      <protection locked="0"/>
    </xf>
    <xf numFmtId="292" fontId="23" fillId="2" borderId="55" xfId="0" applyNumberFormat="1" applyFont="1" applyFill="1" applyBorder="1" applyProtection="1">
      <protection locked="0"/>
    </xf>
    <xf numFmtId="292" fontId="20" fillId="0" borderId="15" xfId="0" applyNumberFormat="1" applyFont="1" applyBorder="1"/>
    <xf numFmtId="292" fontId="23" fillId="2" borderId="51" xfId="0" applyNumberFormat="1" applyFont="1" applyFill="1" applyBorder="1" applyProtection="1">
      <protection locked="0"/>
    </xf>
    <xf numFmtId="292" fontId="23" fillId="2" borderId="2" xfId="0" applyNumberFormat="1" applyFont="1" applyFill="1" applyBorder="1" applyProtection="1">
      <protection locked="0"/>
    </xf>
    <xf numFmtId="292" fontId="23" fillId="2" borderId="50" xfId="0" applyNumberFormat="1" applyFont="1" applyFill="1" applyBorder="1" applyProtection="1">
      <protection locked="0"/>
    </xf>
    <xf numFmtId="292" fontId="20" fillId="0" borderId="12" xfId="0" applyNumberFormat="1" applyFont="1" applyBorder="1"/>
    <xf numFmtId="292" fontId="23" fillId="2" borderId="52" xfId="0" applyNumberFormat="1" applyFont="1" applyFill="1" applyBorder="1" applyProtection="1">
      <protection locked="0"/>
    </xf>
    <xf numFmtId="292" fontId="23" fillId="2" borderId="46" xfId="0" applyNumberFormat="1" applyFont="1" applyFill="1" applyBorder="1" applyProtection="1">
      <protection locked="0"/>
    </xf>
    <xf numFmtId="292" fontId="23" fillId="2" borderId="53" xfId="0" applyNumberFormat="1" applyFont="1" applyFill="1" applyBorder="1" applyProtection="1">
      <protection locked="0"/>
    </xf>
    <xf numFmtId="292" fontId="20" fillId="0" borderId="38" xfId="0" applyNumberFormat="1" applyFont="1" applyBorder="1"/>
    <xf numFmtId="223" fontId="23" fillId="2" borderId="2" xfId="0" applyNumberFormat="1" applyFont="1" applyFill="1" applyBorder="1" applyProtection="1">
      <protection locked="0"/>
    </xf>
    <xf numFmtId="223" fontId="23" fillId="2" borderId="51" xfId="0" applyNumberFormat="1" applyFont="1" applyFill="1" applyBorder="1" applyProtection="1">
      <protection locked="0"/>
    </xf>
    <xf numFmtId="223" fontId="23" fillId="2" borderId="50" xfId="0" applyNumberFormat="1" applyFont="1" applyFill="1" applyBorder="1" applyProtection="1">
      <protection locked="0"/>
    </xf>
    <xf numFmtId="223" fontId="23" fillId="2" borderId="52" xfId="0" applyNumberFormat="1" applyFont="1" applyFill="1" applyBorder="1" applyProtection="1">
      <protection locked="0"/>
    </xf>
    <xf numFmtId="223" fontId="23" fillId="2" borderId="46" xfId="0" applyNumberFormat="1" applyFont="1" applyFill="1" applyBorder="1" applyProtection="1">
      <protection locked="0"/>
    </xf>
    <xf numFmtId="223" fontId="23" fillId="2" borderId="53" xfId="0" applyNumberFormat="1" applyFont="1" applyFill="1" applyBorder="1" applyProtection="1">
      <protection locked="0"/>
    </xf>
    <xf numFmtId="308" fontId="38" fillId="0" borderId="18" xfId="0" applyNumberFormat="1" applyFont="1" applyBorder="1" applyAlignment="1" applyProtection="1">
      <alignment horizontal="center" vertical="center"/>
    </xf>
    <xf numFmtId="308" fontId="38" fillId="0" borderId="15" xfId="0" applyNumberFormat="1" applyFont="1" applyBorder="1" applyAlignment="1" applyProtection="1">
      <alignment horizontal="center" vertical="center"/>
    </xf>
    <xf numFmtId="308" fontId="38" fillId="0" borderId="17" xfId="0" applyNumberFormat="1" applyFont="1" applyBorder="1" applyAlignment="1" applyProtection="1">
      <alignment horizontal="center" vertical="center"/>
    </xf>
    <xf numFmtId="3" fontId="110" fillId="0" borderId="0" xfId="0" applyNumberFormat="1" applyFont="1" applyAlignment="1">
      <alignment horizontal="left"/>
    </xf>
    <xf numFmtId="9" fontId="31" fillId="0" borderId="0" xfId="6" applyFont="1" applyFill="1" applyAlignment="1">
      <alignment horizontal="center"/>
    </xf>
    <xf numFmtId="166" fontId="31" fillId="0" borderId="0" xfId="6" applyNumberFormat="1" applyFont="1" applyFill="1" applyAlignment="1">
      <alignment horizontal="center"/>
    </xf>
    <xf numFmtId="9" fontId="53" fillId="0" borderId="0" xfId="6" applyFont="1" applyFill="1" applyAlignment="1">
      <alignment horizontal="center"/>
    </xf>
    <xf numFmtId="0" fontId="113" fillId="0" borderId="0" xfId="7" applyFont="1" applyAlignment="1">
      <alignment horizontal="center"/>
    </xf>
    <xf numFmtId="285" fontId="21" fillId="15" borderId="15" xfId="1" applyNumberFormat="1" applyFont="1" applyFill="1" applyBorder="1" applyAlignment="1" applyProtection="1">
      <alignment horizontal="center" vertical="center"/>
      <protection locked="0"/>
    </xf>
    <xf numFmtId="0" fontId="38" fillId="15" borderId="2" xfId="0" applyFont="1" applyFill="1" applyBorder="1" applyAlignment="1" applyProtection="1">
      <alignment horizontal="center" vertical="center"/>
      <protection locked="0"/>
    </xf>
    <xf numFmtId="286" fontId="38" fillId="0" borderId="18" xfId="0" applyNumberFormat="1" applyFont="1" applyBorder="1"/>
    <xf numFmtId="286" fontId="38" fillId="0" borderId="61" xfId="0" applyNumberFormat="1" applyFont="1" applyBorder="1"/>
    <xf numFmtId="286" fontId="38" fillId="0" borderId="49" xfId="0" applyNumberFormat="1" applyFont="1" applyBorder="1"/>
    <xf numFmtId="309" fontId="23" fillId="0" borderId="21" xfId="0" quotePrefix="1" applyNumberFormat="1" applyFont="1" applyBorder="1" applyAlignment="1">
      <alignment horizontal="right" indent="1"/>
    </xf>
    <xf numFmtId="284" fontId="20" fillId="0" borderId="35" xfId="6" applyNumberFormat="1" applyFont="1" applyFill="1" applyBorder="1" applyAlignment="1">
      <alignment horizontal="center"/>
    </xf>
    <xf numFmtId="166" fontId="124" fillId="0" borderId="19" xfId="6" applyNumberFormat="1" applyFont="1" applyFill="1" applyBorder="1" applyAlignment="1">
      <alignment horizontal="right" indent="1"/>
    </xf>
    <xf numFmtId="202" fontId="22" fillId="0" borderId="5" xfId="0" applyNumberFormat="1" applyFont="1" applyBorder="1" applyAlignment="1">
      <alignment vertical="center"/>
    </xf>
    <xf numFmtId="0" fontId="21" fillId="0" borderId="1" xfId="0" applyFont="1" applyBorder="1" applyAlignment="1">
      <alignment horizontal="right" indent="1"/>
    </xf>
    <xf numFmtId="2" fontId="21" fillId="0" borderId="11" xfId="0" applyNumberFormat="1" applyFont="1" applyBorder="1" applyAlignment="1">
      <alignment horizontal="right" indent="1"/>
    </xf>
    <xf numFmtId="202" fontId="22" fillId="0" borderId="22" xfId="0" applyNumberFormat="1" applyFont="1" applyBorder="1" applyAlignment="1">
      <alignment vertical="center"/>
    </xf>
    <xf numFmtId="284" fontId="22" fillId="0" borderId="25" xfId="0" applyNumberFormat="1" applyFont="1" applyBorder="1" applyAlignment="1">
      <alignment horizontal="center"/>
    </xf>
    <xf numFmtId="0" fontId="38" fillId="0" borderId="9" xfId="0" applyFont="1" applyBorder="1" applyAlignment="1">
      <alignment horizontal="centerContinuous"/>
    </xf>
    <xf numFmtId="0" fontId="21" fillId="0" borderId="39" xfId="0" applyFont="1" applyBorder="1" applyAlignment="1">
      <alignment horizontal="centerContinuous"/>
    </xf>
    <xf numFmtId="284" fontId="38" fillId="0" borderId="36" xfId="0" applyNumberFormat="1" applyFont="1" applyBorder="1" applyAlignment="1">
      <alignment horizontal="center"/>
    </xf>
    <xf numFmtId="284" fontId="22" fillId="0" borderId="36" xfId="0" applyNumberFormat="1" applyFont="1" applyBorder="1" applyAlignment="1">
      <alignment horizontal="center"/>
    </xf>
    <xf numFmtId="0" fontId="38" fillId="0" borderId="8" xfId="0" applyFont="1" applyBorder="1" applyAlignment="1">
      <alignment horizontal="left" indent="1"/>
    </xf>
    <xf numFmtId="0" fontId="21" fillId="0" borderId="54" xfId="0" applyFont="1" applyBorder="1"/>
    <xf numFmtId="194" fontId="38" fillId="0" borderId="3" xfId="0" applyNumberFormat="1" applyFont="1" applyBorder="1"/>
    <xf numFmtId="0" fontId="17" fillId="0" borderId="0" xfId="0" applyFont="1" applyAlignment="1">
      <alignment horizontal="left" vertical="center" indent="3"/>
    </xf>
    <xf numFmtId="2" fontId="21" fillId="0" borderId="2" xfId="0" applyNumberFormat="1" applyFont="1" applyBorder="1" applyAlignment="1">
      <alignment horizontal="center" vertical="center"/>
    </xf>
    <xf numFmtId="0" fontId="17" fillId="0" borderId="2" xfId="0" applyFont="1" applyBorder="1" applyAlignment="1">
      <alignment horizontal="right" indent="1"/>
    </xf>
    <xf numFmtId="2" fontId="21" fillId="24" borderId="2" xfId="0" applyNumberFormat="1" applyFont="1" applyFill="1" applyBorder="1" applyAlignment="1">
      <alignment horizontal="center" vertical="center"/>
    </xf>
    <xf numFmtId="2" fontId="21" fillId="24" borderId="2" xfId="0" applyNumberFormat="1" applyFont="1" applyFill="1" applyBorder="1" applyAlignment="1">
      <alignment horizontal="center" vertical="center" wrapText="1"/>
    </xf>
    <xf numFmtId="0" fontId="41" fillId="23" borderId="12" xfId="0" applyFont="1" applyFill="1" applyBorder="1" applyAlignment="1">
      <alignment horizontal="right" vertical="center" indent="1"/>
    </xf>
    <xf numFmtId="0" fontId="41" fillId="23" borderId="19" xfId="0" applyFont="1" applyFill="1" applyBorder="1" applyAlignment="1">
      <alignment horizontal="right" vertical="center" indent="1"/>
    </xf>
    <xf numFmtId="2" fontId="21" fillId="0" borderId="23" xfId="0" applyNumberFormat="1" applyFont="1" applyBorder="1" applyAlignment="1">
      <alignment horizontal="center" vertical="center"/>
    </xf>
    <xf numFmtId="2" fontId="21" fillId="0" borderId="24" xfId="0" applyNumberFormat="1" applyFont="1" applyBorder="1" applyAlignment="1">
      <alignment horizontal="center" vertical="center"/>
    </xf>
    <xf numFmtId="2" fontId="21" fillId="0" borderId="34" xfId="0" applyNumberFormat="1" applyFont="1" applyBorder="1" applyAlignment="1">
      <alignment horizontal="center" vertical="center"/>
    </xf>
    <xf numFmtId="2" fontId="21" fillId="0" borderId="35" xfId="0" applyNumberFormat="1" applyFont="1" applyBorder="1" applyAlignment="1">
      <alignment horizontal="center" vertical="center"/>
    </xf>
    <xf numFmtId="2" fontId="21" fillId="0" borderId="4" xfId="0" applyNumberFormat="1" applyFont="1" applyBorder="1" applyAlignment="1">
      <alignment horizontal="center" vertical="center"/>
    </xf>
    <xf numFmtId="0" fontId="41" fillId="23" borderId="15" xfId="0" applyFont="1" applyFill="1" applyBorder="1" applyAlignment="1">
      <alignment horizontal="right" vertical="center" indent="1"/>
    </xf>
    <xf numFmtId="2" fontId="21" fillId="0" borderId="48" xfId="0" applyNumberFormat="1" applyFont="1" applyBorder="1" applyAlignment="1">
      <alignment horizontal="center" vertical="center"/>
    </xf>
    <xf numFmtId="2" fontId="21" fillId="0" borderId="3" xfId="0" applyNumberFormat="1" applyFont="1" applyBorder="1" applyAlignment="1">
      <alignment horizontal="center" vertical="center"/>
    </xf>
    <xf numFmtId="2" fontId="21" fillId="0" borderId="5" xfId="0" applyNumberFormat="1" applyFont="1" applyBorder="1" applyAlignment="1">
      <alignment horizontal="center" vertical="center"/>
    </xf>
    <xf numFmtId="0" fontId="17" fillId="23" borderId="11" xfId="0" applyFont="1" applyFill="1" applyBorder="1" applyAlignment="1">
      <alignment horizontal="center" vertical="center"/>
    </xf>
    <xf numFmtId="0" fontId="17" fillId="0" borderId="37"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11" xfId="0" applyFont="1" applyBorder="1" applyAlignment="1">
      <alignment horizontal="left" vertical="center" indent="3"/>
    </xf>
    <xf numFmtId="268" fontId="41" fillId="23" borderId="19" xfId="0" applyNumberFormat="1" applyFont="1" applyFill="1" applyBorder="1" applyAlignment="1">
      <alignment horizontal="right" vertical="center" indent="1"/>
    </xf>
    <xf numFmtId="0" fontId="130" fillId="0" borderId="0" xfId="0" applyFont="1"/>
    <xf numFmtId="0" fontId="130" fillId="0" borderId="0" xfId="0" applyFont="1" applyAlignment="1">
      <alignment horizontal="center" vertical="center"/>
    </xf>
    <xf numFmtId="0" fontId="81" fillId="0" borderId="0" xfId="0" applyFont="1" applyAlignment="1">
      <alignment horizontal="left" vertical="center" indent="3"/>
    </xf>
    <xf numFmtId="0" fontId="81" fillId="0" borderId="2" xfId="0" applyFont="1" applyBorder="1" applyAlignment="1">
      <alignment horizontal="center" vertical="center"/>
    </xf>
    <xf numFmtId="0" fontId="17" fillId="0" borderId="2" xfId="0" applyFont="1" applyBorder="1" applyAlignment="1">
      <alignment horizontal="center" vertical="center"/>
    </xf>
    <xf numFmtId="0" fontId="20" fillId="0" borderId="2" xfId="0" applyFont="1" applyBorder="1" applyAlignment="1">
      <alignment horizontal="center" vertical="center"/>
    </xf>
    <xf numFmtId="0" fontId="21" fillId="0" borderId="2" xfId="0" applyFont="1" applyBorder="1" applyAlignment="1">
      <alignment horizontal="right" indent="1"/>
    </xf>
    <xf numFmtId="9" fontId="21" fillId="0" borderId="2" xfId="6" applyFont="1" applyBorder="1" applyAlignment="1">
      <alignment horizontal="center" vertical="center"/>
    </xf>
    <xf numFmtId="0" fontId="21" fillId="0" borderId="15" xfId="0" applyFont="1" applyBorder="1" applyAlignment="1">
      <alignment vertical="center"/>
    </xf>
    <xf numFmtId="0" fontId="21" fillId="0" borderId="12" xfId="0" applyFont="1" applyBorder="1" applyAlignment="1">
      <alignment vertical="center"/>
    </xf>
    <xf numFmtId="0" fontId="21" fillId="0" borderId="19" xfId="0" applyFont="1" applyBorder="1" applyAlignment="1">
      <alignment vertical="center"/>
    </xf>
    <xf numFmtId="0" fontId="114" fillId="0" borderId="0" xfId="0" applyFont="1"/>
    <xf numFmtId="0" fontId="121" fillId="0" borderId="0" xfId="0" applyFont="1"/>
    <xf numFmtId="266" fontId="121" fillId="0" borderId="0" xfId="0" applyNumberFormat="1" applyFont="1" applyAlignment="1">
      <alignment vertical="center"/>
    </xf>
    <xf numFmtId="9" fontId="128" fillId="0" borderId="0" xfId="6" applyFont="1" applyFill="1" applyAlignment="1">
      <alignment horizontal="center"/>
    </xf>
    <xf numFmtId="10" fontId="1" fillId="0" borderId="0" xfId="6" applyNumberFormat="1" applyFont="1"/>
    <xf numFmtId="10" fontId="1" fillId="0" borderId="0" xfId="6" applyNumberFormat="1" applyFont="1" applyAlignment="1">
      <alignment horizontal="center" vertical="center" wrapText="1"/>
    </xf>
    <xf numFmtId="203" fontId="120" fillId="0" borderId="0" xfId="0" applyNumberFormat="1" applyFont="1" applyAlignment="1">
      <alignment horizontal="left" indent="2"/>
    </xf>
    <xf numFmtId="179" fontId="120" fillId="0" borderId="0" xfId="0" applyNumberFormat="1" applyFont="1" applyAlignment="1">
      <alignment horizontal="left" indent="2"/>
    </xf>
    <xf numFmtId="208" fontId="121" fillId="0" borderId="0" xfId="0" applyNumberFormat="1" applyFont="1" applyAlignment="1">
      <alignment horizontal="center"/>
    </xf>
    <xf numFmtId="291" fontId="114" fillId="0" borderId="0" xfId="0" applyNumberFormat="1" applyFont="1" applyAlignment="1">
      <alignment horizontal="center"/>
    </xf>
    <xf numFmtId="291" fontId="114" fillId="0" borderId="0" xfId="0" applyNumberFormat="1" applyFont="1"/>
    <xf numFmtId="179" fontId="120" fillId="0" borderId="0" xfId="0" applyNumberFormat="1" applyFont="1" applyAlignment="1">
      <alignment horizontal="center"/>
    </xf>
    <xf numFmtId="291" fontId="120" fillId="0" borderId="0" xfId="0" applyNumberFormat="1" applyFont="1" applyAlignment="1">
      <alignment horizontal="left" indent="2"/>
    </xf>
    <xf numFmtId="179" fontId="120" fillId="0" borderId="0" xfId="0" applyNumberFormat="1" applyFont="1" applyAlignment="1">
      <alignment horizontal="right" vertical="center" indent="2"/>
    </xf>
    <xf numFmtId="179" fontId="120" fillId="0" borderId="0" xfId="0" applyNumberFormat="1" applyFont="1" applyAlignment="1">
      <alignment horizontal="center" wrapText="1"/>
    </xf>
    <xf numFmtId="179" fontId="113" fillId="0" borderId="0" xfId="0" applyNumberFormat="1" applyFont="1" applyAlignment="1">
      <alignment horizontal="left" indent="2"/>
    </xf>
    <xf numFmtId="179" fontId="111" fillId="0" borderId="0" xfId="0" applyNumberFormat="1" applyFont="1" applyAlignment="1">
      <alignment horizontal="left" indent="2"/>
    </xf>
    <xf numFmtId="266" fontId="111" fillId="0" borderId="0" xfId="0" applyNumberFormat="1" applyFont="1" applyAlignment="1">
      <alignment horizontal="center" vertical="center" wrapText="1"/>
    </xf>
    <xf numFmtId="266" fontId="114" fillId="0" borderId="0" xfId="0" applyNumberFormat="1" applyFont="1" applyAlignment="1">
      <alignment horizontal="center" vertical="center"/>
    </xf>
    <xf numFmtId="266" fontId="114" fillId="0" borderId="0" xfId="0" applyNumberFormat="1" applyFont="1" applyAlignment="1">
      <alignment vertical="center"/>
    </xf>
    <xf numFmtId="0" fontId="128" fillId="0" borderId="0" xfId="0" applyFont="1"/>
    <xf numFmtId="0" fontId="113" fillId="0" borderId="0" xfId="0" applyFont="1" applyProtection="1"/>
    <xf numFmtId="0" fontId="113" fillId="0" borderId="0" xfId="0" applyFont="1" applyAlignment="1" applyProtection="1">
      <alignment vertical="center"/>
    </xf>
    <xf numFmtId="179" fontId="114" fillId="0" borderId="0" xfId="0" applyNumberFormat="1" applyFont="1"/>
    <xf numFmtId="9" fontId="128" fillId="0" borderId="0" xfId="0" applyNumberFormat="1" applyFont="1"/>
    <xf numFmtId="1" fontId="114" fillId="0" borderId="0" xfId="0" applyNumberFormat="1" applyFont="1" applyAlignment="1">
      <alignment horizontal="center" vertical="center" shrinkToFit="1"/>
    </xf>
    <xf numFmtId="0" fontId="128" fillId="0" borderId="0" xfId="0" applyFont="1" applyAlignment="1">
      <alignment horizontal="center"/>
    </xf>
    <xf numFmtId="179" fontId="114" fillId="0" borderId="0" xfId="0" applyNumberFormat="1" applyFont="1" applyAlignment="1">
      <alignment horizontal="center" vertical="center" shrinkToFit="1"/>
    </xf>
    <xf numFmtId="208" fontId="128" fillId="0" borderId="0" xfId="0" applyNumberFormat="1" applyFont="1" applyAlignment="1">
      <alignment horizontal="center"/>
    </xf>
    <xf numFmtId="0" fontId="112" fillId="0" borderId="0" xfId="7" applyFont="1" applyAlignment="1">
      <alignment horizontal="center"/>
    </xf>
    <xf numFmtId="0" fontId="21" fillId="0" borderId="20" xfId="0" applyFont="1" applyBorder="1" applyAlignment="1">
      <alignment horizontal="left" vertical="center" indent="2"/>
    </xf>
    <xf numFmtId="9" fontId="46" fillId="0" borderId="71" xfId="0" applyNumberFormat="1" applyFont="1" applyBorder="1" applyAlignment="1" applyProtection="1">
      <alignment horizontal="center" vertical="center"/>
    </xf>
    <xf numFmtId="9" fontId="46" fillId="0" borderId="42" xfId="0" applyNumberFormat="1" applyFont="1" applyBorder="1" applyAlignment="1" applyProtection="1">
      <alignment horizontal="center" vertical="center"/>
    </xf>
    <xf numFmtId="9" fontId="46" fillId="0" borderId="50" xfId="0" applyNumberFormat="1" applyFont="1" applyBorder="1" applyAlignment="1">
      <alignment horizontal="center" vertical="center"/>
    </xf>
    <xf numFmtId="9" fontId="46" fillId="0" borderId="43" xfId="0" applyNumberFormat="1" applyFont="1" applyBorder="1" applyAlignment="1">
      <alignment horizontal="center" vertical="center"/>
    </xf>
    <xf numFmtId="0" fontId="38" fillId="0" borderId="34" xfId="0" applyFont="1" applyBorder="1" applyAlignment="1">
      <alignment horizontal="left" vertical="center" wrapText="1" indent="2"/>
    </xf>
    <xf numFmtId="9" fontId="46" fillId="0" borderId="60" xfId="0" applyNumberFormat="1" applyFont="1" applyBorder="1" applyAlignment="1" applyProtection="1">
      <alignment horizontal="center" vertical="center"/>
    </xf>
    <xf numFmtId="9" fontId="46" fillId="0" borderId="44" xfId="0" applyNumberFormat="1" applyFont="1" applyBorder="1" applyAlignment="1" applyProtection="1">
      <alignment horizontal="center" vertical="center"/>
    </xf>
    <xf numFmtId="0" fontId="112" fillId="0" borderId="0" xfId="0" applyFont="1" applyAlignment="1">
      <alignment horizontal="center" wrapText="1"/>
    </xf>
    <xf numFmtId="0" fontId="22" fillId="0" borderId="0" xfId="0" applyFont="1" applyAlignment="1">
      <alignment horizontal="centerContinuous" vertical="center" wrapText="1"/>
    </xf>
    <xf numFmtId="9" fontId="14" fillId="0" borderId="0" xfId="0" applyNumberFormat="1" applyFont="1" applyAlignment="1" applyProtection="1">
      <alignment horizontal="center" vertical="center"/>
      <protection locked="0"/>
    </xf>
    <xf numFmtId="0" fontId="31" fillId="0" borderId="0" xfId="0" applyFont="1"/>
    <xf numFmtId="0" fontId="31" fillId="0" borderId="0" xfId="0" applyFont="1" applyAlignment="1">
      <alignment horizontal="center"/>
    </xf>
    <xf numFmtId="0" fontId="33" fillId="0" borderId="0" xfId="0" applyFont="1" applyAlignment="1">
      <alignment horizontal="right"/>
    </xf>
    <xf numFmtId="1" fontId="33" fillId="0" borderId="0" xfId="0" applyNumberFormat="1" applyFont="1" applyAlignment="1">
      <alignment horizontal="center" vertical="center"/>
    </xf>
    <xf numFmtId="0" fontId="33" fillId="0" borderId="0" xfId="0" applyFont="1" applyAlignment="1">
      <alignment horizontal="center" vertical="center"/>
    </xf>
    <xf numFmtId="0" fontId="32" fillId="0" borderId="0" xfId="0" applyFont="1" applyAlignment="1">
      <alignment horizontal="left" indent="1"/>
    </xf>
    <xf numFmtId="2" fontId="33" fillId="0" borderId="0" xfId="0" applyNumberFormat="1" applyFont="1"/>
    <xf numFmtId="2" fontId="114" fillId="0" borderId="0" xfId="0" applyNumberFormat="1" applyFont="1" applyAlignment="1">
      <alignment horizontal="center"/>
    </xf>
    <xf numFmtId="0" fontId="51" fillId="0" borderId="0" xfId="0" applyFont="1"/>
    <xf numFmtId="0" fontId="33" fillId="0" borderId="0" xfId="0" applyFont="1" applyAlignment="1">
      <alignment horizontal="center" vertical="center" wrapText="1"/>
    </xf>
    <xf numFmtId="0" fontId="33" fillId="0" borderId="0" xfId="0" applyFont="1" applyAlignment="1">
      <alignment wrapText="1"/>
    </xf>
    <xf numFmtId="0" fontId="36" fillId="0" borderId="0" xfId="0" applyFont="1" applyAlignment="1">
      <alignment horizontal="left" indent="2"/>
    </xf>
    <xf numFmtId="3" fontId="33" fillId="0" borderId="0" xfId="0" applyNumberFormat="1" applyFont="1" applyAlignment="1">
      <alignment horizontal="center"/>
    </xf>
    <xf numFmtId="0" fontId="32" fillId="0" borderId="0" xfId="0" applyFont="1" applyAlignment="1">
      <alignment horizontal="right"/>
    </xf>
    <xf numFmtId="3" fontId="23" fillId="15" borderId="0" xfId="0" applyNumberFormat="1" applyFont="1" applyFill="1" applyAlignment="1" applyProtection="1">
      <alignment horizontal="center" vertical="center"/>
      <protection locked="0"/>
    </xf>
    <xf numFmtId="0" fontId="46" fillId="0" borderId="6" xfId="0" applyFont="1" applyBorder="1" applyAlignment="1" applyProtection="1">
      <alignment horizontal="left" vertical="center"/>
    </xf>
    <xf numFmtId="0" fontId="46" fillId="0" borderId="1" xfId="0" applyFont="1" applyBorder="1" applyAlignment="1" applyProtection="1">
      <alignment horizontal="left" vertical="center"/>
    </xf>
    <xf numFmtId="3" fontId="46" fillId="2" borderId="9" xfId="0" applyNumberFormat="1" applyFont="1" applyFill="1" applyBorder="1" applyAlignment="1" applyProtection="1">
      <alignment horizontal="center" vertical="center"/>
      <protection locked="0"/>
    </xf>
    <xf numFmtId="3" fontId="46" fillId="2" borderId="6" xfId="0" applyNumberFormat="1" applyFont="1" applyFill="1" applyBorder="1" applyAlignment="1" applyProtection="1">
      <alignment horizontal="center" vertical="center"/>
      <protection locked="0"/>
    </xf>
    <xf numFmtId="3" fontId="46" fillId="2" borderId="1" xfId="0" applyNumberFormat="1" applyFont="1" applyFill="1" applyBorder="1" applyAlignment="1" applyProtection="1">
      <alignment horizontal="center" vertical="center"/>
      <protection locked="0"/>
    </xf>
    <xf numFmtId="9" fontId="41" fillId="0" borderId="50" xfId="0" applyNumberFormat="1" applyFont="1" applyBorder="1" applyAlignment="1" applyProtection="1">
      <alignment horizontal="center" vertical="center"/>
      <protection locked="0"/>
    </xf>
    <xf numFmtId="9" fontId="41" fillId="0" borderId="43" xfId="0" applyNumberFormat="1" applyFont="1" applyBorder="1" applyAlignment="1" applyProtection="1">
      <alignment horizontal="center" vertical="center"/>
      <protection locked="0"/>
    </xf>
    <xf numFmtId="0" fontId="21" fillId="18" borderId="9" xfId="0" applyFont="1" applyFill="1" applyBorder="1" applyAlignment="1" applyProtection="1">
      <alignment horizontal="center" vertical="center"/>
      <protection locked="0"/>
    </xf>
    <xf numFmtId="0" fontId="21" fillId="18" borderId="1" xfId="0" applyFont="1" applyFill="1" applyBorder="1" applyAlignment="1" applyProtection="1">
      <alignment horizontal="center" vertical="center"/>
      <protection locked="0"/>
    </xf>
    <xf numFmtId="15" fontId="21" fillId="2" borderId="9" xfId="0" applyNumberFormat="1" applyFont="1" applyFill="1" applyBorder="1" applyAlignment="1" applyProtection="1">
      <alignment horizontal="center" vertical="center"/>
      <protection locked="0"/>
    </xf>
    <xf numFmtId="15" fontId="21" fillId="2" borderId="6" xfId="0" applyNumberFormat="1" applyFont="1" applyFill="1" applyBorder="1" applyAlignment="1" applyProtection="1">
      <alignment horizontal="center" vertical="center"/>
      <protection locked="0"/>
    </xf>
    <xf numFmtId="15" fontId="21" fillId="2" borderId="1" xfId="0" applyNumberFormat="1" applyFont="1" applyFill="1" applyBorder="1" applyAlignment="1" applyProtection="1">
      <alignment horizontal="center" vertical="center"/>
      <protection locked="0"/>
    </xf>
    <xf numFmtId="0" fontId="14" fillId="0" borderId="9" xfId="0" applyFont="1" applyBorder="1" applyAlignment="1">
      <alignment horizontal="center" vertical="center"/>
    </xf>
    <xf numFmtId="0" fontId="14" fillId="0" borderId="6" xfId="0" applyFont="1" applyBorder="1" applyAlignment="1">
      <alignment horizontal="center" vertical="center"/>
    </xf>
    <xf numFmtId="0" fontId="14" fillId="0" borderId="1" xfId="0" applyFont="1" applyBorder="1" applyAlignment="1">
      <alignment horizontal="center" vertical="center"/>
    </xf>
    <xf numFmtId="0" fontId="35" fillId="0" borderId="0" xfId="0" applyFont="1" applyAlignment="1" applyProtection="1">
      <alignment horizontal="center" vertical="center"/>
      <protection locked="0"/>
    </xf>
    <xf numFmtId="0" fontId="26" fillId="2" borderId="56" xfId="0" applyFont="1" applyFill="1" applyBorder="1" applyAlignment="1" applyProtection="1">
      <alignment horizontal="center" vertical="center"/>
      <protection locked="0"/>
    </xf>
    <xf numFmtId="0" fontId="26" fillId="2" borderId="26" xfId="0" applyFont="1" applyFill="1" applyBorder="1" applyAlignment="1" applyProtection="1">
      <alignment horizontal="center" vertical="center"/>
      <protection locked="0"/>
    </xf>
    <xf numFmtId="0" fontId="26" fillId="2" borderId="40" xfId="0" applyFont="1" applyFill="1" applyBorder="1" applyAlignment="1" applyProtection="1">
      <alignment horizontal="center" vertical="center"/>
      <protection locked="0"/>
    </xf>
    <xf numFmtId="0" fontId="28" fillId="2" borderId="57" xfId="0" applyFont="1" applyFill="1" applyBorder="1" applyAlignment="1" applyProtection="1">
      <alignment horizontal="center" vertical="center"/>
      <protection locked="0"/>
    </xf>
    <xf numFmtId="0" fontId="28" fillId="2" borderId="64" xfId="0" applyFont="1" applyFill="1" applyBorder="1" applyAlignment="1" applyProtection="1">
      <alignment horizontal="center" vertical="center"/>
      <protection locked="0"/>
    </xf>
    <xf numFmtId="0" fontId="28" fillId="2" borderId="90" xfId="0" applyFont="1" applyFill="1" applyBorder="1" applyAlignment="1" applyProtection="1">
      <alignment horizontal="center" vertical="center"/>
      <protection locked="0"/>
    </xf>
    <xf numFmtId="0" fontId="46" fillId="2" borderId="9" xfId="0" applyFont="1" applyFill="1" applyBorder="1" applyAlignment="1" applyProtection="1">
      <alignment horizontal="center" vertical="center"/>
      <protection locked="0"/>
    </xf>
    <xf numFmtId="0" fontId="46" fillId="2" borderId="6" xfId="0" applyFont="1" applyFill="1" applyBorder="1" applyAlignment="1" applyProtection="1">
      <alignment horizontal="center" vertical="center"/>
      <protection locked="0"/>
    </xf>
    <xf numFmtId="0" fontId="46" fillId="2" borderId="1" xfId="0" applyFont="1" applyFill="1" applyBorder="1" applyAlignment="1" applyProtection="1">
      <alignment horizontal="center" vertical="center"/>
      <protection locked="0"/>
    </xf>
    <xf numFmtId="0" fontId="21" fillId="0" borderId="9"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39" xfId="0" applyFont="1" applyBorder="1" applyAlignment="1">
      <alignment horizontal="center" vertical="center" wrapText="1"/>
    </xf>
    <xf numFmtId="0" fontId="46" fillId="0" borderId="7" xfId="0" applyFont="1" applyBorder="1" applyAlignment="1" applyProtection="1">
      <alignment horizontal="left" indent="1"/>
    </xf>
    <xf numFmtId="0" fontId="46" fillId="0" borderId="13" xfId="0" applyFont="1" applyBorder="1" applyAlignment="1" applyProtection="1">
      <alignment horizontal="left" indent="1"/>
    </xf>
    <xf numFmtId="0" fontId="46" fillId="0" borderId="43" xfId="0" applyFont="1" applyBorder="1" applyAlignment="1" applyProtection="1">
      <alignment horizontal="left" indent="1"/>
    </xf>
    <xf numFmtId="0" fontId="46" fillId="0" borderId="16" xfId="0" applyFont="1" applyBorder="1" applyAlignment="1" applyProtection="1">
      <alignment horizontal="left" indent="1"/>
    </xf>
    <xf numFmtId="0" fontId="46" fillId="0" borderId="62" xfId="0" applyFont="1" applyBorder="1" applyAlignment="1" applyProtection="1">
      <alignment horizontal="left" indent="1"/>
    </xf>
    <xf numFmtId="0" fontId="46" fillId="0" borderId="44" xfId="0" applyFont="1" applyBorder="1" applyAlignment="1" applyProtection="1">
      <alignment horizontal="left" indent="1"/>
    </xf>
    <xf numFmtId="0" fontId="17" fillId="0" borderId="30" xfId="0" applyFont="1" applyBorder="1" applyAlignment="1" applyProtection="1">
      <alignment horizontal="center" vertical="center" wrapText="1"/>
    </xf>
    <xf numFmtId="0" fontId="17" fillId="0" borderId="14" xfId="0" applyFont="1" applyBorder="1" applyAlignment="1" applyProtection="1">
      <alignment horizontal="center" vertical="center" wrapText="1"/>
    </xf>
    <xf numFmtId="0" fontId="35" fillId="0" borderId="30" xfId="0" applyFont="1" applyBorder="1" applyAlignment="1" applyProtection="1">
      <alignment horizontal="center" vertical="center" wrapText="1"/>
    </xf>
    <xf numFmtId="0" fontId="35" fillId="0" borderId="14" xfId="0" applyFont="1" applyBorder="1" applyAlignment="1" applyProtection="1">
      <alignment horizontal="center" vertical="center" wrapText="1"/>
    </xf>
    <xf numFmtId="0" fontId="94" fillId="0" borderId="158" xfId="0" applyFont="1" applyBorder="1" applyAlignment="1">
      <alignment horizontal="center" vertical="center" wrapText="1"/>
    </xf>
    <xf numFmtId="0" fontId="94" fillId="0" borderId="162" xfId="0" applyFont="1" applyBorder="1" applyAlignment="1">
      <alignment horizontal="center" vertical="center" wrapText="1"/>
    </xf>
    <xf numFmtId="0" fontId="94" fillId="0" borderId="165" xfId="0" applyFont="1" applyBorder="1" applyAlignment="1">
      <alignment horizontal="center" vertical="center" wrapText="1"/>
    </xf>
  </cellXfs>
  <cellStyles count="10">
    <cellStyle name="Euro" xfId="1" xr:uid="{00000000-0005-0000-0000-000000000000}"/>
    <cellStyle name="Hipervínculo" xfId="2" builtinId="8"/>
    <cellStyle name="Millares" xfId="3" builtinId="3"/>
    <cellStyle name="Millares [0]" xfId="4" builtinId="6"/>
    <cellStyle name="Normal" xfId="0" builtinId="0"/>
    <cellStyle name="Normal 2" xfId="7" xr:uid="{59AE1AF7-08C3-4BAC-8F93-2325FCC33AC7}"/>
    <cellStyle name="Normal 3" xfId="8" xr:uid="{52A81B13-21E4-4866-86D6-7559C1B2CE77}"/>
    <cellStyle name="Normal_MODELO COMUNICA para obtener flujos de fondos corregido" xfId="5" xr:uid="{00000000-0005-0000-0000-000005000000}"/>
    <cellStyle name="Porcentaje" xfId="6" builtinId="5"/>
    <cellStyle name="Porcentaje 2" xfId="9" xr:uid="{37C95054-8767-44A7-8DB6-3DE89DBE8A8D}"/>
  </cellStyles>
  <dxfs count="52">
    <dxf>
      <font>
        <b/>
        <i val="0"/>
        <condense val="0"/>
        <extend val="0"/>
        <color auto="1"/>
      </font>
    </dxf>
    <dxf>
      <fill>
        <patternFill>
          <bgColor rgb="FFFFFF00"/>
        </patternFill>
      </fill>
    </dxf>
    <dxf>
      <fill>
        <patternFill>
          <bgColor rgb="FF92D050"/>
        </patternFill>
      </fill>
    </dxf>
    <dxf>
      <fill>
        <patternFill>
          <bgColor rgb="FF92D050"/>
        </patternFill>
      </fill>
    </dxf>
    <dxf>
      <fill>
        <patternFill>
          <bgColor rgb="FFFF0000"/>
        </patternFill>
      </fill>
    </dxf>
    <dxf>
      <font>
        <condense val="0"/>
        <extend val="0"/>
        <color auto="1"/>
      </font>
      <border>
        <left style="thin">
          <color indexed="64"/>
        </left>
        <right style="thin">
          <color indexed="64"/>
        </right>
        <top style="thin">
          <color indexed="64"/>
        </top>
        <bottom style="thin">
          <color indexed="64"/>
        </bottom>
      </border>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ndense val="0"/>
        <extend val="0"/>
        <color indexed="9"/>
      </font>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0625"/>
      </fill>
    </dxf>
    <dxf>
      <font>
        <condense val="0"/>
        <extend val="0"/>
        <color indexed="9"/>
      </font>
    </dxf>
    <dxf>
      <font>
        <b/>
        <i val="0"/>
        <condense val="0"/>
        <extend val="0"/>
        <color indexed="10"/>
      </font>
      <border>
        <left style="thin">
          <color indexed="10"/>
        </left>
        <right style="thin">
          <color indexed="10"/>
        </right>
        <top style="thin">
          <color indexed="10"/>
        </top>
        <bottom style="thin">
          <color indexed="10"/>
        </bottom>
      </border>
    </dxf>
    <dxf>
      <font>
        <b/>
        <i val="0"/>
        <color rgb="FFFF0000"/>
      </font>
    </dxf>
    <dxf>
      <fill>
        <patternFill patternType="gray125"/>
      </fill>
    </dxf>
    <dxf>
      <fill>
        <patternFill patternType="gray125"/>
      </fill>
    </dxf>
    <dxf>
      <fill>
        <patternFill patternType="gray125"/>
      </fill>
    </dxf>
    <dxf>
      <font>
        <condense val="0"/>
        <extend val="0"/>
        <color indexed="10"/>
      </font>
    </dxf>
    <dxf>
      <font>
        <condense val="0"/>
        <extend val="0"/>
        <color auto="1"/>
      </font>
    </dxf>
    <dxf>
      <font>
        <condense val="0"/>
        <extend val="0"/>
        <color auto="1"/>
      </font>
      <fill>
        <patternFill patternType="none">
          <bgColor indexed="65"/>
        </patternFill>
      </fill>
      <border>
        <left style="thin">
          <color indexed="64"/>
        </left>
        <right style="thin">
          <color indexed="64"/>
        </right>
        <top style="thin">
          <color indexed="64"/>
        </top>
        <bottom style="thin">
          <color indexed="64"/>
        </bottom>
      </border>
    </dxf>
    <dxf>
      <font>
        <condense val="0"/>
        <extend val="0"/>
        <color indexed="10"/>
      </font>
      <fill>
        <patternFill patternType="solid">
          <bgColor indexed="13"/>
        </patternFill>
      </fill>
      <border>
        <left style="thin">
          <color indexed="64"/>
        </left>
        <right style="thin">
          <color indexed="64"/>
        </right>
        <top style="thin">
          <color indexed="64"/>
        </top>
        <bottom style="thin">
          <color indexed="64"/>
        </bottom>
      </border>
    </dxf>
    <dxf>
      <font>
        <condense val="0"/>
        <extend val="0"/>
        <color auto="1"/>
      </font>
      <fill>
        <patternFill patternType="none">
          <bgColor indexed="65"/>
        </patternFill>
      </fill>
      <border>
        <left style="thin">
          <color indexed="64"/>
        </left>
        <right style="thin">
          <color indexed="64"/>
        </right>
        <top style="thin">
          <color indexed="64"/>
        </top>
        <bottom style="thin">
          <color indexed="64"/>
        </bottom>
      </border>
    </dxf>
    <dxf>
      <font>
        <condense val="0"/>
        <extend val="0"/>
        <color auto="1"/>
      </font>
      <fill>
        <patternFill patternType="solid">
          <bgColor indexed="13"/>
        </patternFill>
      </fill>
      <border>
        <left style="thin">
          <color indexed="64"/>
        </left>
        <right style="thin">
          <color indexed="64"/>
        </right>
        <top style="thin">
          <color indexed="64"/>
        </top>
        <bottom style="thin">
          <color indexed="64"/>
        </bottom>
      </border>
    </dxf>
    <dxf>
      <font>
        <condense val="0"/>
        <extend val="0"/>
        <color indexed="10"/>
      </font>
    </dxf>
    <dxf>
      <font>
        <condense val="0"/>
        <extend val="0"/>
        <color auto="1"/>
      </font>
      <fill>
        <patternFill patternType="solid">
          <bgColor indexed="13"/>
        </patternFill>
      </fill>
      <border>
        <left style="thin">
          <color indexed="64"/>
        </left>
        <right style="thin">
          <color indexed="64"/>
        </right>
        <top style="thin">
          <color indexed="64"/>
        </top>
        <bottom style="thin">
          <color indexed="64"/>
        </bottom>
      </border>
    </dxf>
    <dxf>
      <font>
        <condense val="0"/>
        <extend val="0"/>
        <color auto="1"/>
      </font>
      <border>
        <left style="thin">
          <color indexed="64"/>
        </left>
        <right style="thin">
          <color indexed="64"/>
        </right>
        <top style="thin">
          <color indexed="64"/>
        </top>
        <bottom style="thin">
          <color indexed="64"/>
        </bottom>
      </border>
    </dxf>
    <dxf>
      <font>
        <condense val="0"/>
        <extend val="0"/>
        <color indexed="10"/>
      </font>
      <fill>
        <patternFill patternType="none">
          <bgColor indexed="65"/>
        </patternFill>
      </fill>
      <border>
        <left style="thin">
          <color indexed="64"/>
        </left>
        <right style="thin">
          <color indexed="64"/>
        </right>
        <top style="thin">
          <color indexed="64"/>
        </top>
        <bottom style="thin">
          <color indexed="64"/>
        </bottom>
      </border>
    </dxf>
    <dxf>
      <font>
        <condense val="0"/>
        <extend val="0"/>
        <color auto="1"/>
      </font>
      <border>
        <left style="thin">
          <color indexed="64"/>
        </left>
        <right style="thin">
          <color indexed="64"/>
        </right>
        <top style="thin">
          <color indexed="64"/>
        </top>
        <bottom style="thin">
          <color indexed="64"/>
        </bottom>
      </border>
    </dxf>
    <dxf>
      <font>
        <condense val="0"/>
        <extend val="0"/>
        <color auto="1"/>
      </font>
    </dxf>
    <dxf>
      <font>
        <condense val="0"/>
        <extend val="0"/>
        <color auto="1"/>
      </font>
    </dxf>
    <dxf>
      <font>
        <b/>
        <i val="0"/>
        <condense val="0"/>
        <extend val="0"/>
        <color indexed="10"/>
      </font>
      <border>
        <left style="thin">
          <color indexed="10"/>
        </left>
        <right style="thin">
          <color indexed="10"/>
        </right>
        <top style="thin">
          <color indexed="10"/>
        </top>
        <bottom style="thin">
          <color indexed="10"/>
        </bottom>
      </border>
    </dxf>
    <dxf>
      <font>
        <condense val="0"/>
        <extend val="0"/>
        <color indexed="9"/>
      </font>
      <fill>
        <patternFill patternType="none">
          <bgColor indexed="65"/>
        </patternFill>
      </fill>
      <border>
        <left/>
        <right/>
        <top/>
        <bottom/>
      </border>
    </dxf>
    <dxf>
      <font>
        <color theme="0"/>
      </font>
      <fill>
        <patternFill patternType="none">
          <bgColor auto="1"/>
        </patternFill>
      </fill>
      <border>
        <left/>
        <right/>
        <bottom/>
      </border>
    </dxf>
    <dxf>
      <font>
        <color theme="0"/>
      </font>
      <border>
        <left/>
        <right/>
        <top/>
        <bottom/>
      </border>
    </dxf>
    <dxf>
      <font>
        <condense val="0"/>
        <extend val="0"/>
        <color indexed="9"/>
      </font>
    </dxf>
    <dxf>
      <font>
        <color theme="0"/>
      </font>
      <fill>
        <patternFill patternType="none">
          <bgColor auto="1"/>
        </patternFill>
      </fill>
      <border>
        <left/>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881679171594484E-2"/>
          <c:y val="7.5362532162964679E-2"/>
          <c:w val="0.9112156463076555"/>
          <c:h val="0.79420514664047392"/>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cat>
            <c:strRef>
              <c:f>'Prev.Ventas 0'!$B$31:$M$31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0'!$B$25:$M$25</c:f>
              <c:numCache>
                <c:formatCode>#,##0_*;;\-\ \ _*</c:formatCode>
                <c:ptCount val="12"/>
                <c:pt idx="0">
                  <c:v>1750</c:v>
                </c:pt>
                <c:pt idx="1">
                  <c:v>1870.6439393939395</c:v>
                </c:pt>
                <c:pt idx="2">
                  <c:v>2054.9242424242425</c:v>
                </c:pt>
                <c:pt idx="3">
                  <c:v>2159.659090909091</c:v>
                </c:pt>
                <c:pt idx="4">
                  <c:v>2105.30303030303</c:v>
                </c:pt>
                <c:pt idx="5">
                  <c:v>2114.583333333333</c:v>
                </c:pt>
                <c:pt idx="6">
                  <c:v>2092.0454545454545</c:v>
                </c:pt>
                <c:pt idx="7">
                  <c:v>1703.5984848484848</c:v>
                </c:pt>
                <c:pt idx="8">
                  <c:v>2206.060606060606</c:v>
                </c:pt>
                <c:pt idx="9">
                  <c:v>2692.613636363636</c:v>
                </c:pt>
                <c:pt idx="10">
                  <c:v>2956.4393939393935</c:v>
                </c:pt>
                <c:pt idx="11">
                  <c:v>3777.083333333333</c:v>
                </c:pt>
              </c:numCache>
            </c:numRef>
          </c:val>
          <c:smooth val="0"/>
          <c:extLst>
            <c:ext xmlns:c16="http://schemas.microsoft.com/office/drawing/2014/chart" uri="{C3380CC4-5D6E-409C-BE32-E72D297353CC}">
              <c16:uniqueId val="{00000000-7F40-4D33-8151-80D7CB14FD77}"/>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cat>
            <c:strRef>
              <c:f>'Prev.Ventas 0'!$B$31:$M$31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0'!$B$17:$M$17</c:f>
              <c:numCache>
                <c:formatCode>#,##0_*;;\-\ \ _*</c:formatCode>
                <c:ptCount val="12"/>
                <c:pt idx="0">
                  <c:v>1750</c:v>
                </c:pt>
                <c:pt idx="1">
                  <c:v>1870.6439393939395</c:v>
                </c:pt>
                <c:pt idx="2">
                  <c:v>2054.9242424242425</c:v>
                </c:pt>
                <c:pt idx="3">
                  <c:v>2159.659090909091</c:v>
                </c:pt>
                <c:pt idx="4">
                  <c:v>2105.30303030303</c:v>
                </c:pt>
                <c:pt idx="5">
                  <c:v>2114.583333333333</c:v>
                </c:pt>
                <c:pt idx="6">
                  <c:v>2092.0454545454545</c:v>
                </c:pt>
                <c:pt idx="7">
                  <c:v>1703.5984848484848</c:v>
                </c:pt>
                <c:pt idx="8">
                  <c:v>2206.060606060606</c:v>
                </c:pt>
                <c:pt idx="9">
                  <c:v>2692.613636363636</c:v>
                </c:pt>
                <c:pt idx="10">
                  <c:v>2956.4393939393935</c:v>
                </c:pt>
                <c:pt idx="11">
                  <c:v>3777.083333333333</c:v>
                </c:pt>
              </c:numCache>
            </c:numRef>
          </c:val>
          <c:smooth val="0"/>
          <c:extLst>
            <c:ext xmlns:c16="http://schemas.microsoft.com/office/drawing/2014/chart" uri="{C3380CC4-5D6E-409C-BE32-E72D297353CC}">
              <c16:uniqueId val="{00000001-7F40-4D33-8151-80D7CB14FD77}"/>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cat>
            <c:strRef>
              <c:f>'Prev.Ventas 0'!$B$31:$M$31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0'!$B$18:$M$18</c:f>
              <c:numCache>
                <c:formatCode>#,##0_*;;\-\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7F40-4D33-8151-80D7CB14FD77}"/>
            </c:ext>
          </c:extLst>
        </c:ser>
        <c:ser>
          <c:idx val="3"/>
          <c:order val="3"/>
          <c:spPr>
            <a:ln w="12700">
              <a:solidFill>
                <a:srgbClr val="00FFFF"/>
              </a:solidFill>
              <a:prstDash val="solid"/>
            </a:ln>
          </c:spPr>
          <c:marker>
            <c:symbol val="x"/>
            <c:size val="5"/>
            <c:spPr>
              <a:noFill/>
              <a:ln>
                <a:solidFill>
                  <a:srgbClr val="00FFFF"/>
                </a:solidFill>
                <a:prstDash val="solid"/>
              </a:ln>
            </c:spPr>
          </c:marker>
          <c:cat>
            <c:strRef>
              <c:f>'Prev.Ventas 0'!$B$31:$M$31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0'!$B$19:$M$19</c:f>
              <c:numCache>
                <c:formatCode>#,##0_*;;\-\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7F40-4D33-8151-80D7CB14FD77}"/>
            </c:ext>
          </c:extLst>
        </c:ser>
        <c:ser>
          <c:idx val="4"/>
          <c:order val="4"/>
          <c:spPr>
            <a:ln w="12700">
              <a:solidFill>
                <a:srgbClr val="800080"/>
              </a:solidFill>
              <a:prstDash val="solid"/>
            </a:ln>
          </c:spPr>
          <c:marker>
            <c:symbol val="star"/>
            <c:size val="5"/>
            <c:spPr>
              <a:noFill/>
              <a:ln>
                <a:solidFill>
                  <a:srgbClr val="800080"/>
                </a:solidFill>
                <a:prstDash val="solid"/>
              </a:ln>
            </c:spPr>
          </c:marker>
          <c:cat>
            <c:strRef>
              <c:f>'Prev.Ventas 0'!$B$31:$M$31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0'!$B$20:$M$20</c:f>
              <c:numCache>
                <c:formatCode>#,##0_*;;\-\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4-7F40-4D33-8151-80D7CB14FD77}"/>
            </c:ext>
          </c:extLst>
        </c:ser>
        <c:ser>
          <c:idx val="5"/>
          <c:order val="5"/>
          <c:spPr>
            <a:ln w="12700">
              <a:solidFill>
                <a:srgbClr val="800000"/>
              </a:solidFill>
              <a:prstDash val="solid"/>
            </a:ln>
          </c:spPr>
          <c:marker>
            <c:symbol val="circle"/>
            <c:size val="5"/>
            <c:spPr>
              <a:solidFill>
                <a:srgbClr val="800000"/>
              </a:solidFill>
              <a:ln>
                <a:solidFill>
                  <a:srgbClr val="800000"/>
                </a:solidFill>
                <a:prstDash val="solid"/>
              </a:ln>
            </c:spPr>
          </c:marker>
          <c:cat>
            <c:strRef>
              <c:f>'Prev.Ventas 0'!$B$31:$M$31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0'!$B$21:$M$21</c:f>
              <c:numCache>
                <c:formatCode>#,##0_*;;\-\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5-7F40-4D33-8151-80D7CB14FD77}"/>
            </c:ext>
          </c:extLst>
        </c:ser>
        <c:ser>
          <c:idx val="6"/>
          <c:order val="6"/>
          <c:spPr>
            <a:ln w="12700">
              <a:solidFill>
                <a:srgbClr val="008080"/>
              </a:solidFill>
              <a:prstDash val="solid"/>
            </a:ln>
          </c:spPr>
          <c:marker>
            <c:symbol val="plus"/>
            <c:size val="5"/>
            <c:spPr>
              <a:noFill/>
              <a:ln>
                <a:solidFill>
                  <a:srgbClr val="008080"/>
                </a:solidFill>
                <a:prstDash val="solid"/>
              </a:ln>
            </c:spPr>
          </c:marker>
          <c:cat>
            <c:strRef>
              <c:f>'Prev.Ventas 0'!$B$31:$M$31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0'!$B$22:$M$22</c:f>
              <c:numCache>
                <c:formatCode>#,##0_*;;\-\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7F40-4D33-8151-80D7CB14FD77}"/>
            </c:ext>
          </c:extLst>
        </c:ser>
        <c:ser>
          <c:idx val="7"/>
          <c:order val="7"/>
          <c:spPr>
            <a:ln w="12700">
              <a:solidFill>
                <a:srgbClr val="0000FF"/>
              </a:solidFill>
              <a:prstDash val="solid"/>
            </a:ln>
          </c:spPr>
          <c:marker>
            <c:symbol val="dot"/>
            <c:size val="5"/>
            <c:spPr>
              <a:noFill/>
              <a:ln>
                <a:solidFill>
                  <a:srgbClr val="0000FF"/>
                </a:solidFill>
                <a:prstDash val="solid"/>
              </a:ln>
            </c:spPr>
          </c:marker>
          <c:cat>
            <c:strRef>
              <c:f>'Prev.Ventas 0'!$B$31:$M$31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0'!$B$23:$M$23</c:f>
              <c:numCache>
                <c:formatCode>#,##0_*;;\-\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7-7F40-4D33-8151-80D7CB14FD77}"/>
            </c:ext>
          </c:extLst>
        </c:ser>
        <c:ser>
          <c:idx val="8"/>
          <c:order val="8"/>
          <c:spPr>
            <a:ln w="12700">
              <a:solidFill>
                <a:srgbClr val="00CCFF"/>
              </a:solidFill>
              <a:prstDash val="solid"/>
            </a:ln>
          </c:spPr>
          <c:marker>
            <c:symbol val="dash"/>
            <c:size val="5"/>
            <c:spPr>
              <a:noFill/>
              <a:ln>
                <a:solidFill>
                  <a:srgbClr val="00CCFF"/>
                </a:solidFill>
                <a:prstDash val="solid"/>
              </a:ln>
            </c:spPr>
          </c:marker>
          <c:cat>
            <c:strRef>
              <c:f>'Prev.Ventas 0'!$B$31:$M$31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0'!$B$24:$M$24</c:f>
              <c:numCache>
                <c:formatCode>#,##0_*;;\-\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8-7F40-4D33-8151-80D7CB14FD77}"/>
            </c:ext>
          </c:extLst>
        </c:ser>
        <c:dLbls>
          <c:showLegendKey val="0"/>
          <c:showVal val="0"/>
          <c:showCatName val="0"/>
          <c:showSerName val="0"/>
          <c:showPercent val="0"/>
          <c:showBubbleSize val="0"/>
        </c:dLbls>
        <c:marker val="1"/>
        <c:smooth val="0"/>
        <c:axId val="466937344"/>
        <c:axId val="466937736"/>
      </c:lineChart>
      <c:catAx>
        <c:axId val="466937344"/>
        <c:scaling>
          <c:orientation val="minMax"/>
        </c:scaling>
        <c:delete val="0"/>
        <c:axPos val="b"/>
        <c:numFmt formatCode="General"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466937736"/>
        <c:crosses val="autoZero"/>
        <c:auto val="1"/>
        <c:lblAlgn val="ctr"/>
        <c:lblOffset val="100"/>
        <c:tickLblSkip val="1"/>
        <c:tickMarkSkip val="1"/>
        <c:noMultiLvlLbl val="0"/>
      </c:catAx>
      <c:valAx>
        <c:axId val="466937736"/>
        <c:scaling>
          <c:orientation val="minMax"/>
        </c:scaling>
        <c:delete val="0"/>
        <c:axPos val="l"/>
        <c:majorGridlines>
          <c:spPr>
            <a:ln w="3175">
              <a:solidFill>
                <a:srgbClr val="000000"/>
              </a:solidFill>
              <a:prstDash val="solid"/>
            </a:ln>
          </c:spPr>
        </c:majorGridlines>
        <c:title>
          <c:tx>
            <c:rich>
              <a:bodyPr/>
              <a:lstStyle/>
              <a:p>
                <a:pPr>
                  <a:defRPr sz="1250" b="1" i="0" u="none" strike="noStrike" baseline="0">
                    <a:solidFill>
                      <a:srgbClr val="000000"/>
                    </a:solidFill>
                    <a:latin typeface="Times New Roman"/>
                    <a:ea typeface="Times New Roman"/>
                    <a:cs typeface="Times New Roman"/>
                  </a:defRPr>
                </a:pPr>
                <a:r>
                  <a:rPr lang="es-ES"/>
                  <a:t>Ventas</a:t>
                </a:r>
              </a:p>
            </c:rich>
          </c:tx>
          <c:layout>
            <c:manualLayout>
              <c:xMode val="edge"/>
              <c:yMode val="edge"/>
              <c:x val="1.2461059190031152E-2"/>
              <c:y val="0.37971136216668566"/>
            </c:manualLayout>
          </c:layout>
          <c:overlay val="0"/>
          <c:spPr>
            <a:noFill/>
            <a:ln w="25400">
              <a:noFill/>
            </a:ln>
          </c:spPr>
        </c:title>
        <c:numFmt formatCode="#,##0_*;;\-\ \ _*"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466937344"/>
        <c:crosses val="autoZero"/>
        <c:crossBetween val="between"/>
      </c:valAx>
      <c:spPr>
        <a:solidFill>
          <a:srgbClr val="C0C0C0"/>
        </a:solidFill>
        <a:ln w="254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100" b="0" i="0" u="none" strike="noStrike" baseline="0">
          <a:solidFill>
            <a:srgbClr val="000000"/>
          </a:solidFill>
          <a:latin typeface="Times New Roman"/>
          <a:ea typeface="Times New Roman"/>
          <a:cs typeface="Times New Roman"/>
        </a:defRPr>
      </a:pPr>
      <a:endParaRPr lang="es-ES"/>
    </a:p>
  </c:txPr>
  <c:printSettings>
    <c:headerFooter alignWithMargins="0"/>
    <c:pageMargins b="0.78740157480314965" l="0.78740157480314965" r="0.78740157480314965" t="0.78740157480314965" header="0" footer="0.39370078740157483"/>
    <c:pageSetup paperSize="9" orientation="landscape" horizontalDpi="300"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511094108645747E-2"/>
          <c:y val="7.5362532162964679E-2"/>
          <c:w val="0.9127773527161438"/>
          <c:h val="0.79420514664047392"/>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cat>
            <c:strRef>
              <c:f>'Prev.Ventas 1'!$B$31:$M$31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1'!$B$25:$M$25</c:f>
              <c:numCache>
                <c:formatCode>#,##0_*;;\-\ \ \ _*</c:formatCode>
                <c:ptCount val="12"/>
                <c:pt idx="0">
                  <c:v>2800</c:v>
                </c:pt>
                <c:pt idx="1">
                  <c:v>3500</c:v>
                </c:pt>
                <c:pt idx="2">
                  <c:v>3850</c:v>
                </c:pt>
                <c:pt idx="3">
                  <c:v>3675</c:v>
                </c:pt>
                <c:pt idx="4">
                  <c:v>3150</c:v>
                </c:pt>
                <c:pt idx="5">
                  <c:v>2975</c:v>
                </c:pt>
                <c:pt idx="6">
                  <c:v>2800</c:v>
                </c:pt>
                <c:pt idx="7">
                  <c:v>2100</c:v>
                </c:pt>
                <c:pt idx="8">
                  <c:v>2800</c:v>
                </c:pt>
                <c:pt idx="9">
                  <c:v>3325</c:v>
                </c:pt>
                <c:pt idx="10">
                  <c:v>3500</c:v>
                </c:pt>
                <c:pt idx="11">
                  <c:v>4200</c:v>
                </c:pt>
              </c:numCache>
            </c:numRef>
          </c:val>
          <c:smooth val="0"/>
          <c:extLst>
            <c:ext xmlns:c16="http://schemas.microsoft.com/office/drawing/2014/chart" uri="{C3380CC4-5D6E-409C-BE32-E72D297353CC}">
              <c16:uniqueId val="{00000000-23C6-499C-BC6F-9540E15FF2F8}"/>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cat>
            <c:strRef>
              <c:f>'Prev.Ventas 1'!$B$31:$M$31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1'!$B$17:$M$17</c:f>
              <c:numCache>
                <c:formatCode>#,##0_*;;\-\ \ \ _*</c:formatCode>
                <c:ptCount val="12"/>
                <c:pt idx="0">
                  <c:v>2800</c:v>
                </c:pt>
                <c:pt idx="1">
                  <c:v>3500</c:v>
                </c:pt>
                <c:pt idx="2">
                  <c:v>3850</c:v>
                </c:pt>
                <c:pt idx="3">
                  <c:v>3675</c:v>
                </c:pt>
                <c:pt idx="4">
                  <c:v>3150</c:v>
                </c:pt>
                <c:pt idx="5">
                  <c:v>2975</c:v>
                </c:pt>
                <c:pt idx="6">
                  <c:v>2800</c:v>
                </c:pt>
                <c:pt idx="7">
                  <c:v>2100</c:v>
                </c:pt>
                <c:pt idx="8">
                  <c:v>2800</c:v>
                </c:pt>
                <c:pt idx="9">
                  <c:v>3325</c:v>
                </c:pt>
                <c:pt idx="10">
                  <c:v>3500</c:v>
                </c:pt>
                <c:pt idx="11">
                  <c:v>4200</c:v>
                </c:pt>
              </c:numCache>
            </c:numRef>
          </c:val>
          <c:smooth val="0"/>
          <c:extLst>
            <c:ext xmlns:c16="http://schemas.microsoft.com/office/drawing/2014/chart" uri="{C3380CC4-5D6E-409C-BE32-E72D297353CC}">
              <c16:uniqueId val="{00000001-23C6-499C-BC6F-9540E15FF2F8}"/>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cat>
            <c:strRef>
              <c:f>'Prev.Ventas 1'!$B$31:$M$31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1'!$B$18:$M$18</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23C6-499C-BC6F-9540E15FF2F8}"/>
            </c:ext>
          </c:extLst>
        </c:ser>
        <c:ser>
          <c:idx val="3"/>
          <c:order val="3"/>
          <c:spPr>
            <a:ln w="12700">
              <a:solidFill>
                <a:srgbClr val="00FFFF"/>
              </a:solidFill>
              <a:prstDash val="solid"/>
            </a:ln>
          </c:spPr>
          <c:marker>
            <c:symbol val="x"/>
            <c:size val="5"/>
            <c:spPr>
              <a:noFill/>
              <a:ln>
                <a:solidFill>
                  <a:srgbClr val="00FFFF"/>
                </a:solidFill>
                <a:prstDash val="solid"/>
              </a:ln>
            </c:spPr>
          </c:marker>
          <c:cat>
            <c:strRef>
              <c:f>'Prev.Ventas 1'!$B$31:$M$31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1'!$B$19:$M$19</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23C6-499C-BC6F-9540E15FF2F8}"/>
            </c:ext>
          </c:extLst>
        </c:ser>
        <c:ser>
          <c:idx val="4"/>
          <c:order val="4"/>
          <c:spPr>
            <a:ln w="12700">
              <a:solidFill>
                <a:srgbClr val="800080"/>
              </a:solidFill>
              <a:prstDash val="solid"/>
            </a:ln>
          </c:spPr>
          <c:marker>
            <c:symbol val="star"/>
            <c:size val="5"/>
            <c:spPr>
              <a:noFill/>
              <a:ln>
                <a:solidFill>
                  <a:srgbClr val="800080"/>
                </a:solidFill>
                <a:prstDash val="solid"/>
              </a:ln>
            </c:spPr>
          </c:marker>
          <c:cat>
            <c:strRef>
              <c:f>'Prev.Ventas 1'!$B$31:$M$31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1'!$B$20:$M$20</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4-23C6-499C-BC6F-9540E15FF2F8}"/>
            </c:ext>
          </c:extLst>
        </c:ser>
        <c:ser>
          <c:idx val="5"/>
          <c:order val="5"/>
          <c:spPr>
            <a:ln w="12700">
              <a:solidFill>
                <a:srgbClr val="800000"/>
              </a:solidFill>
              <a:prstDash val="solid"/>
            </a:ln>
          </c:spPr>
          <c:marker>
            <c:symbol val="circle"/>
            <c:size val="5"/>
            <c:spPr>
              <a:solidFill>
                <a:srgbClr val="800000"/>
              </a:solidFill>
              <a:ln>
                <a:solidFill>
                  <a:srgbClr val="800000"/>
                </a:solidFill>
                <a:prstDash val="solid"/>
              </a:ln>
            </c:spPr>
          </c:marker>
          <c:cat>
            <c:strRef>
              <c:f>'Prev.Ventas 1'!$B$31:$M$31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1'!$B$21:$M$21</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5-23C6-499C-BC6F-9540E15FF2F8}"/>
            </c:ext>
          </c:extLst>
        </c:ser>
        <c:ser>
          <c:idx val="6"/>
          <c:order val="6"/>
          <c:spPr>
            <a:ln w="12700">
              <a:solidFill>
                <a:srgbClr val="008080"/>
              </a:solidFill>
              <a:prstDash val="solid"/>
            </a:ln>
          </c:spPr>
          <c:marker>
            <c:symbol val="plus"/>
            <c:size val="5"/>
            <c:spPr>
              <a:noFill/>
              <a:ln>
                <a:solidFill>
                  <a:srgbClr val="008080"/>
                </a:solidFill>
                <a:prstDash val="solid"/>
              </a:ln>
            </c:spPr>
          </c:marker>
          <c:cat>
            <c:strRef>
              <c:f>'Prev.Ventas 1'!$B$31:$M$31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1'!$B$22:$M$22</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23C6-499C-BC6F-9540E15FF2F8}"/>
            </c:ext>
          </c:extLst>
        </c:ser>
        <c:ser>
          <c:idx val="7"/>
          <c:order val="7"/>
          <c:spPr>
            <a:ln w="12700">
              <a:solidFill>
                <a:srgbClr val="0000FF"/>
              </a:solidFill>
              <a:prstDash val="solid"/>
            </a:ln>
          </c:spPr>
          <c:marker>
            <c:symbol val="dot"/>
            <c:size val="5"/>
            <c:spPr>
              <a:noFill/>
              <a:ln>
                <a:solidFill>
                  <a:srgbClr val="0000FF"/>
                </a:solidFill>
                <a:prstDash val="solid"/>
              </a:ln>
            </c:spPr>
          </c:marker>
          <c:cat>
            <c:strRef>
              <c:f>'Prev.Ventas 1'!$B$31:$M$31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1'!$B$23:$M$23</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7-23C6-499C-BC6F-9540E15FF2F8}"/>
            </c:ext>
          </c:extLst>
        </c:ser>
        <c:ser>
          <c:idx val="8"/>
          <c:order val="8"/>
          <c:spPr>
            <a:ln w="12700">
              <a:solidFill>
                <a:srgbClr val="00CCFF"/>
              </a:solidFill>
              <a:prstDash val="solid"/>
            </a:ln>
          </c:spPr>
          <c:marker>
            <c:symbol val="dash"/>
            <c:size val="5"/>
            <c:spPr>
              <a:noFill/>
              <a:ln>
                <a:solidFill>
                  <a:srgbClr val="00CCFF"/>
                </a:solidFill>
                <a:prstDash val="solid"/>
              </a:ln>
            </c:spPr>
          </c:marker>
          <c:cat>
            <c:strRef>
              <c:f>'Prev.Ventas 1'!$B$31:$M$31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1'!$B$24:$M$24</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8-23C6-499C-BC6F-9540E15FF2F8}"/>
            </c:ext>
          </c:extLst>
        </c:ser>
        <c:dLbls>
          <c:showLegendKey val="0"/>
          <c:showVal val="0"/>
          <c:showCatName val="0"/>
          <c:showSerName val="0"/>
          <c:showPercent val="0"/>
          <c:showBubbleSize val="0"/>
        </c:dLbls>
        <c:marker val="1"/>
        <c:smooth val="0"/>
        <c:axId val="465516752"/>
        <c:axId val="475311920"/>
      </c:lineChart>
      <c:catAx>
        <c:axId val="465516752"/>
        <c:scaling>
          <c:orientation val="minMax"/>
        </c:scaling>
        <c:delete val="0"/>
        <c:axPos val="b"/>
        <c:numFmt formatCode="General"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475311920"/>
        <c:crosses val="autoZero"/>
        <c:auto val="1"/>
        <c:lblAlgn val="ctr"/>
        <c:lblOffset val="100"/>
        <c:tickLblSkip val="1"/>
        <c:tickMarkSkip val="1"/>
        <c:noMultiLvlLbl val="0"/>
      </c:catAx>
      <c:valAx>
        <c:axId val="475311920"/>
        <c:scaling>
          <c:orientation val="minMax"/>
        </c:scaling>
        <c:delete val="0"/>
        <c:axPos val="l"/>
        <c:majorGridlines>
          <c:spPr>
            <a:ln w="3175">
              <a:solidFill>
                <a:srgbClr val="000000"/>
              </a:solidFill>
              <a:prstDash val="solid"/>
            </a:ln>
          </c:spPr>
        </c:majorGridlines>
        <c:title>
          <c:tx>
            <c:rich>
              <a:bodyPr/>
              <a:lstStyle/>
              <a:p>
                <a:pPr>
                  <a:defRPr sz="1250" b="1" i="0" u="none" strike="noStrike" baseline="0">
                    <a:solidFill>
                      <a:srgbClr val="000000"/>
                    </a:solidFill>
                    <a:latin typeface="Times New Roman"/>
                    <a:ea typeface="Times New Roman"/>
                    <a:cs typeface="Times New Roman"/>
                  </a:defRPr>
                </a:pPr>
                <a:r>
                  <a:rPr lang="es-ES"/>
                  <a:t>Ventas</a:t>
                </a:r>
              </a:p>
            </c:rich>
          </c:tx>
          <c:layout>
            <c:manualLayout>
              <c:xMode val="edge"/>
              <c:yMode val="edge"/>
              <c:x val="1.224177505738332E-2"/>
              <c:y val="0.37971136216668566"/>
            </c:manualLayout>
          </c:layout>
          <c:overlay val="0"/>
          <c:spPr>
            <a:noFill/>
            <a:ln w="25400">
              <a:noFill/>
            </a:ln>
          </c:spPr>
        </c:title>
        <c:numFmt formatCode="#,##0_*;;\-\ \ \ _*"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465516752"/>
        <c:crosses val="autoZero"/>
        <c:crossBetween val="between"/>
      </c:valAx>
      <c:spPr>
        <a:solidFill>
          <a:srgbClr val="C0C0C0"/>
        </a:solidFill>
        <a:ln w="254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100" b="0" i="0" u="none" strike="noStrike" baseline="0">
          <a:solidFill>
            <a:srgbClr val="000000"/>
          </a:solidFill>
          <a:latin typeface="Times New Roman"/>
          <a:ea typeface="Times New Roman"/>
          <a:cs typeface="Times New Roman"/>
        </a:defRPr>
      </a:pPr>
      <a:endParaRPr lang="es-ES"/>
    </a:p>
  </c:txPr>
  <c:printSettings>
    <c:headerFooter alignWithMargins="0"/>
    <c:pageMargins b="0.78740157480314965" l="0.78740157480314965" r="0.78740157480314965" t="0.78740157480314965" header="0" footer="0.39370078740157483"/>
    <c:pageSetup paperSize="9" orientation="landscape" horizontalDpi="300" verticalDpi="3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105815469434E-2"/>
          <c:y val="7.5362532162964679E-2"/>
          <c:w val="0.91230803497146751"/>
          <c:h val="0.79420514664047392"/>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cat>
            <c:strRef>
              <c:f>'Prev.Ventas 2'!$B$31:$M$31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2'!$B$25:$M$25</c:f>
              <c:numCache>
                <c:formatCode>#,##0_*;;\-\ \ \ _*</c:formatCode>
                <c:ptCount val="12"/>
                <c:pt idx="0">
                  <c:v>2884</c:v>
                </c:pt>
                <c:pt idx="1">
                  <c:v>3605</c:v>
                </c:pt>
                <c:pt idx="2">
                  <c:v>3965.5</c:v>
                </c:pt>
                <c:pt idx="3">
                  <c:v>3785.25</c:v>
                </c:pt>
                <c:pt idx="4">
                  <c:v>3244.5</c:v>
                </c:pt>
                <c:pt idx="5">
                  <c:v>3064.25</c:v>
                </c:pt>
                <c:pt idx="6">
                  <c:v>2884</c:v>
                </c:pt>
                <c:pt idx="7">
                  <c:v>2163</c:v>
                </c:pt>
                <c:pt idx="8">
                  <c:v>2884</c:v>
                </c:pt>
                <c:pt idx="9">
                  <c:v>3424.75</c:v>
                </c:pt>
                <c:pt idx="10">
                  <c:v>3605</c:v>
                </c:pt>
                <c:pt idx="11">
                  <c:v>4326</c:v>
                </c:pt>
              </c:numCache>
            </c:numRef>
          </c:val>
          <c:smooth val="0"/>
          <c:extLst>
            <c:ext xmlns:c16="http://schemas.microsoft.com/office/drawing/2014/chart" uri="{C3380CC4-5D6E-409C-BE32-E72D297353CC}">
              <c16:uniqueId val="{00000000-1F3A-4549-9DF5-26DF2F665179}"/>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cat>
            <c:strRef>
              <c:f>'Prev.Ventas 2'!$B$31:$M$31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2'!$B$17:$M$17</c:f>
              <c:numCache>
                <c:formatCode>#,##0_*;;\-\ \ \ _*</c:formatCode>
                <c:ptCount val="12"/>
                <c:pt idx="0">
                  <c:v>2884</c:v>
                </c:pt>
                <c:pt idx="1">
                  <c:v>3605</c:v>
                </c:pt>
                <c:pt idx="2">
                  <c:v>3965.5</c:v>
                </c:pt>
                <c:pt idx="3">
                  <c:v>3785.25</c:v>
                </c:pt>
                <c:pt idx="4">
                  <c:v>3244.5</c:v>
                </c:pt>
                <c:pt idx="5">
                  <c:v>3064.25</c:v>
                </c:pt>
                <c:pt idx="6">
                  <c:v>2884</c:v>
                </c:pt>
                <c:pt idx="7">
                  <c:v>2163</c:v>
                </c:pt>
                <c:pt idx="8">
                  <c:v>2884</c:v>
                </c:pt>
                <c:pt idx="9">
                  <c:v>3424.75</c:v>
                </c:pt>
                <c:pt idx="10">
                  <c:v>3605</c:v>
                </c:pt>
                <c:pt idx="11">
                  <c:v>4326</c:v>
                </c:pt>
              </c:numCache>
            </c:numRef>
          </c:val>
          <c:smooth val="0"/>
          <c:extLst>
            <c:ext xmlns:c16="http://schemas.microsoft.com/office/drawing/2014/chart" uri="{C3380CC4-5D6E-409C-BE32-E72D297353CC}">
              <c16:uniqueId val="{00000001-1F3A-4549-9DF5-26DF2F665179}"/>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cat>
            <c:strRef>
              <c:f>'Prev.Ventas 2'!$B$31:$M$31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2'!$B$18:$M$18</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1F3A-4549-9DF5-26DF2F665179}"/>
            </c:ext>
          </c:extLst>
        </c:ser>
        <c:ser>
          <c:idx val="3"/>
          <c:order val="3"/>
          <c:spPr>
            <a:ln w="12700">
              <a:solidFill>
                <a:srgbClr val="00FFFF"/>
              </a:solidFill>
              <a:prstDash val="solid"/>
            </a:ln>
          </c:spPr>
          <c:marker>
            <c:symbol val="x"/>
            <c:size val="5"/>
            <c:spPr>
              <a:noFill/>
              <a:ln>
                <a:solidFill>
                  <a:srgbClr val="00FFFF"/>
                </a:solidFill>
                <a:prstDash val="solid"/>
              </a:ln>
            </c:spPr>
          </c:marker>
          <c:cat>
            <c:strRef>
              <c:f>'Prev.Ventas 2'!$B$31:$M$31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2'!$B$19:$M$19</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1F3A-4549-9DF5-26DF2F665179}"/>
            </c:ext>
          </c:extLst>
        </c:ser>
        <c:ser>
          <c:idx val="4"/>
          <c:order val="4"/>
          <c:spPr>
            <a:ln w="12700">
              <a:solidFill>
                <a:srgbClr val="800080"/>
              </a:solidFill>
              <a:prstDash val="solid"/>
            </a:ln>
          </c:spPr>
          <c:marker>
            <c:symbol val="star"/>
            <c:size val="5"/>
            <c:spPr>
              <a:noFill/>
              <a:ln>
                <a:solidFill>
                  <a:srgbClr val="800080"/>
                </a:solidFill>
                <a:prstDash val="solid"/>
              </a:ln>
            </c:spPr>
          </c:marker>
          <c:cat>
            <c:strRef>
              <c:f>'Prev.Ventas 2'!$B$31:$M$31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2'!$B$20:$M$20</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4-1F3A-4549-9DF5-26DF2F665179}"/>
            </c:ext>
          </c:extLst>
        </c:ser>
        <c:ser>
          <c:idx val="5"/>
          <c:order val="5"/>
          <c:spPr>
            <a:ln w="12700">
              <a:solidFill>
                <a:srgbClr val="800000"/>
              </a:solidFill>
              <a:prstDash val="solid"/>
            </a:ln>
          </c:spPr>
          <c:marker>
            <c:symbol val="circle"/>
            <c:size val="5"/>
            <c:spPr>
              <a:solidFill>
                <a:srgbClr val="800000"/>
              </a:solidFill>
              <a:ln>
                <a:solidFill>
                  <a:srgbClr val="800000"/>
                </a:solidFill>
                <a:prstDash val="solid"/>
              </a:ln>
            </c:spPr>
          </c:marker>
          <c:cat>
            <c:strRef>
              <c:f>'Prev.Ventas 2'!$B$31:$M$31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2'!$B$21:$M$21</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5-1F3A-4549-9DF5-26DF2F665179}"/>
            </c:ext>
          </c:extLst>
        </c:ser>
        <c:ser>
          <c:idx val="6"/>
          <c:order val="6"/>
          <c:spPr>
            <a:ln w="12700">
              <a:solidFill>
                <a:srgbClr val="008080"/>
              </a:solidFill>
              <a:prstDash val="solid"/>
            </a:ln>
          </c:spPr>
          <c:marker>
            <c:symbol val="plus"/>
            <c:size val="5"/>
            <c:spPr>
              <a:noFill/>
              <a:ln>
                <a:solidFill>
                  <a:srgbClr val="008080"/>
                </a:solidFill>
                <a:prstDash val="solid"/>
              </a:ln>
            </c:spPr>
          </c:marker>
          <c:cat>
            <c:strRef>
              <c:f>'Prev.Ventas 2'!$B$31:$M$31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2'!$B$22:$M$22</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1F3A-4549-9DF5-26DF2F665179}"/>
            </c:ext>
          </c:extLst>
        </c:ser>
        <c:ser>
          <c:idx val="7"/>
          <c:order val="7"/>
          <c:spPr>
            <a:ln w="12700">
              <a:solidFill>
                <a:srgbClr val="0000FF"/>
              </a:solidFill>
              <a:prstDash val="solid"/>
            </a:ln>
          </c:spPr>
          <c:marker>
            <c:symbol val="dot"/>
            <c:size val="5"/>
            <c:spPr>
              <a:noFill/>
              <a:ln>
                <a:solidFill>
                  <a:srgbClr val="0000FF"/>
                </a:solidFill>
                <a:prstDash val="solid"/>
              </a:ln>
            </c:spPr>
          </c:marker>
          <c:cat>
            <c:strRef>
              <c:f>'Prev.Ventas 2'!$B$31:$M$31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2'!$B$23:$M$23</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7-1F3A-4549-9DF5-26DF2F665179}"/>
            </c:ext>
          </c:extLst>
        </c:ser>
        <c:ser>
          <c:idx val="8"/>
          <c:order val="8"/>
          <c:spPr>
            <a:ln w="12700">
              <a:solidFill>
                <a:srgbClr val="00CCFF"/>
              </a:solidFill>
              <a:prstDash val="solid"/>
            </a:ln>
          </c:spPr>
          <c:marker>
            <c:symbol val="dash"/>
            <c:size val="5"/>
            <c:spPr>
              <a:noFill/>
              <a:ln>
                <a:solidFill>
                  <a:srgbClr val="00CCFF"/>
                </a:solidFill>
                <a:prstDash val="solid"/>
              </a:ln>
            </c:spPr>
          </c:marker>
          <c:cat>
            <c:strRef>
              <c:f>'Prev.Ventas 2'!$B$31:$M$31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2'!$B$24:$M$24</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8-1F3A-4549-9DF5-26DF2F665179}"/>
            </c:ext>
          </c:extLst>
        </c:ser>
        <c:dLbls>
          <c:showLegendKey val="0"/>
          <c:showVal val="0"/>
          <c:showCatName val="0"/>
          <c:showSerName val="0"/>
          <c:showPercent val="0"/>
          <c:showBubbleSize val="0"/>
        </c:dLbls>
        <c:marker val="1"/>
        <c:smooth val="0"/>
        <c:axId val="475314272"/>
        <c:axId val="475314664"/>
      </c:lineChart>
      <c:catAx>
        <c:axId val="475314272"/>
        <c:scaling>
          <c:orientation val="minMax"/>
        </c:scaling>
        <c:delete val="0"/>
        <c:axPos val="b"/>
        <c:numFmt formatCode="General"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475314664"/>
        <c:crosses val="autoZero"/>
        <c:auto val="1"/>
        <c:lblAlgn val="ctr"/>
        <c:lblOffset val="100"/>
        <c:tickLblSkip val="1"/>
        <c:tickMarkSkip val="1"/>
        <c:noMultiLvlLbl val="0"/>
      </c:catAx>
      <c:valAx>
        <c:axId val="475314664"/>
        <c:scaling>
          <c:orientation val="minMax"/>
        </c:scaling>
        <c:delete val="0"/>
        <c:axPos val="l"/>
        <c:majorGridlines>
          <c:spPr>
            <a:ln w="3175">
              <a:solidFill>
                <a:srgbClr val="000000"/>
              </a:solidFill>
              <a:prstDash val="solid"/>
            </a:ln>
          </c:spPr>
        </c:majorGridlines>
        <c:title>
          <c:tx>
            <c:rich>
              <a:bodyPr/>
              <a:lstStyle/>
              <a:p>
                <a:pPr>
                  <a:defRPr sz="1250" b="1" i="0" u="none" strike="noStrike" baseline="0">
                    <a:solidFill>
                      <a:srgbClr val="000000"/>
                    </a:solidFill>
                    <a:latin typeface="Times New Roman"/>
                    <a:ea typeface="Times New Roman"/>
                    <a:cs typeface="Times New Roman"/>
                  </a:defRPr>
                </a:pPr>
                <a:r>
                  <a:rPr lang="es-ES"/>
                  <a:t>% de Ventas</a:t>
                </a:r>
              </a:p>
            </c:rich>
          </c:tx>
          <c:layout>
            <c:manualLayout>
              <c:xMode val="edge"/>
              <c:yMode val="edge"/>
              <c:x val="1.2307692307692308E-2"/>
              <c:y val="0.31014584046559401"/>
            </c:manualLayout>
          </c:layout>
          <c:overlay val="0"/>
          <c:spPr>
            <a:noFill/>
            <a:ln w="25400">
              <a:noFill/>
            </a:ln>
          </c:spPr>
        </c:title>
        <c:numFmt formatCode="#,##0_*;;\-\ \ \ _*"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475314272"/>
        <c:crosses val="autoZero"/>
        <c:crossBetween val="between"/>
      </c:valAx>
      <c:spPr>
        <a:solidFill>
          <a:srgbClr val="C0C0C0"/>
        </a:solidFill>
        <a:ln w="254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100" b="0" i="0" u="none" strike="noStrike" baseline="0">
          <a:solidFill>
            <a:srgbClr val="000000"/>
          </a:solidFill>
          <a:latin typeface="Times New Roman"/>
          <a:ea typeface="Times New Roman"/>
          <a:cs typeface="Times New Roman"/>
        </a:defRPr>
      </a:pPr>
      <a:endParaRPr lang="es-ES"/>
    </a:p>
  </c:txPr>
  <c:printSettings>
    <c:headerFooter alignWithMargins="0"/>
    <c:pageMargins b="0.78740157480314965" l="0.78740157480314965" r="0.78740157480314965" t="0.78740157480314965" header="0" footer="0.39370078740157483"/>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105815469434E-2"/>
          <c:y val="7.5362532162964679E-2"/>
          <c:w val="0.91230803497146751"/>
          <c:h val="0.79420514664047392"/>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cat>
            <c:strRef>
              <c:f>'Prev.Ventas 3'!$B$31:$M$31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3'!$B$25:$M$25</c:f>
              <c:numCache>
                <c:formatCode>#,##0_*;;\-\ \ \ _*</c:formatCode>
                <c:ptCount val="12"/>
                <c:pt idx="0">
                  <c:v>2970.52</c:v>
                </c:pt>
                <c:pt idx="1">
                  <c:v>3713.1500000000005</c:v>
                </c:pt>
                <c:pt idx="2">
                  <c:v>4084.4650000000001</c:v>
                </c:pt>
                <c:pt idx="3">
                  <c:v>3898.8074999999999</c:v>
                </c:pt>
                <c:pt idx="4">
                  <c:v>3341.835</c:v>
                </c:pt>
                <c:pt idx="5">
                  <c:v>3156.1774999999998</c:v>
                </c:pt>
                <c:pt idx="6">
                  <c:v>2970.52</c:v>
                </c:pt>
                <c:pt idx="7">
                  <c:v>2227.89</c:v>
                </c:pt>
                <c:pt idx="8">
                  <c:v>2970.52</c:v>
                </c:pt>
                <c:pt idx="9">
                  <c:v>3527.4925000000003</c:v>
                </c:pt>
                <c:pt idx="10">
                  <c:v>3713.1500000000005</c:v>
                </c:pt>
                <c:pt idx="11">
                  <c:v>4455.78</c:v>
                </c:pt>
              </c:numCache>
            </c:numRef>
          </c:val>
          <c:smooth val="0"/>
          <c:extLst>
            <c:ext xmlns:c16="http://schemas.microsoft.com/office/drawing/2014/chart" uri="{C3380CC4-5D6E-409C-BE32-E72D297353CC}">
              <c16:uniqueId val="{00000000-93FB-4EFB-8BB2-3658F96DB8A4}"/>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cat>
            <c:strRef>
              <c:f>'Prev.Ventas 3'!$B$31:$M$31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3'!$B$17:$M$17</c:f>
              <c:numCache>
                <c:formatCode>#,##0_*;;\-\ \ \ _*</c:formatCode>
                <c:ptCount val="12"/>
                <c:pt idx="0">
                  <c:v>2970.52</c:v>
                </c:pt>
                <c:pt idx="1">
                  <c:v>3713.1500000000005</c:v>
                </c:pt>
                <c:pt idx="2">
                  <c:v>4084.4650000000001</c:v>
                </c:pt>
                <c:pt idx="3">
                  <c:v>3898.8074999999999</c:v>
                </c:pt>
                <c:pt idx="4">
                  <c:v>3341.835</c:v>
                </c:pt>
                <c:pt idx="5">
                  <c:v>3156.1774999999998</c:v>
                </c:pt>
                <c:pt idx="6">
                  <c:v>2970.52</c:v>
                </c:pt>
                <c:pt idx="7">
                  <c:v>2227.89</c:v>
                </c:pt>
                <c:pt idx="8">
                  <c:v>2970.52</c:v>
                </c:pt>
                <c:pt idx="9">
                  <c:v>3527.4925000000003</c:v>
                </c:pt>
                <c:pt idx="10">
                  <c:v>3713.1500000000005</c:v>
                </c:pt>
                <c:pt idx="11">
                  <c:v>4455.78</c:v>
                </c:pt>
              </c:numCache>
            </c:numRef>
          </c:val>
          <c:smooth val="0"/>
          <c:extLst>
            <c:ext xmlns:c16="http://schemas.microsoft.com/office/drawing/2014/chart" uri="{C3380CC4-5D6E-409C-BE32-E72D297353CC}">
              <c16:uniqueId val="{00000001-93FB-4EFB-8BB2-3658F96DB8A4}"/>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cat>
            <c:strRef>
              <c:f>'Prev.Ventas 3'!$B$31:$M$31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3'!$B$18:$M$18</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93FB-4EFB-8BB2-3658F96DB8A4}"/>
            </c:ext>
          </c:extLst>
        </c:ser>
        <c:ser>
          <c:idx val="3"/>
          <c:order val="3"/>
          <c:spPr>
            <a:ln w="12700">
              <a:solidFill>
                <a:srgbClr val="00FFFF"/>
              </a:solidFill>
              <a:prstDash val="solid"/>
            </a:ln>
          </c:spPr>
          <c:marker>
            <c:symbol val="x"/>
            <c:size val="5"/>
            <c:spPr>
              <a:noFill/>
              <a:ln>
                <a:solidFill>
                  <a:srgbClr val="00FFFF"/>
                </a:solidFill>
                <a:prstDash val="solid"/>
              </a:ln>
            </c:spPr>
          </c:marker>
          <c:cat>
            <c:strRef>
              <c:f>'Prev.Ventas 3'!$B$31:$M$31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3'!$B$19:$M$19</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93FB-4EFB-8BB2-3658F96DB8A4}"/>
            </c:ext>
          </c:extLst>
        </c:ser>
        <c:ser>
          <c:idx val="4"/>
          <c:order val="4"/>
          <c:spPr>
            <a:ln w="12700">
              <a:solidFill>
                <a:srgbClr val="800080"/>
              </a:solidFill>
              <a:prstDash val="solid"/>
            </a:ln>
          </c:spPr>
          <c:marker>
            <c:symbol val="star"/>
            <c:size val="5"/>
            <c:spPr>
              <a:noFill/>
              <a:ln>
                <a:solidFill>
                  <a:srgbClr val="800080"/>
                </a:solidFill>
                <a:prstDash val="solid"/>
              </a:ln>
            </c:spPr>
          </c:marker>
          <c:cat>
            <c:strRef>
              <c:f>'Prev.Ventas 3'!$B$31:$M$31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3'!$B$20:$M$20</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4-93FB-4EFB-8BB2-3658F96DB8A4}"/>
            </c:ext>
          </c:extLst>
        </c:ser>
        <c:ser>
          <c:idx val="5"/>
          <c:order val="5"/>
          <c:spPr>
            <a:ln w="12700">
              <a:solidFill>
                <a:srgbClr val="800000"/>
              </a:solidFill>
              <a:prstDash val="solid"/>
            </a:ln>
          </c:spPr>
          <c:marker>
            <c:symbol val="circle"/>
            <c:size val="5"/>
            <c:spPr>
              <a:solidFill>
                <a:srgbClr val="800000"/>
              </a:solidFill>
              <a:ln>
                <a:solidFill>
                  <a:srgbClr val="800000"/>
                </a:solidFill>
                <a:prstDash val="solid"/>
              </a:ln>
            </c:spPr>
          </c:marker>
          <c:cat>
            <c:strRef>
              <c:f>'Prev.Ventas 3'!$B$31:$M$31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3'!$B$21:$M$21</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5-93FB-4EFB-8BB2-3658F96DB8A4}"/>
            </c:ext>
          </c:extLst>
        </c:ser>
        <c:ser>
          <c:idx val="6"/>
          <c:order val="6"/>
          <c:spPr>
            <a:ln w="12700">
              <a:solidFill>
                <a:srgbClr val="008080"/>
              </a:solidFill>
              <a:prstDash val="solid"/>
            </a:ln>
          </c:spPr>
          <c:marker>
            <c:symbol val="plus"/>
            <c:size val="5"/>
            <c:spPr>
              <a:noFill/>
              <a:ln>
                <a:solidFill>
                  <a:srgbClr val="008080"/>
                </a:solidFill>
                <a:prstDash val="solid"/>
              </a:ln>
            </c:spPr>
          </c:marker>
          <c:cat>
            <c:strRef>
              <c:f>'Prev.Ventas 3'!$B$31:$M$31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3'!$B$22:$M$22</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93FB-4EFB-8BB2-3658F96DB8A4}"/>
            </c:ext>
          </c:extLst>
        </c:ser>
        <c:ser>
          <c:idx val="7"/>
          <c:order val="7"/>
          <c:spPr>
            <a:ln w="12700">
              <a:solidFill>
                <a:srgbClr val="0000FF"/>
              </a:solidFill>
              <a:prstDash val="solid"/>
            </a:ln>
          </c:spPr>
          <c:marker>
            <c:symbol val="dot"/>
            <c:size val="5"/>
            <c:spPr>
              <a:noFill/>
              <a:ln>
                <a:solidFill>
                  <a:srgbClr val="0000FF"/>
                </a:solidFill>
                <a:prstDash val="solid"/>
              </a:ln>
            </c:spPr>
          </c:marker>
          <c:cat>
            <c:strRef>
              <c:f>'Prev.Ventas 3'!$B$31:$M$31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3'!$B$23:$M$23</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7-93FB-4EFB-8BB2-3658F96DB8A4}"/>
            </c:ext>
          </c:extLst>
        </c:ser>
        <c:ser>
          <c:idx val="8"/>
          <c:order val="8"/>
          <c:spPr>
            <a:ln w="12700">
              <a:solidFill>
                <a:srgbClr val="00CCFF"/>
              </a:solidFill>
              <a:prstDash val="solid"/>
            </a:ln>
          </c:spPr>
          <c:marker>
            <c:symbol val="dash"/>
            <c:size val="5"/>
            <c:spPr>
              <a:noFill/>
              <a:ln>
                <a:solidFill>
                  <a:srgbClr val="00CCFF"/>
                </a:solidFill>
                <a:prstDash val="solid"/>
              </a:ln>
            </c:spPr>
          </c:marker>
          <c:cat>
            <c:strRef>
              <c:f>'Prev.Ventas 3'!$B$31:$M$31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3'!$B$24:$M$24</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8-93FB-4EFB-8BB2-3658F96DB8A4}"/>
            </c:ext>
          </c:extLst>
        </c:ser>
        <c:dLbls>
          <c:showLegendKey val="0"/>
          <c:showVal val="0"/>
          <c:showCatName val="0"/>
          <c:showSerName val="0"/>
          <c:showPercent val="0"/>
          <c:showBubbleSize val="0"/>
        </c:dLbls>
        <c:marker val="1"/>
        <c:smooth val="0"/>
        <c:axId val="475315448"/>
        <c:axId val="475315840"/>
      </c:lineChart>
      <c:catAx>
        <c:axId val="475315448"/>
        <c:scaling>
          <c:orientation val="minMax"/>
        </c:scaling>
        <c:delete val="0"/>
        <c:axPos val="b"/>
        <c:numFmt formatCode="General"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475315840"/>
        <c:crosses val="autoZero"/>
        <c:auto val="1"/>
        <c:lblAlgn val="ctr"/>
        <c:lblOffset val="100"/>
        <c:tickLblSkip val="1"/>
        <c:tickMarkSkip val="1"/>
        <c:noMultiLvlLbl val="0"/>
      </c:catAx>
      <c:valAx>
        <c:axId val="475315840"/>
        <c:scaling>
          <c:orientation val="minMax"/>
        </c:scaling>
        <c:delete val="0"/>
        <c:axPos val="l"/>
        <c:majorGridlines>
          <c:spPr>
            <a:ln w="3175">
              <a:solidFill>
                <a:srgbClr val="000000"/>
              </a:solidFill>
              <a:prstDash val="solid"/>
            </a:ln>
          </c:spPr>
        </c:majorGridlines>
        <c:title>
          <c:tx>
            <c:rich>
              <a:bodyPr/>
              <a:lstStyle/>
              <a:p>
                <a:pPr>
                  <a:defRPr sz="1250" b="1" i="0" u="none" strike="noStrike" baseline="0">
                    <a:solidFill>
                      <a:srgbClr val="000000"/>
                    </a:solidFill>
                    <a:latin typeface="Times New Roman"/>
                    <a:ea typeface="Times New Roman"/>
                    <a:cs typeface="Times New Roman"/>
                  </a:defRPr>
                </a:pPr>
                <a:r>
                  <a:rPr lang="es-ES"/>
                  <a:t>% de Ventas</a:t>
                </a:r>
              </a:p>
            </c:rich>
          </c:tx>
          <c:layout>
            <c:manualLayout>
              <c:xMode val="edge"/>
              <c:yMode val="edge"/>
              <c:x val="1.2307692307692308E-2"/>
              <c:y val="0.31014584046559401"/>
            </c:manualLayout>
          </c:layout>
          <c:overlay val="0"/>
          <c:spPr>
            <a:noFill/>
            <a:ln w="25400">
              <a:noFill/>
            </a:ln>
          </c:spPr>
        </c:title>
        <c:numFmt formatCode="#,##0_*;;\-\ \ \ _*"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475315448"/>
        <c:crosses val="autoZero"/>
        <c:crossBetween val="between"/>
      </c:valAx>
      <c:spPr>
        <a:solidFill>
          <a:srgbClr val="C0C0C0"/>
        </a:solidFill>
        <a:ln w="254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100" b="0" i="0" u="none" strike="noStrike" baseline="0">
          <a:solidFill>
            <a:srgbClr val="000000"/>
          </a:solidFill>
          <a:latin typeface="Times New Roman"/>
          <a:ea typeface="Times New Roman"/>
          <a:cs typeface="Times New Roman"/>
        </a:defRPr>
      </a:pPr>
      <a:endParaRPr lang="es-ES"/>
    </a:p>
  </c:txPr>
  <c:printSettings>
    <c:headerFooter alignWithMargins="0"/>
    <c:pageMargins b="0.78740157480314965" l="0.78740157480314965" r="0.78740157480314965" t="0.78740157480314965" header="0" footer="0.39370078740157483"/>
    <c:pageSetup paperSize="9"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511094108645747E-2"/>
          <c:y val="7.5362532162964679E-2"/>
          <c:w val="0.9127773527161438"/>
          <c:h val="0.79420514664047392"/>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cat>
            <c:strRef>
              <c:f>'Prev.Ventas 4'!$B$31:$M$31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4'!$B$25:$M$25</c:f>
              <c:numCache>
                <c:formatCode>#,##0_*;;\-\ \ \ _*</c:formatCode>
                <c:ptCount val="12"/>
                <c:pt idx="0">
                  <c:v>3059.6356000000001</c:v>
                </c:pt>
                <c:pt idx="1">
                  <c:v>3824.5445000000004</c:v>
                </c:pt>
                <c:pt idx="2">
                  <c:v>4206.9989500000001</c:v>
                </c:pt>
                <c:pt idx="3">
                  <c:v>4015.7717249999996</c:v>
                </c:pt>
                <c:pt idx="4">
                  <c:v>3442.0900500000002</c:v>
                </c:pt>
                <c:pt idx="5">
                  <c:v>3250.8628250000002</c:v>
                </c:pt>
                <c:pt idx="6">
                  <c:v>3059.6356000000001</c:v>
                </c:pt>
                <c:pt idx="7">
                  <c:v>2294.7267000000002</c:v>
                </c:pt>
                <c:pt idx="8">
                  <c:v>3059.6356000000001</c:v>
                </c:pt>
                <c:pt idx="9">
                  <c:v>3633.3172750000003</c:v>
                </c:pt>
                <c:pt idx="10">
                  <c:v>3824.5445000000004</c:v>
                </c:pt>
                <c:pt idx="11">
                  <c:v>4589.4534000000003</c:v>
                </c:pt>
              </c:numCache>
            </c:numRef>
          </c:val>
          <c:smooth val="0"/>
          <c:extLst>
            <c:ext xmlns:c16="http://schemas.microsoft.com/office/drawing/2014/chart" uri="{C3380CC4-5D6E-409C-BE32-E72D297353CC}">
              <c16:uniqueId val="{00000000-48B7-4DE6-A395-929D2EE008A6}"/>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cat>
            <c:strRef>
              <c:f>'Prev.Ventas 4'!$B$31:$M$31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4'!$B$17:$M$17</c:f>
              <c:numCache>
                <c:formatCode>#,##0_*;;\-\ \ \ _*</c:formatCode>
                <c:ptCount val="12"/>
                <c:pt idx="0">
                  <c:v>3059.6356000000001</c:v>
                </c:pt>
                <c:pt idx="1">
                  <c:v>3824.5445000000004</c:v>
                </c:pt>
                <c:pt idx="2">
                  <c:v>4206.9989500000001</c:v>
                </c:pt>
                <c:pt idx="3">
                  <c:v>4015.7717249999996</c:v>
                </c:pt>
                <c:pt idx="4">
                  <c:v>3442.0900500000002</c:v>
                </c:pt>
                <c:pt idx="5">
                  <c:v>3250.8628250000002</c:v>
                </c:pt>
                <c:pt idx="6">
                  <c:v>3059.6356000000001</c:v>
                </c:pt>
                <c:pt idx="7">
                  <c:v>2294.7267000000002</c:v>
                </c:pt>
                <c:pt idx="8">
                  <c:v>3059.6356000000001</c:v>
                </c:pt>
                <c:pt idx="9">
                  <c:v>3633.3172750000003</c:v>
                </c:pt>
                <c:pt idx="10">
                  <c:v>3824.5445000000004</c:v>
                </c:pt>
                <c:pt idx="11">
                  <c:v>4589.4534000000003</c:v>
                </c:pt>
              </c:numCache>
            </c:numRef>
          </c:val>
          <c:smooth val="0"/>
          <c:extLst>
            <c:ext xmlns:c16="http://schemas.microsoft.com/office/drawing/2014/chart" uri="{C3380CC4-5D6E-409C-BE32-E72D297353CC}">
              <c16:uniqueId val="{00000001-48B7-4DE6-A395-929D2EE008A6}"/>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cat>
            <c:strRef>
              <c:f>'Prev.Ventas 4'!$B$31:$M$31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4'!$B$18:$M$18</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48B7-4DE6-A395-929D2EE008A6}"/>
            </c:ext>
          </c:extLst>
        </c:ser>
        <c:ser>
          <c:idx val="3"/>
          <c:order val="3"/>
          <c:spPr>
            <a:ln w="12700">
              <a:solidFill>
                <a:srgbClr val="00FFFF"/>
              </a:solidFill>
              <a:prstDash val="solid"/>
            </a:ln>
          </c:spPr>
          <c:marker>
            <c:symbol val="x"/>
            <c:size val="5"/>
            <c:spPr>
              <a:noFill/>
              <a:ln>
                <a:solidFill>
                  <a:srgbClr val="00FFFF"/>
                </a:solidFill>
                <a:prstDash val="solid"/>
              </a:ln>
            </c:spPr>
          </c:marker>
          <c:cat>
            <c:strRef>
              <c:f>'Prev.Ventas 4'!$B$31:$M$31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4'!$B$19:$M$19</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48B7-4DE6-A395-929D2EE008A6}"/>
            </c:ext>
          </c:extLst>
        </c:ser>
        <c:ser>
          <c:idx val="4"/>
          <c:order val="4"/>
          <c:spPr>
            <a:ln w="12700">
              <a:solidFill>
                <a:srgbClr val="800080"/>
              </a:solidFill>
              <a:prstDash val="solid"/>
            </a:ln>
          </c:spPr>
          <c:marker>
            <c:symbol val="star"/>
            <c:size val="5"/>
            <c:spPr>
              <a:noFill/>
              <a:ln>
                <a:solidFill>
                  <a:srgbClr val="800080"/>
                </a:solidFill>
                <a:prstDash val="solid"/>
              </a:ln>
            </c:spPr>
          </c:marker>
          <c:cat>
            <c:strRef>
              <c:f>'Prev.Ventas 4'!$B$31:$M$31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4'!$B$20:$M$20</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4-48B7-4DE6-A395-929D2EE008A6}"/>
            </c:ext>
          </c:extLst>
        </c:ser>
        <c:ser>
          <c:idx val="5"/>
          <c:order val="5"/>
          <c:spPr>
            <a:ln w="12700">
              <a:solidFill>
                <a:srgbClr val="800000"/>
              </a:solidFill>
              <a:prstDash val="solid"/>
            </a:ln>
          </c:spPr>
          <c:marker>
            <c:symbol val="circle"/>
            <c:size val="5"/>
            <c:spPr>
              <a:solidFill>
                <a:srgbClr val="800000"/>
              </a:solidFill>
              <a:ln>
                <a:solidFill>
                  <a:srgbClr val="800000"/>
                </a:solidFill>
                <a:prstDash val="solid"/>
              </a:ln>
            </c:spPr>
          </c:marker>
          <c:cat>
            <c:strRef>
              <c:f>'Prev.Ventas 4'!$B$31:$M$31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4'!$B$21:$M$21</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5-48B7-4DE6-A395-929D2EE008A6}"/>
            </c:ext>
          </c:extLst>
        </c:ser>
        <c:ser>
          <c:idx val="6"/>
          <c:order val="6"/>
          <c:spPr>
            <a:ln w="12700">
              <a:solidFill>
                <a:srgbClr val="008080"/>
              </a:solidFill>
              <a:prstDash val="solid"/>
            </a:ln>
          </c:spPr>
          <c:marker>
            <c:symbol val="plus"/>
            <c:size val="5"/>
            <c:spPr>
              <a:noFill/>
              <a:ln>
                <a:solidFill>
                  <a:srgbClr val="008080"/>
                </a:solidFill>
                <a:prstDash val="solid"/>
              </a:ln>
            </c:spPr>
          </c:marker>
          <c:cat>
            <c:strRef>
              <c:f>'Prev.Ventas 4'!$B$31:$M$31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4'!$B$22:$M$22</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48B7-4DE6-A395-929D2EE008A6}"/>
            </c:ext>
          </c:extLst>
        </c:ser>
        <c:ser>
          <c:idx val="7"/>
          <c:order val="7"/>
          <c:spPr>
            <a:ln w="12700">
              <a:solidFill>
                <a:srgbClr val="0000FF"/>
              </a:solidFill>
              <a:prstDash val="solid"/>
            </a:ln>
          </c:spPr>
          <c:marker>
            <c:symbol val="dot"/>
            <c:size val="5"/>
            <c:spPr>
              <a:noFill/>
              <a:ln>
                <a:solidFill>
                  <a:srgbClr val="0000FF"/>
                </a:solidFill>
                <a:prstDash val="solid"/>
              </a:ln>
            </c:spPr>
          </c:marker>
          <c:cat>
            <c:strRef>
              <c:f>'Prev.Ventas 4'!$B$31:$M$31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4'!$B$23:$M$23</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7-48B7-4DE6-A395-929D2EE008A6}"/>
            </c:ext>
          </c:extLst>
        </c:ser>
        <c:ser>
          <c:idx val="8"/>
          <c:order val="8"/>
          <c:spPr>
            <a:ln w="12700">
              <a:solidFill>
                <a:srgbClr val="00CCFF"/>
              </a:solidFill>
              <a:prstDash val="solid"/>
            </a:ln>
          </c:spPr>
          <c:marker>
            <c:symbol val="dash"/>
            <c:size val="5"/>
            <c:spPr>
              <a:noFill/>
              <a:ln>
                <a:solidFill>
                  <a:srgbClr val="00CCFF"/>
                </a:solidFill>
                <a:prstDash val="solid"/>
              </a:ln>
            </c:spPr>
          </c:marker>
          <c:cat>
            <c:strRef>
              <c:f>'Prev.Ventas 4'!$B$31:$M$31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4'!$B$24:$M$24</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8-48B7-4DE6-A395-929D2EE008A6}"/>
            </c:ext>
          </c:extLst>
        </c:ser>
        <c:dLbls>
          <c:showLegendKey val="0"/>
          <c:showVal val="0"/>
          <c:showCatName val="0"/>
          <c:showSerName val="0"/>
          <c:showPercent val="0"/>
          <c:showBubbleSize val="0"/>
        </c:dLbls>
        <c:marker val="1"/>
        <c:smooth val="0"/>
        <c:axId val="475313488"/>
        <c:axId val="475313096"/>
      </c:lineChart>
      <c:catAx>
        <c:axId val="475313488"/>
        <c:scaling>
          <c:orientation val="minMax"/>
        </c:scaling>
        <c:delete val="0"/>
        <c:axPos val="b"/>
        <c:numFmt formatCode="General"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475313096"/>
        <c:crosses val="autoZero"/>
        <c:auto val="1"/>
        <c:lblAlgn val="ctr"/>
        <c:lblOffset val="100"/>
        <c:tickLblSkip val="1"/>
        <c:tickMarkSkip val="1"/>
        <c:noMultiLvlLbl val="0"/>
      </c:catAx>
      <c:valAx>
        <c:axId val="475313096"/>
        <c:scaling>
          <c:orientation val="minMax"/>
        </c:scaling>
        <c:delete val="0"/>
        <c:axPos val="l"/>
        <c:majorGridlines>
          <c:spPr>
            <a:ln w="3175">
              <a:solidFill>
                <a:srgbClr val="000000"/>
              </a:solidFill>
              <a:prstDash val="solid"/>
            </a:ln>
          </c:spPr>
        </c:majorGridlines>
        <c:title>
          <c:tx>
            <c:rich>
              <a:bodyPr/>
              <a:lstStyle/>
              <a:p>
                <a:pPr>
                  <a:defRPr sz="1250" b="1" i="0" u="none" strike="noStrike" baseline="0">
                    <a:solidFill>
                      <a:srgbClr val="000000"/>
                    </a:solidFill>
                    <a:latin typeface="Times New Roman"/>
                    <a:ea typeface="Times New Roman"/>
                    <a:cs typeface="Times New Roman"/>
                  </a:defRPr>
                </a:pPr>
                <a:r>
                  <a:rPr lang="es-ES"/>
                  <a:t>% de Ventas</a:t>
                </a:r>
              </a:p>
            </c:rich>
          </c:tx>
          <c:layout>
            <c:manualLayout>
              <c:xMode val="edge"/>
              <c:yMode val="edge"/>
              <c:x val="1.224177505738332E-2"/>
              <c:y val="0.31014584046559401"/>
            </c:manualLayout>
          </c:layout>
          <c:overlay val="0"/>
          <c:spPr>
            <a:noFill/>
            <a:ln w="25400">
              <a:noFill/>
            </a:ln>
          </c:spPr>
        </c:title>
        <c:numFmt formatCode="#,##0_*;;\-\ \ \ _*"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475313488"/>
        <c:crosses val="autoZero"/>
        <c:crossBetween val="between"/>
      </c:valAx>
      <c:spPr>
        <a:solidFill>
          <a:srgbClr val="C0C0C0"/>
        </a:solidFill>
        <a:ln w="254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100" b="0" i="0" u="none" strike="noStrike" baseline="0">
          <a:solidFill>
            <a:srgbClr val="000000"/>
          </a:solidFill>
          <a:latin typeface="Times New Roman"/>
          <a:ea typeface="Times New Roman"/>
          <a:cs typeface="Times New Roman"/>
        </a:defRPr>
      </a:pPr>
      <a:endParaRPr lang="es-ES"/>
    </a:p>
  </c:txPr>
  <c:printSettings>
    <c:headerFooter alignWithMargins="0"/>
    <c:pageMargins b="0.78740157480314965" l="0.78740157480314965" r="0.78740157480314965" t="0.78740157480314965" header="0" footer="0.39370078740157483"/>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66678534625788"/>
          <c:y val="5.696214267319083E-2"/>
          <c:w val="0.86458421283387532"/>
          <c:h val="0.77426319855781611"/>
        </c:manualLayout>
      </c:layout>
      <c:lineChart>
        <c:grouping val="standard"/>
        <c:varyColors val="0"/>
        <c:ser>
          <c:idx val="0"/>
          <c:order val="0"/>
          <c:tx>
            <c:strRef>
              <c:f>'Resumen Ventas 5 años'!$B$32</c:f>
              <c:strCache>
                <c:ptCount val="1"/>
                <c:pt idx="0">
                  <c:v>Año 0:  2026</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'Prev.Ventas 0'!$B$4:$M$4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0'!$B$25:$M$25</c:f>
              <c:numCache>
                <c:formatCode>#,##0_*;;\-\ \ _*</c:formatCode>
                <c:ptCount val="12"/>
                <c:pt idx="0">
                  <c:v>1750</c:v>
                </c:pt>
                <c:pt idx="1">
                  <c:v>1870.6439393939395</c:v>
                </c:pt>
                <c:pt idx="2">
                  <c:v>2054.9242424242425</c:v>
                </c:pt>
                <c:pt idx="3">
                  <c:v>2159.659090909091</c:v>
                </c:pt>
                <c:pt idx="4">
                  <c:v>2105.30303030303</c:v>
                </c:pt>
                <c:pt idx="5">
                  <c:v>2114.583333333333</c:v>
                </c:pt>
                <c:pt idx="6">
                  <c:v>2092.0454545454545</c:v>
                </c:pt>
                <c:pt idx="7">
                  <c:v>1703.5984848484848</c:v>
                </c:pt>
                <c:pt idx="8">
                  <c:v>2206.060606060606</c:v>
                </c:pt>
                <c:pt idx="9">
                  <c:v>2692.613636363636</c:v>
                </c:pt>
                <c:pt idx="10">
                  <c:v>2956.4393939393935</c:v>
                </c:pt>
                <c:pt idx="11">
                  <c:v>3777.083333333333</c:v>
                </c:pt>
              </c:numCache>
            </c:numRef>
          </c:val>
          <c:smooth val="0"/>
          <c:extLst>
            <c:ext xmlns:c16="http://schemas.microsoft.com/office/drawing/2014/chart" uri="{C3380CC4-5D6E-409C-BE32-E72D297353CC}">
              <c16:uniqueId val="{00000000-DB81-4CCA-BA4D-1B6FA2354E99}"/>
            </c:ext>
          </c:extLst>
        </c:ser>
        <c:ser>
          <c:idx val="2"/>
          <c:order val="1"/>
          <c:tx>
            <c:strRef>
              <c:f>'Resumen Ventas 5 años'!$C$32</c:f>
              <c:strCache>
                <c:ptCount val="1"/>
                <c:pt idx="0">
                  <c:v>Año 1:  2027</c:v>
                </c:pt>
              </c:strCache>
            </c:strRef>
          </c:tx>
          <c:spPr>
            <a:ln w="12700">
              <a:solidFill>
                <a:schemeClr val="accent6">
                  <a:lumMod val="75000"/>
                </a:schemeClr>
              </a:solidFill>
              <a:prstDash val="solid"/>
            </a:ln>
          </c:spPr>
          <c:marker>
            <c:symbol val="triangle"/>
            <c:size val="5"/>
            <c:spPr>
              <a:solidFill>
                <a:schemeClr val="accent6">
                  <a:lumMod val="75000"/>
                </a:schemeClr>
              </a:solidFill>
              <a:ln>
                <a:solidFill>
                  <a:schemeClr val="accent6">
                    <a:lumMod val="75000"/>
                  </a:schemeClr>
                </a:solidFill>
                <a:prstDash val="solid"/>
              </a:ln>
            </c:spPr>
          </c:marker>
          <c:cat>
            <c:strRef>
              <c:f>'Prev.Ventas 0'!$B$4:$M$4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'Prev.Ventas 1'!$B$25:$M$25</c:f>
              <c:numCache>
                <c:formatCode>#,##0_*;;\-\ \ \ _*</c:formatCode>
                <c:ptCount val="12"/>
                <c:pt idx="0">
                  <c:v>2800</c:v>
                </c:pt>
                <c:pt idx="1">
                  <c:v>3500</c:v>
                </c:pt>
                <c:pt idx="2">
                  <c:v>3850</c:v>
                </c:pt>
                <c:pt idx="3">
                  <c:v>3675</c:v>
                </c:pt>
                <c:pt idx="4">
                  <c:v>3150</c:v>
                </c:pt>
                <c:pt idx="5">
                  <c:v>2975</c:v>
                </c:pt>
                <c:pt idx="6">
                  <c:v>2800</c:v>
                </c:pt>
                <c:pt idx="7">
                  <c:v>2100</c:v>
                </c:pt>
                <c:pt idx="8">
                  <c:v>2800</c:v>
                </c:pt>
                <c:pt idx="9">
                  <c:v>3325</c:v>
                </c:pt>
                <c:pt idx="10">
                  <c:v>3500</c:v>
                </c:pt>
                <c:pt idx="11">
                  <c:v>4200</c:v>
                </c:pt>
              </c:numCache>
            </c:numRef>
          </c:val>
          <c:smooth val="0"/>
          <c:extLst>
            <c:ext xmlns:c16="http://schemas.microsoft.com/office/drawing/2014/chart" uri="{C3380CC4-5D6E-409C-BE32-E72D297353CC}">
              <c16:uniqueId val="{00000001-DB81-4CCA-BA4D-1B6FA2354E99}"/>
            </c:ext>
          </c:extLst>
        </c:ser>
        <c:ser>
          <c:idx val="1"/>
          <c:order val="2"/>
          <c:tx>
            <c:strRef>
              <c:f>'Resumen Ventas 5 años'!$E$32</c:f>
              <c:strCache>
                <c:ptCount val="1"/>
                <c:pt idx="0">
                  <c:v>Año 2:  2028</c:v>
                </c:pt>
              </c:strCache>
            </c:strRef>
          </c:tx>
          <c:spPr>
            <a:ln w="12700">
              <a:solidFill>
                <a:schemeClr val="accent4">
                  <a:lumMod val="75000"/>
                </a:schemeClr>
              </a:solidFill>
              <a:prstDash val="solid"/>
            </a:ln>
          </c:spPr>
          <c:marker>
            <c:symbol val="square"/>
            <c:size val="5"/>
            <c:spPr>
              <a:solidFill>
                <a:schemeClr val="accent4">
                  <a:lumMod val="75000"/>
                </a:schemeClr>
              </a:solidFill>
              <a:ln>
                <a:solidFill>
                  <a:schemeClr val="accent4">
                    <a:lumMod val="75000"/>
                  </a:schemeClr>
                </a:solidFill>
                <a:prstDash val="solid"/>
              </a:ln>
            </c:spPr>
          </c:marker>
          <c:val>
            <c:numRef>
              <c:f>'Prev.Ventas 2'!$B$25:$M$25</c:f>
              <c:numCache>
                <c:formatCode>#,##0_*;;\-\ \ \ _*</c:formatCode>
                <c:ptCount val="12"/>
                <c:pt idx="0">
                  <c:v>2884</c:v>
                </c:pt>
                <c:pt idx="1">
                  <c:v>3605</c:v>
                </c:pt>
                <c:pt idx="2">
                  <c:v>3965.5</c:v>
                </c:pt>
                <c:pt idx="3">
                  <c:v>3785.25</c:v>
                </c:pt>
                <c:pt idx="4">
                  <c:v>3244.5</c:v>
                </c:pt>
                <c:pt idx="5">
                  <c:v>3064.25</c:v>
                </c:pt>
                <c:pt idx="6">
                  <c:v>2884</c:v>
                </c:pt>
                <c:pt idx="7">
                  <c:v>2163</c:v>
                </c:pt>
                <c:pt idx="8">
                  <c:v>2884</c:v>
                </c:pt>
                <c:pt idx="9">
                  <c:v>3424.75</c:v>
                </c:pt>
                <c:pt idx="10">
                  <c:v>3605</c:v>
                </c:pt>
                <c:pt idx="11">
                  <c:v>4326</c:v>
                </c:pt>
              </c:numCache>
            </c:numRef>
          </c:val>
          <c:smooth val="0"/>
          <c:extLst>
            <c:ext xmlns:c16="http://schemas.microsoft.com/office/drawing/2014/chart" uri="{C3380CC4-5D6E-409C-BE32-E72D297353CC}">
              <c16:uniqueId val="{00000002-DB81-4CCA-BA4D-1B6FA2354E99}"/>
            </c:ext>
          </c:extLst>
        </c:ser>
        <c:ser>
          <c:idx val="3"/>
          <c:order val="3"/>
          <c:tx>
            <c:strRef>
              <c:f>'Resumen Ventas 5 años'!$G$32</c:f>
              <c:strCache>
                <c:ptCount val="1"/>
                <c:pt idx="0">
                  <c:v>Año 3:  2029</c:v>
                </c:pt>
              </c:strCache>
            </c:strRef>
          </c:tx>
          <c:spPr>
            <a:ln w="12700">
              <a:solidFill>
                <a:schemeClr val="tx2">
                  <a:lumMod val="75000"/>
                </a:schemeClr>
              </a:solidFill>
              <a:prstDash val="solid"/>
            </a:ln>
          </c:spPr>
          <c:marker>
            <c:symbol val="x"/>
            <c:size val="5"/>
            <c:spPr>
              <a:solidFill>
                <a:schemeClr val="tx2">
                  <a:lumMod val="75000"/>
                </a:schemeClr>
              </a:solidFill>
              <a:ln>
                <a:solidFill>
                  <a:schemeClr val="tx2">
                    <a:lumMod val="75000"/>
                  </a:schemeClr>
                </a:solidFill>
                <a:prstDash val="solid"/>
              </a:ln>
            </c:spPr>
          </c:marker>
          <c:val>
            <c:numRef>
              <c:f>'Prev.Ventas 3'!$B$25:$M$25</c:f>
              <c:numCache>
                <c:formatCode>#,##0_*;;\-\ \ \ _*</c:formatCode>
                <c:ptCount val="12"/>
                <c:pt idx="0">
                  <c:v>2970.52</c:v>
                </c:pt>
                <c:pt idx="1">
                  <c:v>3713.1500000000005</c:v>
                </c:pt>
                <c:pt idx="2">
                  <c:v>4084.4650000000001</c:v>
                </c:pt>
                <c:pt idx="3">
                  <c:v>3898.8074999999999</c:v>
                </c:pt>
                <c:pt idx="4">
                  <c:v>3341.835</c:v>
                </c:pt>
                <c:pt idx="5">
                  <c:v>3156.1774999999998</c:v>
                </c:pt>
                <c:pt idx="6">
                  <c:v>2970.52</c:v>
                </c:pt>
                <c:pt idx="7">
                  <c:v>2227.89</c:v>
                </c:pt>
                <c:pt idx="8">
                  <c:v>2970.52</c:v>
                </c:pt>
                <c:pt idx="9">
                  <c:v>3527.4925000000003</c:v>
                </c:pt>
                <c:pt idx="10">
                  <c:v>3713.1500000000005</c:v>
                </c:pt>
                <c:pt idx="11">
                  <c:v>4455.78</c:v>
                </c:pt>
              </c:numCache>
            </c:numRef>
          </c:val>
          <c:smooth val="0"/>
          <c:extLst>
            <c:ext xmlns:c16="http://schemas.microsoft.com/office/drawing/2014/chart" uri="{C3380CC4-5D6E-409C-BE32-E72D297353CC}">
              <c16:uniqueId val="{00000003-DB81-4CCA-BA4D-1B6FA2354E99}"/>
            </c:ext>
          </c:extLst>
        </c:ser>
        <c:ser>
          <c:idx val="4"/>
          <c:order val="4"/>
          <c:tx>
            <c:strRef>
              <c:f>'Resumen Ventas 5 años'!$I$32</c:f>
              <c:strCache>
                <c:ptCount val="1"/>
                <c:pt idx="0">
                  <c:v>Año 4:  2030</c:v>
                </c:pt>
              </c:strCache>
            </c:strRef>
          </c:tx>
          <c:spPr>
            <a:ln w="12700">
              <a:solidFill>
                <a:srgbClr val="800080"/>
              </a:solidFill>
              <a:prstDash val="solid"/>
            </a:ln>
          </c:spPr>
          <c:marker>
            <c:symbol val="star"/>
            <c:size val="5"/>
            <c:spPr>
              <a:noFill/>
              <a:ln>
                <a:solidFill>
                  <a:srgbClr val="800080"/>
                </a:solidFill>
                <a:prstDash val="solid"/>
              </a:ln>
            </c:spPr>
          </c:marker>
          <c:val>
            <c:numRef>
              <c:f>'Prev.Ventas 4'!$B$25:$M$25</c:f>
              <c:numCache>
                <c:formatCode>#,##0_*;;\-\ \ \ _*</c:formatCode>
                <c:ptCount val="12"/>
                <c:pt idx="0">
                  <c:v>3059.6356000000001</c:v>
                </c:pt>
                <c:pt idx="1">
                  <c:v>3824.5445000000004</c:v>
                </c:pt>
                <c:pt idx="2">
                  <c:v>4206.9989500000001</c:v>
                </c:pt>
                <c:pt idx="3">
                  <c:v>4015.7717249999996</c:v>
                </c:pt>
                <c:pt idx="4">
                  <c:v>3442.0900500000002</c:v>
                </c:pt>
                <c:pt idx="5">
                  <c:v>3250.8628250000002</c:v>
                </c:pt>
                <c:pt idx="6">
                  <c:v>3059.6356000000001</c:v>
                </c:pt>
                <c:pt idx="7">
                  <c:v>2294.7267000000002</c:v>
                </c:pt>
                <c:pt idx="8">
                  <c:v>3059.6356000000001</c:v>
                </c:pt>
                <c:pt idx="9">
                  <c:v>3633.3172750000003</c:v>
                </c:pt>
                <c:pt idx="10">
                  <c:v>3824.5445000000004</c:v>
                </c:pt>
                <c:pt idx="11">
                  <c:v>4589.4534000000003</c:v>
                </c:pt>
              </c:numCache>
            </c:numRef>
          </c:val>
          <c:smooth val="0"/>
          <c:extLst>
            <c:ext xmlns:c16="http://schemas.microsoft.com/office/drawing/2014/chart" uri="{C3380CC4-5D6E-409C-BE32-E72D297353CC}">
              <c16:uniqueId val="{00000004-DB81-4CCA-BA4D-1B6FA2354E99}"/>
            </c:ext>
          </c:extLst>
        </c:ser>
        <c:dLbls>
          <c:showLegendKey val="0"/>
          <c:showVal val="0"/>
          <c:showCatName val="0"/>
          <c:showSerName val="0"/>
          <c:showPercent val="0"/>
          <c:showBubbleSize val="0"/>
        </c:dLbls>
        <c:marker val="1"/>
        <c:smooth val="0"/>
        <c:axId val="475312704"/>
        <c:axId val="475316624"/>
      </c:lineChart>
      <c:catAx>
        <c:axId val="475312704"/>
        <c:scaling>
          <c:orientation val="minMax"/>
        </c:scaling>
        <c:delete val="0"/>
        <c:axPos val="b"/>
        <c:numFmt formatCode="General" sourceLinked="1"/>
        <c:majorTickMark val="out"/>
        <c:minorTickMark val="none"/>
        <c:tickLblPos val="nextTo"/>
        <c:spPr>
          <a:ln w="38100">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es-ES"/>
          </a:p>
        </c:txPr>
        <c:crossAx val="475316624"/>
        <c:crosses val="autoZero"/>
        <c:auto val="1"/>
        <c:lblAlgn val="ctr"/>
        <c:lblOffset val="100"/>
        <c:tickLblSkip val="1"/>
        <c:tickMarkSkip val="1"/>
        <c:noMultiLvlLbl val="0"/>
      </c:catAx>
      <c:valAx>
        <c:axId val="475316624"/>
        <c:scaling>
          <c:orientation val="minMax"/>
        </c:scaling>
        <c:delete val="0"/>
        <c:axPos val="l"/>
        <c:majorGridlines>
          <c:spPr>
            <a:ln w="3175">
              <a:solidFill>
                <a:srgbClr val="000000"/>
              </a:solidFill>
              <a:prstDash val="solid"/>
            </a:ln>
          </c:spPr>
        </c:majorGridlines>
        <c:title>
          <c:tx>
            <c:rich>
              <a:bodyPr/>
              <a:lstStyle/>
              <a:p>
                <a:pPr>
                  <a:defRPr sz="1375" b="0" i="0" u="none" strike="noStrike" baseline="0">
                    <a:solidFill>
                      <a:srgbClr val="000000"/>
                    </a:solidFill>
                    <a:latin typeface="Tahoma"/>
                    <a:ea typeface="Tahoma"/>
                    <a:cs typeface="Tahoma"/>
                  </a:defRPr>
                </a:pPr>
                <a:r>
                  <a:rPr lang="es-ES"/>
                  <a:t>Ventas</a:t>
                </a:r>
              </a:p>
            </c:rich>
          </c:tx>
          <c:layout>
            <c:manualLayout>
              <c:xMode val="edge"/>
              <c:yMode val="edge"/>
              <c:x val="2.8125000000000001E-2"/>
              <c:y val="0.31012724675238379"/>
            </c:manualLayout>
          </c:layout>
          <c:overlay val="0"/>
          <c:spPr>
            <a:noFill/>
            <a:ln w="25400">
              <a:noFill/>
            </a:ln>
          </c:spPr>
        </c:title>
        <c:numFmt formatCode="#,##0_*;;\-\ \ _*" sourceLinked="1"/>
        <c:majorTickMark val="out"/>
        <c:minorTickMark val="none"/>
        <c:tickLblPos val="nextTo"/>
        <c:spPr>
          <a:ln w="38100">
            <a:solidFill>
              <a:srgbClr val="000000"/>
            </a:solidFill>
            <a:prstDash val="solid"/>
          </a:ln>
        </c:spPr>
        <c:txPr>
          <a:bodyPr rot="0" vert="horz"/>
          <a:lstStyle/>
          <a:p>
            <a:pPr>
              <a:defRPr sz="1025" b="0" i="0" u="none" strike="noStrike" baseline="0">
                <a:solidFill>
                  <a:srgbClr val="000000"/>
                </a:solidFill>
                <a:latin typeface="Times New Roman"/>
                <a:ea typeface="Times New Roman"/>
                <a:cs typeface="Times New Roman"/>
              </a:defRPr>
            </a:pPr>
            <a:endParaRPr lang="es-ES"/>
          </a:p>
        </c:txPr>
        <c:crossAx val="475312704"/>
        <c:crosses val="autoZero"/>
        <c:crossBetween val="between"/>
      </c:valAx>
      <c:spPr>
        <a:solidFill>
          <a:schemeClr val="bg1">
            <a:lumMod val="85000"/>
          </a:schemeClr>
        </a:solidFill>
        <a:ln w="25400">
          <a:solidFill>
            <a:schemeClr val="bg1">
              <a:lumMod val="75000"/>
            </a:schemeClr>
          </a:solidFill>
          <a:prstDash val="solid"/>
        </a:ln>
      </c:spPr>
    </c:plotArea>
    <c:legend>
      <c:legendPos val="r"/>
      <c:layout>
        <c:manualLayout>
          <c:xMode val="edge"/>
          <c:yMode val="edge"/>
          <c:x val="3.8542869641294837E-2"/>
          <c:y val="0.91353201103026682"/>
          <c:w val="0.95419674103237107"/>
          <c:h val="8.0171434266919195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ahoma"/>
              <a:ea typeface="Tahoma"/>
              <a:cs typeface="Tahoma"/>
            </a:defRPr>
          </a:pPr>
          <a:endParaRPr lang="es-ES"/>
        </a:p>
      </c:txPr>
    </c:legend>
    <c:plotVisOnly val="1"/>
    <c:dispBlanksAs val="gap"/>
    <c:showDLblsOverMax val="0"/>
  </c:chart>
  <c:spPr>
    <a:solidFill>
      <a:srgbClr val="FFFFFF"/>
    </a:solidFill>
    <a:ln w="3175">
      <a:solidFill>
        <a:srgbClr val="000000"/>
      </a:solidFill>
      <a:prstDash val="solid"/>
    </a:ln>
  </c:spPr>
  <c:txPr>
    <a:bodyPr/>
    <a:lstStyle/>
    <a:p>
      <a:pPr>
        <a:defRPr sz="2925" b="0" i="0" u="none" strike="noStrike" baseline="0">
          <a:solidFill>
            <a:srgbClr val="000000"/>
          </a:solidFill>
          <a:latin typeface="Times New Roman"/>
          <a:ea typeface="Times New Roman"/>
          <a:cs typeface="Times New Roman"/>
        </a:defRPr>
      </a:pPr>
      <a:endParaRPr lang="es-ES"/>
    </a:p>
  </c:txPr>
  <c:printSettings>
    <c:headerFooter alignWithMargins="0"/>
    <c:pageMargins b="0.78740157480314965" l="0.78740157480314965" r="0.78740157480314965" t="0.78740157480314965" header="0" footer="0.39370078740157483"/>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25" b="1" i="0" u="none" strike="noStrike" baseline="0">
                <a:solidFill>
                  <a:srgbClr val="000000"/>
                </a:solidFill>
                <a:latin typeface="Arial"/>
                <a:ea typeface="Arial"/>
                <a:cs typeface="Arial"/>
              </a:defRPr>
            </a:pPr>
            <a:r>
              <a:rPr lang="es-ES"/>
              <a:t>Beneficios anuales antes de Impuestos</a:t>
            </a:r>
          </a:p>
        </c:rich>
      </c:tx>
      <c:layout>
        <c:manualLayout>
          <c:xMode val="edge"/>
          <c:yMode val="edge"/>
          <c:x val="0.33454034548633921"/>
          <c:y val="3.1817376331143316E-2"/>
        </c:manualLayout>
      </c:layout>
      <c:overlay val="0"/>
      <c:spPr>
        <a:noFill/>
        <a:ln w="25400">
          <a:noFill/>
        </a:ln>
      </c:spPr>
    </c:title>
    <c:autoTitleDeleted val="0"/>
    <c:plotArea>
      <c:layout>
        <c:manualLayout>
          <c:layoutTarget val="inner"/>
          <c:xMode val="edge"/>
          <c:yMode val="edge"/>
          <c:x val="0.13458516675859872"/>
          <c:y val="0.17499596067562362"/>
          <c:w val="0.8228921624668607"/>
          <c:h val="0.70634733218160806"/>
        </c:manualLayout>
      </c:layout>
      <c:barChart>
        <c:barDir val="col"/>
        <c:grouping val="stacked"/>
        <c:varyColors val="0"/>
        <c:ser>
          <c:idx val="0"/>
          <c:order val="0"/>
          <c:tx>
            <c:v>Costes Fijos</c:v>
          </c:tx>
          <c:spPr>
            <a:solidFill>
              <a:schemeClr val="accent5">
                <a:lumMod val="75000"/>
              </a:schemeClr>
            </a:solidFill>
            <a:ln w="12700">
              <a:solidFill>
                <a:srgbClr val="000000"/>
              </a:solidFill>
              <a:prstDash val="solid"/>
            </a:ln>
          </c:spPr>
          <c:invertIfNegative val="0"/>
          <c:val>
            <c:numRef>
              <c:f>('PPyGG anuales'!$B$18,'PPyGG anuales'!$D$18,'PPyGG anuales'!$G$18,'PPyGG anuales'!$J$18,'PPyGG anuales'!$M$18)</c:f>
              <c:numCache>
                <c:formatCode>#,##0_*;[Red]\(\ #,##0\ \)_*</c:formatCode>
                <c:ptCount val="5"/>
                <c:pt idx="0">
                  <c:v>20241.25</c:v>
                </c:pt>
                <c:pt idx="1">
                  <c:v>21413.32909090909</c:v>
                </c:pt>
                <c:pt idx="2">
                  <c:v>27181.112254545453</c:v>
                </c:pt>
                <c:pt idx="3">
                  <c:v>27132.42264472727</c:v>
                </c:pt>
                <c:pt idx="4">
                  <c:v>27556.507427516372</c:v>
                </c:pt>
              </c:numCache>
            </c:numRef>
          </c:val>
          <c:extLst>
            <c:ext xmlns:c16="http://schemas.microsoft.com/office/drawing/2014/chart" uri="{C3380CC4-5D6E-409C-BE32-E72D297353CC}">
              <c16:uniqueId val="{00000000-7D67-46CA-9270-B4C42AB717D8}"/>
            </c:ext>
          </c:extLst>
        </c:ser>
        <c:ser>
          <c:idx val="1"/>
          <c:order val="1"/>
          <c:tx>
            <c:v>Costes Variables</c:v>
          </c:tx>
          <c:spPr>
            <a:solidFill>
              <a:schemeClr val="accent5">
                <a:lumMod val="60000"/>
                <a:lumOff val="40000"/>
              </a:schemeClr>
            </a:solidFill>
            <a:ln w="12700">
              <a:solidFill>
                <a:srgbClr val="000000"/>
              </a:solidFill>
              <a:prstDash val="solid"/>
            </a:ln>
          </c:spPr>
          <c:invertIfNegative val="0"/>
          <c:val>
            <c:numRef>
              <c:f>('PPyGG anuales'!$B$9,'PPyGG anuales'!$D$9,'PPyGG anuales'!$G$9,'PPyGG anuales'!$J$9,'PPyGG anuales'!$M$9)</c:f>
              <c:numCache>
                <c:formatCode>#,##0_*;[Red]\(\ #,##0\ \)_*</c:formatCode>
                <c:ptCount val="5"/>
                <c:pt idx="0">
                  <c:v>2748.295454545455</c:v>
                </c:pt>
                <c:pt idx="1">
                  <c:v>3867.5</c:v>
                </c:pt>
                <c:pt idx="2">
                  <c:v>3983.5250000000005</c:v>
                </c:pt>
                <c:pt idx="3">
                  <c:v>4103.0307500000008</c:v>
                </c:pt>
                <c:pt idx="4">
                  <c:v>4226.1216725000004</c:v>
                </c:pt>
              </c:numCache>
            </c:numRef>
          </c:val>
          <c:extLst>
            <c:ext xmlns:c16="http://schemas.microsoft.com/office/drawing/2014/chart" uri="{C3380CC4-5D6E-409C-BE32-E72D297353CC}">
              <c16:uniqueId val="{00000001-7D67-46CA-9270-B4C42AB717D8}"/>
            </c:ext>
          </c:extLst>
        </c:ser>
        <c:ser>
          <c:idx val="2"/>
          <c:order val="2"/>
          <c:tx>
            <c:v>B.A.I.</c:v>
          </c:tx>
          <c:spPr>
            <a:solidFill>
              <a:schemeClr val="accent3">
                <a:lumMod val="40000"/>
                <a:lumOff val="60000"/>
              </a:schemeClr>
            </a:solidFill>
            <a:ln w="12700">
              <a:solidFill>
                <a:srgbClr val="000000"/>
              </a:solidFill>
              <a:prstDash val="solid"/>
            </a:ln>
          </c:spPr>
          <c:invertIfNegative val="0"/>
          <c:val>
            <c:numRef>
              <c:f>('PPyGG anuales'!$B$29,'PPyGG anuales'!$D$29,'PPyGG anuales'!$G$29,'PPyGG anuales'!$J$29,'PPyGG anuales'!$M$29)</c:f>
              <c:numCache>
                <c:formatCode>#,##0_*;[Red]\ \(\ #,##0\ \)</c:formatCode>
                <c:ptCount val="5"/>
                <c:pt idx="0">
                  <c:v>2830.6903409090901</c:v>
                </c:pt>
                <c:pt idx="1">
                  <c:v>11054.33340909091</c:v>
                </c:pt>
                <c:pt idx="2">
                  <c:v>6260.5801204545478</c:v>
                </c:pt>
                <c:pt idx="3">
                  <c:v>7312.5205015227239</c:v>
                </c:pt>
                <c:pt idx="4">
                  <c:v>7921.784013121136</c:v>
                </c:pt>
              </c:numCache>
            </c:numRef>
          </c:val>
          <c:extLst>
            <c:ext xmlns:c16="http://schemas.microsoft.com/office/drawing/2014/chart" uri="{C3380CC4-5D6E-409C-BE32-E72D297353CC}">
              <c16:uniqueId val="{00000002-7D67-46CA-9270-B4C42AB717D8}"/>
            </c:ext>
          </c:extLst>
        </c:ser>
        <c:dLbls>
          <c:showLegendKey val="0"/>
          <c:showVal val="0"/>
          <c:showCatName val="0"/>
          <c:showSerName val="0"/>
          <c:showPercent val="0"/>
          <c:showBubbleSize val="0"/>
        </c:dLbls>
        <c:gapWidth val="150"/>
        <c:overlap val="100"/>
        <c:axId val="475317408"/>
        <c:axId val="475317800"/>
      </c:barChart>
      <c:catAx>
        <c:axId val="475317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s-ES"/>
          </a:p>
        </c:txPr>
        <c:crossAx val="475317800"/>
        <c:crosses val="autoZero"/>
        <c:auto val="1"/>
        <c:lblAlgn val="ctr"/>
        <c:lblOffset val="100"/>
        <c:tickLblSkip val="1"/>
        <c:tickMarkSkip val="1"/>
        <c:noMultiLvlLbl val="0"/>
      </c:catAx>
      <c:valAx>
        <c:axId val="475317800"/>
        <c:scaling>
          <c:orientation val="minMax"/>
        </c:scaling>
        <c:delete val="0"/>
        <c:axPos val="l"/>
        <c:majorGridlines>
          <c:spPr>
            <a:ln w="3175">
              <a:solidFill>
                <a:srgbClr val="000000"/>
              </a:solidFill>
              <a:prstDash val="solid"/>
            </a:ln>
          </c:spPr>
        </c:majorGridlines>
        <c:numFmt formatCode="#,##0_*;[Red]\(\ #,##0\ \)_*"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s-ES"/>
          </a:p>
        </c:txPr>
        <c:crossAx val="475317408"/>
        <c:crosses val="autoZero"/>
        <c:crossBetween val="between"/>
      </c:valAx>
      <c:spPr>
        <a:solidFill>
          <a:schemeClr val="bg1">
            <a:lumMod val="95000"/>
          </a:schemeClr>
        </a:solidFill>
        <a:ln w="12700">
          <a:solidFill>
            <a:schemeClr val="bg1">
              <a:lumMod val="75000"/>
            </a:schemeClr>
          </a:solidFill>
          <a:prstDash val="solid"/>
        </a:ln>
      </c:spPr>
    </c:plotArea>
    <c:legend>
      <c:legendPos val="r"/>
      <c:layout>
        <c:manualLayout>
          <c:xMode val="edge"/>
          <c:yMode val="edge"/>
          <c:x val="0.84618061381608423"/>
          <c:y val="0.38217864486684383"/>
          <c:w val="0.1448763641386932"/>
          <c:h val="0.19427420298577325"/>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s-ES"/>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25" b="1" i="0" u="none" strike="noStrike" baseline="0">
                <a:solidFill>
                  <a:srgbClr val="000000"/>
                </a:solidFill>
                <a:latin typeface="Arial"/>
                <a:ea typeface="Arial"/>
                <a:cs typeface="Arial"/>
              </a:defRPr>
            </a:pPr>
            <a:r>
              <a:rPr lang="es-ES"/>
              <a:t>Tesorerías mensuales</a:t>
            </a:r>
          </a:p>
        </c:rich>
      </c:tx>
      <c:layout>
        <c:manualLayout>
          <c:xMode val="edge"/>
          <c:yMode val="edge"/>
          <c:x val="0.36246813621305046"/>
          <c:y val="2.8985507246376812E-2"/>
        </c:manualLayout>
      </c:layout>
      <c:overlay val="0"/>
      <c:spPr>
        <a:noFill/>
        <a:ln w="25400">
          <a:noFill/>
        </a:ln>
      </c:spPr>
    </c:title>
    <c:autoTitleDeleted val="0"/>
    <c:plotArea>
      <c:layout>
        <c:manualLayout>
          <c:layoutTarget val="inner"/>
          <c:xMode val="edge"/>
          <c:yMode val="edge"/>
          <c:x val="9.7686436630405382E-2"/>
          <c:y val="0.1352660195548846"/>
          <c:w val="0.86246840761844745"/>
          <c:h val="0.68116102704424031"/>
        </c:manualLayout>
      </c:layout>
      <c:lineChart>
        <c:grouping val="standard"/>
        <c:varyColors val="0"/>
        <c:ser>
          <c:idx val="0"/>
          <c:order val="0"/>
          <c:tx>
            <c:strRef>
              <c:f>'Resumen Tesorerias'!$A$63</c:f>
              <c:strCache>
                <c:ptCount val="1"/>
                <c:pt idx="0">
                  <c:v>Año 0:  2026</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val>
            <c:numRef>
              <c:f>'Resumen Tesorerias'!$B$63:$M$63</c:f>
              <c:numCache>
                <c:formatCode>#,##0</c:formatCode>
                <c:ptCount val="12"/>
                <c:pt idx="0">
                  <c:v>3091.9422916666667</c:v>
                </c:pt>
                <c:pt idx="1">
                  <c:v>3307.9668750000001</c:v>
                </c:pt>
                <c:pt idx="2">
                  <c:v>3713.5237500000003</c:v>
                </c:pt>
                <c:pt idx="3">
                  <c:v>2376.7382575757579</c:v>
                </c:pt>
                <c:pt idx="4">
                  <c:v>2834.1097159090905</c:v>
                </c:pt>
                <c:pt idx="5">
                  <c:v>3301.0259659090902</c:v>
                </c:pt>
                <c:pt idx="6">
                  <c:v>1643.4503598484839</c:v>
                </c:pt>
                <c:pt idx="7">
                  <c:v>1687.6686931818172</c:v>
                </c:pt>
                <c:pt idx="8">
                  <c:v>2248.6693181818168</c:v>
                </c:pt>
                <c:pt idx="9">
                  <c:v>1343.6295075757562</c:v>
                </c:pt>
                <c:pt idx="10">
                  <c:v>2676.394715909089</c:v>
                </c:pt>
                <c:pt idx="11">
                  <c:v>4853.1922159090882</c:v>
                </c:pt>
              </c:numCache>
            </c:numRef>
          </c:val>
          <c:smooth val="0"/>
          <c:extLst>
            <c:ext xmlns:c16="http://schemas.microsoft.com/office/drawing/2014/chart" uri="{C3380CC4-5D6E-409C-BE32-E72D297353CC}">
              <c16:uniqueId val="{00000000-52B8-4123-870B-C87ECB8EB07A}"/>
            </c:ext>
          </c:extLst>
        </c:ser>
        <c:ser>
          <c:idx val="1"/>
          <c:order val="1"/>
          <c:tx>
            <c:strRef>
              <c:f>'Resumen Tesorerias'!$A$64</c:f>
              <c:strCache>
                <c:ptCount val="1"/>
                <c:pt idx="0">
                  <c:v>Año 1:  2027</c:v>
                </c:pt>
              </c:strCache>
            </c:strRef>
          </c:tx>
          <c:spPr>
            <a:ln w="12700">
              <a:solidFill>
                <a:schemeClr val="accent6">
                  <a:lumMod val="50000"/>
                </a:schemeClr>
              </a:solidFill>
              <a:prstDash val="solid"/>
            </a:ln>
          </c:spPr>
          <c:marker>
            <c:symbol val="square"/>
            <c:size val="5"/>
            <c:spPr>
              <a:solidFill>
                <a:schemeClr val="accent2">
                  <a:lumMod val="75000"/>
                </a:schemeClr>
              </a:solidFill>
              <a:ln>
                <a:solidFill>
                  <a:schemeClr val="accent2">
                    <a:lumMod val="75000"/>
                  </a:schemeClr>
                </a:solidFill>
                <a:prstDash val="solid"/>
              </a:ln>
            </c:spPr>
          </c:marker>
          <c:val>
            <c:numRef>
              <c:f>'Resumen Tesorerias'!$B$64:$M$64</c:f>
              <c:numCache>
                <c:formatCode>#,##0</c:formatCode>
                <c:ptCount val="12"/>
                <c:pt idx="0">
                  <c:v>2730.8349227272702</c:v>
                </c:pt>
                <c:pt idx="1">
                  <c:v>4517.0675727272701</c:v>
                </c:pt>
                <c:pt idx="2">
                  <c:v>6663.2752227272704</c:v>
                </c:pt>
                <c:pt idx="3">
                  <c:v>5228.8466045454525</c:v>
                </c:pt>
                <c:pt idx="4">
                  <c:v>6655.1042545454529</c:v>
                </c:pt>
                <c:pt idx="5">
                  <c:v>7901.3744045454532</c:v>
                </c:pt>
                <c:pt idx="6">
                  <c:v>5691.9232863636353</c:v>
                </c:pt>
                <c:pt idx="7">
                  <c:v>6844.1912022727274</c:v>
                </c:pt>
                <c:pt idx="8">
                  <c:v>7910.4738522727275</c:v>
                </c:pt>
                <c:pt idx="9">
                  <c:v>6990.475234090909</c:v>
                </c:pt>
                <c:pt idx="10">
                  <c:v>8776.7078840909089</c:v>
                </c:pt>
                <c:pt idx="11">
                  <c:v>11282.89053409091</c:v>
                </c:pt>
              </c:numCache>
            </c:numRef>
          </c:val>
          <c:smooth val="0"/>
          <c:extLst>
            <c:ext xmlns:c16="http://schemas.microsoft.com/office/drawing/2014/chart" uri="{C3380CC4-5D6E-409C-BE32-E72D297353CC}">
              <c16:uniqueId val="{00000001-52B8-4123-870B-C87ECB8EB07A}"/>
            </c:ext>
          </c:extLst>
        </c:ser>
        <c:ser>
          <c:idx val="2"/>
          <c:order val="2"/>
          <c:tx>
            <c:strRef>
              <c:f>'Resumen Tesorerias'!$A$65</c:f>
              <c:strCache>
                <c:ptCount val="1"/>
                <c:pt idx="0">
                  <c:v>Año 2:  2028</c:v>
                </c:pt>
              </c:strCache>
            </c:strRef>
          </c:tx>
          <c:spPr>
            <a:ln w="12700">
              <a:solidFill>
                <a:schemeClr val="accent3">
                  <a:lumMod val="50000"/>
                </a:schemeClr>
              </a:solidFill>
              <a:prstDash val="solid"/>
            </a:ln>
          </c:spPr>
          <c:marker>
            <c:symbol val="triangle"/>
            <c:size val="5"/>
            <c:spPr>
              <a:solidFill>
                <a:schemeClr val="accent3">
                  <a:lumMod val="50000"/>
                </a:schemeClr>
              </a:solidFill>
              <a:ln>
                <a:solidFill>
                  <a:schemeClr val="accent3">
                    <a:lumMod val="50000"/>
                  </a:schemeClr>
                </a:solidFill>
                <a:prstDash val="solid"/>
              </a:ln>
            </c:spPr>
          </c:marker>
          <c:val>
            <c:numRef>
              <c:f>'Resumen Tesorerias'!$B$65:$M$65</c:f>
              <c:numCache>
                <c:formatCode>#,##0</c:formatCode>
                <c:ptCount val="12"/>
                <c:pt idx="0">
                  <c:v>8351.0901135757576</c:v>
                </c:pt>
                <c:pt idx="1">
                  <c:v>9873.7744612424249</c:v>
                </c:pt>
                <c:pt idx="2">
                  <c:v>11767.233058909093</c:v>
                </c:pt>
                <c:pt idx="3">
                  <c:v>10153.605487666668</c:v>
                </c:pt>
                <c:pt idx="4">
                  <c:v>11305.515585333334</c:v>
                </c:pt>
                <c:pt idx="5">
                  <c:v>10863.609517090912</c:v>
                </c:pt>
                <c:pt idx="6">
                  <c:v>8715.7087708484869</c:v>
                </c:pt>
                <c:pt idx="7">
                  <c:v>8755.2961185151544</c:v>
                </c:pt>
                <c:pt idx="8">
                  <c:v>9536.4319661818208</c:v>
                </c:pt>
                <c:pt idx="9">
                  <c:v>8452.667294939396</c:v>
                </c:pt>
                <c:pt idx="10">
                  <c:v>9975.3516426060633</c:v>
                </c:pt>
                <c:pt idx="11">
                  <c:v>12239.584490272729</c:v>
                </c:pt>
              </c:numCache>
            </c:numRef>
          </c:val>
          <c:smooth val="0"/>
          <c:extLst>
            <c:ext xmlns:c16="http://schemas.microsoft.com/office/drawing/2014/chart" uri="{C3380CC4-5D6E-409C-BE32-E72D297353CC}">
              <c16:uniqueId val="{00000002-52B8-4123-870B-C87ECB8EB07A}"/>
            </c:ext>
          </c:extLst>
        </c:ser>
        <c:ser>
          <c:idx val="3"/>
          <c:order val="3"/>
          <c:tx>
            <c:strRef>
              <c:f>'Resumen Tesorerias'!$A$66</c:f>
              <c:strCache>
                <c:ptCount val="1"/>
                <c:pt idx="0">
                  <c:v>Año 3:  2029</c:v>
                </c:pt>
              </c:strCache>
            </c:strRef>
          </c:tx>
          <c:spPr>
            <a:ln w="12700">
              <a:solidFill>
                <a:schemeClr val="accent5">
                  <a:lumMod val="50000"/>
                </a:schemeClr>
              </a:solidFill>
              <a:prstDash val="solid"/>
            </a:ln>
          </c:spPr>
          <c:marker>
            <c:symbol val="x"/>
            <c:size val="5"/>
            <c:spPr>
              <a:noFill/>
              <a:ln>
                <a:solidFill>
                  <a:schemeClr val="accent5">
                    <a:lumMod val="50000"/>
                  </a:schemeClr>
                </a:solidFill>
                <a:prstDash val="solid"/>
              </a:ln>
            </c:spPr>
          </c:marker>
          <c:val>
            <c:numRef>
              <c:f>'Resumen Tesorerias'!$B$66:$M$66</c:f>
              <c:numCache>
                <c:formatCode>#,##0</c:formatCode>
                <c:ptCount val="12"/>
                <c:pt idx="0">
                  <c:v>9396.1553513536383</c:v>
                </c:pt>
                <c:pt idx="1">
                  <c:v>10959.876336343637</c:v>
                </c:pt>
                <c:pt idx="2">
                  <c:v>12905.494798833637</c:v>
                </c:pt>
                <c:pt idx="3">
                  <c:v>11231.916382158182</c:v>
                </c:pt>
                <c:pt idx="4">
                  <c:v>12413.739889648183</c:v>
                </c:pt>
                <c:pt idx="5">
                  <c:v>12964.614658388182</c:v>
                </c:pt>
                <c:pt idx="6">
                  <c:v>10556.814871462726</c:v>
                </c:pt>
                <c:pt idx="7">
                  <c:v>10909.012234407272</c:v>
                </c:pt>
                <c:pt idx="8">
                  <c:v>11708.938264397271</c:v>
                </c:pt>
                <c:pt idx="9">
                  <c:v>10581.118634721817</c:v>
                </c:pt>
                <c:pt idx="10">
                  <c:v>12144.839619711816</c:v>
                </c:pt>
                <c:pt idx="11">
                  <c:v>14472.355559701815</c:v>
                </c:pt>
              </c:numCache>
            </c:numRef>
          </c:val>
          <c:smooth val="0"/>
          <c:extLst>
            <c:ext xmlns:c16="http://schemas.microsoft.com/office/drawing/2014/chart" uri="{C3380CC4-5D6E-409C-BE32-E72D297353CC}">
              <c16:uniqueId val="{00000003-52B8-4123-870B-C87ECB8EB07A}"/>
            </c:ext>
          </c:extLst>
        </c:ser>
        <c:ser>
          <c:idx val="4"/>
          <c:order val="4"/>
          <c:tx>
            <c:strRef>
              <c:f>'Resumen Tesorerias'!$A$67</c:f>
              <c:strCache>
                <c:ptCount val="1"/>
                <c:pt idx="0">
                  <c:v>Año 4:  2030</c:v>
                </c:pt>
              </c:strCache>
            </c:strRef>
          </c:tx>
          <c:spPr>
            <a:ln w="12700">
              <a:solidFill>
                <a:schemeClr val="accent2">
                  <a:lumMod val="75000"/>
                </a:schemeClr>
              </a:solidFill>
              <a:prstDash val="solid"/>
            </a:ln>
          </c:spPr>
          <c:marker>
            <c:symbol val="star"/>
            <c:size val="5"/>
            <c:spPr>
              <a:noFill/>
              <a:ln>
                <a:solidFill>
                  <a:schemeClr val="accent2">
                    <a:lumMod val="75000"/>
                  </a:schemeClr>
                </a:solidFill>
                <a:prstDash val="solid"/>
              </a:ln>
            </c:spPr>
          </c:marker>
          <c:val>
            <c:numRef>
              <c:f>'Resumen Tesorerias'!$B$67:$M$67</c:f>
              <c:numCache>
                <c:formatCode>#,##0</c:formatCode>
                <c:ptCount val="12"/>
                <c:pt idx="0">
                  <c:v>11531.427772595127</c:v>
                </c:pt>
                <c:pt idx="1">
                  <c:v>13136.762738303894</c:v>
                </c:pt>
                <c:pt idx="2">
                  <c:v>15135.452105837661</c:v>
                </c:pt>
                <c:pt idx="3">
                  <c:v>13399.475437634355</c:v>
                </c:pt>
                <c:pt idx="4">
                  <c:v>14611.456001518123</c:v>
                </c:pt>
                <c:pt idx="5">
                  <c:v>15626.75936448939</c:v>
                </c:pt>
                <c:pt idx="6">
                  <c:v>13043.894684928584</c:v>
                </c:pt>
                <c:pt idx="7">
                  <c:v>13208.809093185078</c:v>
                </c:pt>
                <c:pt idx="8">
                  <c:v>14027.435255243845</c:v>
                </c:pt>
                <c:pt idx="9">
                  <c:v>12853.590137650539</c:v>
                </c:pt>
                <c:pt idx="10">
                  <c:v>14458.925103359306</c:v>
                </c:pt>
                <c:pt idx="11">
                  <c:v>16850.968872718073</c:v>
                </c:pt>
              </c:numCache>
            </c:numRef>
          </c:val>
          <c:smooth val="0"/>
          <c:extLst>
            <c:ext xmlns:c16="http://schemas.microsoft.com/office/drawing/2014/chart" uri="{C3380CC4-5D6E-409C-BE32-E72D297353CC}">
              <c16:uniqueId val="{00000004-52B8-4123-870B-C87ECB8EB07A}"/>
            </c:ext>
          </c:extLst>
        </c:ser>
        <c:dLbls>
          <c:showLegendKey val="0"/>
          <c:showVal val="0"/>
          <c:showCatName val="0"/>
          <c:showSerName val="0"/>
          <c:showPercent val="0"/>
          <c:showBubbleSize val="0"/>
        </c:dLbls>
        <c:marker val="1"/>
        <c:smooth val="0"/>
        <c:axId val="475319368"/>
        <c:axId val="475319760"/>
      </c:lineChart>
      <c:catAx>
        <c:axId val="4753193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s-ES"/>
          </a:p>
        </c:txPr>
        <c:crossAx val="475319760"/>
        <c:crosses val="autoZero"/>
        <c:auto val="1"/>
        <c:lblAlgn val="ctr"/>
        <c:lblOffset val="100"/>
        <c:tickLblSkip val="1"/>
        <c:tickMarkSkip val="1"/>
        <c:noMultiLvlLbl val="0"/>
      </c:catAx>
      <c:valAx>
        <c:axId val="475319760"/>
        <c:scaling>
          <c:orientation val="minMax"/>
        </c:scaling>
        <c:delete val="0"/>
        <c:axPos val="l"/>
        <c:majorGridlines>
          <c:spPr>
            <a:ln w="3175">
              <a:solidFill>
                <a:srgbClr val="000000"/>
              </a:solidFill>
              <a:prstDash val="solid"/>
            </a:ln>
          </c:spPr>
        </c:majorGridlines>
        <c:numFmt formatCode="#,##0\ ;[Red]\(\ #,##0\ \)\ "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ES"/>
          </a:p>
        </c:txPr>
        <c:crossAx val="475319368"/>
        <c:crosses val="autoZero"/>
        <c:crossBetween val="between"/>
      </c:valAx>
      <c:spPr>
        <a:solidFill>
          <a:schemeClr val="bg1">
            <a:lumMod val="95000"/>
          </a:schemeClr>
        </a:solidFill>
        <a:ln w="12700">
          <a:solidFill>
            <a:schemeClr val="bg1">
              <a:lumMod val="75000"/>
            </a:schemeClr>
          </a:solidFill>
          <a:prstDash val="solid"/>
        </a:ln>
      </c:spPr>
    </c:plotArea>
    <c:legend>
      <c:legendPos val="r"/>
      <c:layout>
        <c:manualLayout>
          <c:xMode val="edge"/>
          <c:yMode val="edge"/>
          <c:x val="7.8408598668097088E-2"/>
          <c:y val="0.91065692875347104"/>
          <c:w val="0.88948768293423475"/>
          <c:h val="7.2466050439347285E-2"/>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s-ES"/>
        </a:p>
      </c:txPr>
    </c:legend>
    <c:plotVisOnly val="1"/>
    <c:dispBlanksAs val="gap"/>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Calibri"/>
                <a:ea typeface="Calibri"/>
                <a:cs typeface="Calibri"/>
              </a:defRPr>
            </a:pPr>
            <a:r>
              <a:rPr lang="es-ES"/>
              <a:t>Evolución económica</a:t>
            </a:r>
          </a:p>
        </c:rich>
      </c:tx>
      <c:layout>
        <c:manualLayout>
          <c:xMode val="edge"/>
          <c:yMode val="edge"/>
          <c:x val="0.35101600849512127"/>
          <c:y val="2.4220907297830375E-2"/>
        </c:manualLayout>
      </c:layout>
      <c:overlay val="0"/>
    </c:title>
    <c:autoTitleDeleted val="0"/>
    <c:plotArea>
      <c:layout/>
      <c:lineChart>
        <c:grouping val="standard"/>
        <c:varyColors val="0"/>
        <c:ser>
          <c:idx val="1"/>
          <c:order val="0"/>
          <c:tx>
            <c:strRef>
              <c:f>'Datos Evaluación'!$B$54</c:f>
              <c:strCache>
                <c:ptCount val="1"/>
                <c:pt idx="0">
                  <c:v>Ingresos</c:v>
                </c:pt>
              </c:strCache>
            </c:strRef>
          </c:tx>
          <c:spPr>
            <a:ln w="28575">
              <a:solidFill>
                <a:schemeClr val="accent2"/>
              </a:solidFill>
            </a:ln>
          </c:spPr>
          <c:marker>
            <c:spPr>
              <a:solidFill>
                <a:schemeClr val="accent2"/>
              </a:solidFill>
              <a:ln w="28575">
                <a:solidFill>
                  <a:schemeClr val="accent2"/>
                </a:solidFill>
              </a:ln>
            </c:spPr>
          </c:marker>
          <c:cat>
            <c:strRef>
              <c:f>'Datos Evaluación'!$A$55:$A$60</c:f>
              <c:strCache>
                <c:ptCount val="6"/>
                <c:pt idx="0">
                  <c:v>Inicial</c:v>
                </c:pt>
                <c:pt idx="1">
                  <c:v>Año 0:  2026</c:v>
                </c:pt>
                <c:pt idx="2">
                  <c:v>Año 1:  2027</c:v>
                </c:pt>
                <c:pt idx="3">
                  <c:v>Año 2:  2028</c:v>
                </c:pt>
                <c:pt idx="4">
                  <c:v>Año 3:  2029</c:v>
                </c:pt>
                <c:pt idx="5">
                  <c:v>Año 4:  2030</c:v>
                </c:pt>
              </c:strCache>
            </c:strRef>
          </c:cat>
          <c:val>
            <c:numRef>
              <c:f>'Datos Evaluación'!$B$55:$B$60</c:f>
              <c:numCache>
                <c:formatCode>#,##0</c:formatCode>
                <c:ptCount val="6"/>
                <c:pt idx="0">
                  <c:v>0</c:v>
                </c:pt>
                <c:pt idx="1">
                  <c:v>27482.95454545454</c:v>
                </c:pt>
                <c:pt idx="2">
                  <c:v>38675</c:v>
                </c:pt>
                <c:pt idx="3">
                  <c:v>39835.25</c:v>
                </c:pt>
                <c:pt idx="4">
                  <c:v>41030.307500000003</c:v>
                </c:pt>
                <c:pt idx="5">
                  <c:v>42261.216725000006</c:v>
                </c:pt>
              </c:numCache>
            </c:numRef>
          </c:val>
          <c:smooth val="0"/>
          <c:extLst>
            <c:ext xmlns:c16="http://schemas.microsoft.com/office/drawing/2014/chart" uri="{C3380CC4-5D6E-409C-BE32-E72D297353CC}">
              <c16:uniqueId val="{00000000-FD0B-4A61-9C5F-A13455B4DEE6}"/>
            </c:ext>
          </c:extLst>
        </c:ser>
        <c:ser>
          <c:idx val="2"/>
          <c:order val="1"/>
          <c:tx>
            <c:strRef>
              <c:f>'Datos Evaluación'!$C$54</c:f>
              <c:strCache>
                <c:ptCount val="1"/>
                <c:pt idx="0">
                  <c:v>EBITDA</c:v>
                </c:pt>
              </c:strCache>
            </c:strRef>
          </c:tx>
          <c:spPr>
            <a:ln w="28575">
              <a:solidFill>
                <a:schemeClr val="accent3"/>
              </a:solidFill>
            </a:ln>
          </c:spPr>
          <c:marker>
            <c:spPr>
              <a:solidFill>
                <a:schemeClr val="accent3"/>
              </a:solidFill>
              <a:ln w="28575">
                <a:solidFill>
                  <a:schemeClr val="accent3"/>
                </a:solidFill>
              </a:ln>
            </c:spPr>
          </c:marker>
          <c:cat>
            <c:strRef>
              <c:f>'Datos Evaluación'!$A$55:$A$60</c:f>
              <c:strCache>
                <c:ptCount val="6"/>
                <c:pt idx="0">
                  <c:v>Inicial</c:v>
                </c:pt>
                <c:pt idx="1">
                  <c:v>Año 0:  2026</c:v>
                </c:pt>
                <c:pt idx="2">
                  <c:v>Año 1:  2027</c:v>
                </c:pt>
                <c:pt idx="3">
                  <c:v>Año 2:  2028</c:v>
                </c:pt>
                <c:pt idx="4">
                  <c:v>Año 3:  2029</c:v>
                </c:pt>
                <c:pt idx="5">
                  <c:v>Año 4:  2030</c:v>
                </c:pt>
              </c:strCache>
            </c:strRef>
          </c:cat>
          <c:val>
            <c:numRef>
              <c:f>'Datos Evaluación'!$C$55:$C$60</c:f>
              <c:numCache>
                <c:formatCode>#,##0</c:formatCode>
                <c:ptCount val="6"/>
                <c:pt idx="0">
                  <c:v>0</c:v>
                </c:pt>
                <c:pt idx="1">
                  <c:v>4493.4090909090883</c:v>
                </c:pt>
                <c:pt idx="2">
                  <c:v>13394.17090909091</c:v>
                </c:pt>
                <c:pt idx="3">
                  <c:v>8670.6127454545458</c:v>
                </c:pt>
                <c:pt idx="4">
                  <c:v>9794.8541052727342</c:v>
                </c:pt>
                <c:pt idx="5">
                  <c:v>10478.587624983636</c:v>
                </c:pt>
              </c:numCache>
            </c:numRef>
          </c:val>
          <c:smooth val="0"/>
          <c:extLst>
            <c:ext xmlns:c16="http://schemas.microsoft.com/office/drawing/2014/chart" uri="{C3380CC4-5D6E-409C-BE32-E72D297353CC}">
              <c16:uniqueId val="{00000001-FD0B-4A61-9C5F-A13455B4DEE6}"/>
            </c:ext>
          </c:extLst>
        </c:ser>
        <c:ser>
          <c:idx val="3"/>
          <c:order val="2"/>
          <c:tx>
            <c:strRef>
              <c:f>'Datos Evaluación'!$D$54</c:f>
              <c:strCache>
                <c:ptCount val="1"/>
                <c:pt idx="0">
                  <c:v>Beneficio Neto</c:v>
                </c:pt>
              </c:strCache>
            </c:strRef>
          </c:tx>
          <c:spPr>
            <a:ln w="38100"/>
          </c:spPr>
          <c:marker>
            <c:spPr>
              <a:ln w="38100"/>
            </c:spPr>
          </c:marker>
          <c:cat>
            <c:strRef>
              <c:f>'Datos Evaluación'!$A$55:$A$60</c:f>
              <c:strCache>
                <c:ptCount val="6"/>
                <c:pt idx="0">
                  <c:v>Inicial</c:v>
                </c:pt>
                <c:pt idx="1">
                  <c:v>Año 0:  2026</c:v>
                </c:pt>
                <c:pt idx="2">
                  <c:v>Año 1:  2027</c:v>
                </c:pt>
                <c:pt idx="3">
                  <c:v>Año 2:  2028</c:v>
                </c:pt>
                <c:pt idx="4">
                  <c:v>Año 3:  2029</c:v>
                </c:pt>
                <c:pt idx="5">
                  <c:v>Año 4:  2030</c:v>
                </c:pt>
              </c:strCache>
            </c:strRef>
          </c:cat>
          <c:val>
            <c:numRef>
              <c:f>'Datos Evaluación'!$D$55:$D$60</c:f>
              <c:numCache>
                <c:formatCode>#,##0</c:formatCode>
                <c:ptCount val="6"/>
                <c:pt idx="0">
                  <c:v>0</c:v>
                </c:pt>
                <c:pt idx="1">
                  <c:v>-529.51246136363579</c:v>
                </c:pt>
                <c:pt idx="2">
                  <c:v>5011.0376863636375</c:v>
                </c:pt>
                <c:pt idx="3">
                  <c:v>1430.7703843181844</c:v>
                </c:pt>
                <c:pt idx="4">
                  <c:v>1933.5030510659053</c:v>
                </c:pt>
                <c:pt idx="5">
                  <c:v>2117.0168851847939</c:v>
                </c:pt>
              </c:numCache>
            </c:numRef>
          </c:val>
          <c:smooth val="0"/>
          <c:extLst>
            <c:ext xmlns:c16="http://schemas.microsoft.com/office/drawing/2014/chart" uri="{C3380CC4-5D6E-409C-BE32-E72D297353CC}">
              <c16:uniqueId val="{00000002-FD0B-4A61-9C5F-A13455B4DEE6}"/>
            </c:ext>
          </c:extLst>
        </c:ser>
        <c:ser>
          <c:idx val="4"/>
          <c:order val="3"/>
          <c:tx>
            <c:strRef>
              <c:f>'Datos Evaluación'!$E$54</c:f>
              <c:strCache>
                <c:ptCount val="1"/>
                <c:pt idx="0">
                  <c:v>Cash-Flow</c:v>
                </c:pt>
              </c:strCache>
            </c:strRef>
          </c:tx>
          <c:spPr>
            <a:ln w="38100">
              <a:prstDash val="sysDash"/>
            </a:ln>
          </c:spPr>
          <c:marker>
            <c:spPr>
              <a:ln w="38100">
                <a:prstDash val="sysDash"/>
              </a:ln>
            </c:spPr>
          </c:marker>
          <c:cat>
            <c:strRef>
              <c:f>'Datos Evaluación'!$A$55:$A$60</c:f>
              <c:strCache>
                <c:ptCount val="6"/>
                <c:pt idx="0">
                  <c:v>Inicial</c:v>
                </c:pt>
                <c:pt idx="1">
                  <c:v>Año 0:  2026</c:v>
                </c:pt>
                <c:pt idx="2">
                  <c:v>Año 1:  2027</c:v>
                </c:pt>
                <c:pt idx="3">
                  <c:v>Año 2:  2028</c:v>
                </c:pt>
                <c:pt idx="4">
                  <c:v>Año 3:  2029</c:v>
                </c:pt>
                <c:pt idx="5">
                  <c:v>Año 4:  2030</c:v>
                </c:pt>
              </c:strCache>
            </c:strRef>
          </c:cat>
          <c:val>
            <c:numRef>
              <c:f>'Datos Evaluación'!$E$55:$E$60</c:f>
              <c:numCache>
                <c:formatCode>#,##0</c:formatCode>
                <c:ptCount val="6"/>
                <c:pt idx="0">
                  <c:v>0</c:v>
                </c:pt>
                <c:pt idx="1">
                  <c:v>1853.1922159090882</c:v>
                </c:pt>
                <c:pt idx="2">
                  <c:v>6429.6983181818214</c:v>
                </c:pt>
                <c:pt idx="3">
                  <c:v>956.69395618181989</c:v>
                </c:pt>
                <c:pt idx="4">
                  <c:v>2232.7710694290854</c:v>
                </c:pt>
                <c:pt idx="5">
                  <c:v>2378.613313016258</c:v>
                </c:pt>
              </c:numCache>
            </c:numRef>
          </c:val>
          <c:smooth val="0"/>
          <c:extLst>
            <c:ext xmlns:c16="http://schemas.microsoft.com/office/drawing/2014/chart" uri="{C3380CC4-5D6E-409C-BE32-E72D297353CC}">
              <c16:uniqueId val="{00000003-FD0B-4A61-9C5F-A13455B4DEE6}"/>
            </c:ext>
          </c:extLst>
        </c:ser>
        <c:ser>
          <c:idx val="5"/>
          <c:order val="4"/>
          <c:tx>
            <c:strRef>
              <c:f>'Datos Evaluación'!$F$54</c:f>
              <c:strCache>
                <c:ptCount val="1"/>
                <c:pt idx="0">
                  <c:v>Recursos Propios</c:v>
                </c:pt>
              </c:strCache>
            </c:strRef>
          </c:tx>
          <c:cat>
            <c:strRef>
              <c:f>'Datos Evaluación'!$A$55:$A$60</c:f>
              <c:strCache>
                <c:ptCount val="6"/>
                <c:pt idx="0">
                  <c:v>Inicial</c:v>
                </c:pt>
                <c:pt idx="1">
                  <c:v>Año 0:  2026</c:v>
                </c:pt>
                <c:pt idx="2">
                  <c:v>Año 1:  2027</c:v>
                </c:pt>
                <c:pt idx="3">
                  <c:v>Año 2:  2028</c:v>
                </c:pt>
                <c:pt idx="4">
                  <c:v>Año 3:  2029</c:v>
                </c:pt>
                <c:pt idx="5">
                  <c:v>Año 4:  2030</c:v>
                </c:pt>
              </c:strCache>
            </c:strRef>
          </c:cat>
          <c:val>
            <c:numRef>
              <c:f>'Datos Evaluación'!$F$55:$F$60</c:f>
              <c:numCache>
                <c:formatCode>#,##0</c:formatCode>
                <c:ptCount val="6"/>
                <c:pt idx="0">
                  <c:v>3000</c:v>
                </c:pt>
                <c:pt idx="1">
                  <c:v>2470.4875386363642</c:v>
                </c:pt>
                <c:pt idx="2">
                  <c:v>7481.5252250000012</c:v>
                </c:pt>
                <c:pt idx="3">
                  <c:v>8912.2956093181856</c:v>
                </c:pt>
                <c:pt idx="4">
                  <c:v>10845.798660384091</c:v>
                </c:pt>
                <c:pt idx="5">
                  <c:v>12962.815545568885</c:v>
                </c:pt>
              </c:numCache>
            </c:numRef>
          </c:val>
          <c:smooth val="0"/>
          <c:extLst>
            <c:ext xmlns:c16="http://schemas.microsoft.com/office/drawing/2014/chart" uri="{C3380CC4-5D6E-409C-BE32-E72D297353CC}">
              <c16:uniqueId val="{00000004-FD0B-4A61-9C5F-A13455B4DEE6}"/>
            </c:ext>
          </c:extLst>
        </c:ser>
        <c:dLbls>
          <c:showLegendKey val="0"/>
          <c:showVal val="0"/>
          <c:showCatName val="0"/>
          <c:showSerName val="0"/>
          <c:showPercent val="0"/>
          <c:showBubbleSize val="0"/>
        </c:dLbls>
        <c:marker val="1"/>
        <c:smooth val="0"/>
        <c:axId val="475320936"/>
        <c:axId val="475321328"/>
      </c:lineChart>
      <c:catAx>
        <c:axId val="475320936"/>
        <c:scaling>
          <c:orientation val="minMax"/>
        </c:scaling>
        <c:delete val="0"/>
        <c:axPos val="b"/>
        <c:numFmt formatCode="General" sourceLinked="1"/>
        <c:majorTickMark val="none"/>
        <c:minorTickMark val="none"/>
        <c:tickLblPos val="nextTo"/>
        <c:spPr>
          <a:solidFill>
            <a:schemeClr val="bg1">
              <a:lumMod val="95000"/>
            </a:schemeClr>
          </a:solidFill>
        </c:spPr>
        <c:txPr>
          <a:bodyPr rot="0" vert="horz"/>
          <a:lstStyle/>
          <a:p>
            <a:pPr>
              <a:defRPr sz="900" b="1" i="0" u="none" strike="noStrike" baseline="0">
                <a:solidFill>
                  <a:srgbClr val="000000"/>
                </a:solidFill>
                <a:latin typeface="Calibri"/>
                <a:ea typeface="Calibri"/>
                <a:cs typeface="Calibri"/>
              </a:defRPr>
            </a:pPr>
            <a:endParaRPr lang="es-ES"/>
          </a:p>
        </c:txPr>
        <c:crossAx val="475321328"/>
        <c:crosses val="autoZero"/>
        <c:auto val="1"/>
        <c:lblAlgn val="ctr"/>
        <c:lblOffset val="100"/>
        <c:noMultiLvlLbl val="0"/>
      </c:catAx>
      <c:valAx>
        <c:axId val="475321328"/>
        <c:scaling>
          <c:orientation val="minMax"/>
        </c:scaling>
        <c:delete val="0"/>
        <c:axPos val="l"/>
        <c:majorGridlines/>
        <c:title>
          <c:tx>
            <c:rich>
              <a:bodyPr/>
              <a:lstStyle/>
              <a:p>
                <a:pPr>
                  <a:defRPr sz="1200" b="1" i="0" u="none" strike="noStrike" baseline="0">
                    <a:solidFill>
                      <a:srgbClr val="000000"/>
                    </a:solidFill>
                    <a:latin typeface="Calibri"/>
                    <a:ea typeface="Calibri"/>
                    <a:cs typeface="Calibri"/>
                  </a:defRPr>
                </a:pPr>
                <a:r>
                  <a:rPr lang="es-ES"/>
                  <a:t>euros</a:t>
                </a:r>
              </a:p>
            </c:rich>
          </c:tx>
          <c:layout>
            <c:manualLayout>
              <c:xMode val="edge"/>
              <c:yMode val="edge"/>
              <c:x val="7.1488583011093069E-3"/>
              <c:y val="0.40023420149404404"/>
            </c:manualLayout>
          </c:layout>
          <c:overlay val="0"/>
        </c:title>
        <c:numFmt formatCode="#,##0" sourceLinked="0"/>
        <c:majorTickMark val="none"/>
        <c:minorTickMark val="none"/>
        <c:tickLblPos val="nextTo"/>
        <c:spPr>
          <a:solidFill>
            <a:schemeClr val="bg1">
              <a:lumMod val="95000"/>
            </a:schemeClr>
          </a:solidFill>
        </c:spPr>
        <c:txPr>
          <a:bodyPr rot="0" vert="horz"/>
          <a:lstStyle/>
          <a:p>
            <a:pPr>
              <a:defRPr sz="1000" b="1" i="0" u="none" strike="noStrike" baseline="0">
                <a:solidFill>
                  <a:srgbClr val="000000"/>
                </a:solidFill>
                <a:latin typeface="Calibri"/>
                <a:ea typeface="Calibri"/>
                <a:cs typeface="Calibri"/>
              </a:defRPr>
            </a:pPr>
            <a:endParaRPr lang="es-ES"/>
          </a:p>
        </c:txPr>
        <c:crossAx val="475320936"/>
        <c:crosses val="autoZero"/>
        <c:crossBetween val="between"/>
      </c:valAx>
      <c:spPr>
        <a:solidFill>
          <a:schemeClr val="bg1"/>
        </a:solidFill>
        <a:ln w="38100">
          <a:noFill/>
        </a:ln>
      </c:spPr>
    </c:plotArea>
    <c:legend>
      <c:legendPos val="r"/>
      <c:layout>
        <c:manualLayout>
          <c:xMode val="edge"/>
          <c:yMode val="edge"/>
          <c:x val="0.8486272231238271"/>
          <c:y val="0.40533880010560808"/>
          <c:w val="0.14122578189176738"/>
          <c:h val="0.27219835686219696"/>
        </c:manualLayout>
      </c:layout>
      <c:overlay val="0"/>
      <c:txPr>
        <a:bodyPr/>
        <a:lstStyle/>
        <a:p>
          <a:pPr>
            <a:defRPr sz="655" b="1" i="0" u="none" strike="noStrike" baseline="0">
              <a:solidFill>
                <a:srgbClr val="000000"/>
              </a:solidFill>
              <a:latin typeface="Calibri"/>
              <a:ea typeface="Calibri"/>
              <a:cs typeface="Calibri"/>
            </a:defRPr>
          </a:pPr>
          <a:endParaRPr lang="es-ES"/>
        </a:p>
      </c:txPr>
    </c:legend>
    <c:plotVisOnly val="1"/>
    <c:dispBlanksAs val="gap"/>
    <c:showDLblsOverMax val="0"/>
  </c:chart>
  <c:spPr>
    <a:solidFill>
      <a:schemeClr val="accent3">
        <a:lumMod val="20000"/>
        <a:lumOff val="80000"/>
      </a:schemeClr>
    </a:solidFill>
  </c:spPr>
  <c:txPr>
    <a:bodyPr/>
    <a:lstStyle/>
    <a:p>
      <a:pPr>
        <a:defRPr sz="1000" b="0" i="0" u="none" strike="noStrike" baseline="0">
          <a:solidFill>
            <a:srgbClr val="000000"/>
          </a:solidFill>
          <a:latin typeface="Calibri"/>
          <a:ea typeface="Calibri"/>
          <a:cs typeface="Calibri"/>
        </a:defRPr>
      </a:pPr>
      <a:endParaRPr lang="es-ES"/>
    </a:p>
  </c:txPr>
  <c:printSettings>
    <c:headerFooter/>
    <c:pageMargins b="0.75" l="0.7" r="0.7" t="0.75" header="0.3" footer="0.3"/>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302895</xdr:colOff>
      <xdr:row>1</xdr:row>
      <xdr:rowOff>0</xdr:rowOff>
    </xdr:from>
    <xdr:to>
      <xdr:col>9</xdr:col>
      <xdr:colOff>701042</xdr:colOff>
      <xdr:row>53</xdr:row>
      <xdr:rowOff>47625</xdr:rowOff>
    </xdr:to>
    <xdr:sp macro="" textlink="">
      <xdr:nvSpPr>
        <xdr:cNvPr id="51202" name="Text Box 2">
          <a:extLst>
            <a:ext uri="{FF2B5EF4-FFF2-40B4-BE49-F238E27FC236}">
              <a16:creationId xmlns:a16="http://schemas.microsoft.com/office/drawing/2014/main" id="{9EB77A08-5CA5-452C-8A2E-3BAAA1C31559}"/>
            </a:ext>
          </a:extLst>
        </xdr:cNvPr>
        <xdr:cNvSpPr txBox="1">
          <a:spLocks noChangeArrowheads="1"/>
        </xdr:cNvSpPr>
      </xdr:nvSpPr>
      <xdr:spPr bwMode="auto">
        <a:xfrm>
          <a:off x="304800" y="200025"/>
          <a:ext cx="7934325" cy="10448925"/>
        </a:xfrm>
        <a:prstGeom prst="rect">
          <a:avLst/>
        </a:prstGeom>
        <a:solidFill>
          <a:srgbClr val="FFFFFF"/>
        </a:solidFill>
        <a:ln w="9525">
          <a:solidFill>
            <a:srgbClr val="000000"/>
          </a:solidFill>
          <a:miter lim="800000"/>
          <a:headEnd/>
          <a:tailEnd/>
        </a:ln>
      </xdr:spPr>
      <xdr:txBody>
        <a:bodyPr vertOverflow="clip" wrap="square" lIns="540000" tIns="180000" rIns="360000" bIns="180000" anchor="t" upright="1"/>
        <a:lstStyle/>
        <a:p>
          <a:pPr algn="l" rtl="0">
            <a:defRPr sz="1000"/>
          </a:pPr>
          <a:r>
            <a:rPr lang="es-ES" sz="1600" b="1" i="0" u="none" strike="noStrike" baseline="0">
              <a:solidFill>
                <a:srgbClr val="000000"/>
              </a:solidFill>
              <a:latin typeface="Tahoma"/>
              <a:cs typeface="Tahoma"/>
            </a:rPr>
            <a:t>CONDICIONES DE USO</a:t>
          </a:r>
          <a:endParaRPr lang="es-ES" sz="1200" b="0" i="0" u="none" strike="noStrike" baseline="0">
            <a:solidFill>
              <a:srgbClr val="000000"/>
            </a:solidFill>
            <a:latin typeface="Tahoma"/>
            <a:cs typeface="Tahoma"/>
          </a:endParaRPr>
        </a:p>
        <a:p>
          <a:pPr algn="l" rtl="0">
            <a:defRPr sz="1000"/>
          </a:pPr>
          <a:endParaRPr lang="es-ES" sz="1200" b="0" i="0" u="none" strike="noStrike" baseline="0">
            <a:solidFill>
              <a:srgbClr val="000000"/>
            </a:solidFill>
            <a:latin typeface="Tahoma"/>
            <a:cs typeface="Tahoma"/>
          </a:endParaRPr>
        </a:p>
        <a:p>
          <a:pPr algn="l" rtl="0">
            <a:defRPr sz="1000"/>
          </a:pPr>
          <a:endParaRPr lang="es-ES" sz="1200" b="0" i="0" u="none" strike="noStrike" baseline="0">
            <a:solidFill>
              <a:srgbClr val="000000"/>
            </a:solidFill>
            <a:latin typeface="Tahoma"/>
            <a:cs typeface="Tahoma"/>
          </a:endParaRPr>
        </a:p>
        <a:p>
          <a:pPr algn="l" rtl="0">
            <a:defRPr sz="1000"/>
          </a:pPr>
          <a:r>
            <a:rPr lang="es-ES" sz="1200" b="0" i="0" u="none" strike="noStrike" baseline="0">
              <a:solidFill>
                <a:srgbClr val="000000"/>
              </a:solidFill>
              <a:latin typeface="Tahoma"/>
              <a:cs typeface="Tahoma"/>
            </a:rPr>
            <a:t>            El objetivo del presente modelo en hoja de cálculo es ayudar a la evaluación de la viabilidad de proyectos de empresas en el ámbito de los programas de formación que imparte el autor. </a:t>
          </a:r>
        </a:p>
        <a:p>
          <a:pPr algn="l" rtl="0">
            <a:defRPr sz="1000"/>
          </a:pPr>
          <a:endParaRPr lang="es-ES" sz="1200" b="0" i="0" u="none" strike="noStrike" baseline="0">
            <a:solidFill>
              <a:srgbClr val="000000"/>
            </a:solidFill>
            <a:latin typeface="Tahoma"/>
            <a:cs typeface="Tahoma"/>
          </a:endParaRPr>
        </a:p>
        <a:p>
          <a:pPr algn="l" rtl="0">
            <a:defRPr sz="1000"/>
          </a:pPr>
          <a:r>
            <a:rPr lang="es-ES" sz="1200" b="0" i="0" u="none" strike="noStrike" baseline="0">
              <a:solidFill>
                <a:srgbClr val="000000"/>
              </a:solidFill>
              <a:latin typeface="Tahoma"/>
              <a:cs typeface="Tahoma"/>
            </a:rPr>
            <a:t>            Todo el desarrollo del modelo está realizado en la hoja de cálculo Microsoft Excel que es un producto registrado de Microsoft y por tanto es necesario para poder usarlo este programa en las condiciones de uso en que es suministrado por Microsoft.</a:t>
          </a:r>
        </a:p>
        <a:p>
          <a:pPr algn="l" rtl="0">
            <a:defRPr sz="1000"/>
          </a:pPr>
          <a:r>
            <a:rPr lang="es-ES" sz="1200" b="0" i="0" u="none" strike="noStrike" baseline="0">
              <a:solidFill>
                <a:srgbClr val="000000"/>
              </a:solidFill>
              <a:latin typeface="Tahoma"/>
              <a:cs typeface="Tahoma"/>
            </a:rPr>
            <a:t>            No obstante se ha probado su funcionamiento con otros programas como por ejemplo OpenOffice, donde salvo algunos problemas de coherencias de formato funciona correctamente.</a:t>
          </a:r>
        </a:p>
        <a:p>
          <a:pPr algn="l" rtl="0">
            <a:defRPr sz="1000"/>
          </a:pPr>
          <a:endParaRPr lang="es-ES" sz="1200" b="0" i="0" u="none" strike="noStrike" baseline="0">
            <a:solidFill>
              <a:srgbClr val="000000"/>
            </a:solidFill>
            <a:latin typeface="Tahoma"/>
            <a:cs typeface="Tahoma"/>
          </a:endParaRPr>
        </a:p>
        <a:p>
          <a:pPr algn="l" rtl="0">
            <a:defRPr sz="1000"/>
          </a:pPr>
          <a:r>
            <a:rPr lang="es-ES" sz="1200" b="0" i="0" u="none" strike="noStrike" baseline="0">
              <a:solidFill>
                <a:srgbClr val="000000"/>
              </a:solidFill>
              <a:latin typeface="Tahoma"/>
              <a:cs typeface="Tahoma"/>
            </a:rPr>
            <a:t>            El desarrollo del modelo ha sido realizado por Miguel Martínez Prieto, profesor de la Escuela de Organización Industrial, y por tanto autor y propietario intelectual del modelo en los términos previstos de la Ley de Propiedad Intelectual. No concurren las condiciones previstas en los artículos 51 y 97.4 de la Ley de Propiedad Intelectual en este caso y por tanto la propiedad es exclusiva del autor.</a:t>
          </a:r>
        </a:p>
        <a:p>
          <a:pPr algn="l" rtl="0">
            <a:defRPr sz="1000"/>
          </a:pPr>
          <a:endParaRPr lang="es-ES" sz="1200" b="0" i="0" u="none" strike="noStrike" baseline="0">
            <a:solidFill>
              <a:srgbClr val="000000"/>
            </a:solidFill>
            <a:latin typeface="Tahoma"/>
            <a:cs typeface="Tahoma"/>
          </a:endParaRPr>
        </a:p>
        <a:p>
          <a:pPr algn="l" rtl="0">
            <a:defRPr sz="1000"/>
          </a:pPr>
          <a:r>
            <a:rPr lang="es-ES" sz="1200" b="0" i="0" u="none" strike="noStrike" baseline="0">
              <a:solidFill>
                <a:srgbClr val="000000"/>
              </a:solidFill>
              <a:latin typeface="Tahoma"/>
              <a:cs typeface="Tahoma"/>
            </a:rPr>
            <a:t>           El modelo es de uso gratuito en las condiciones descritas, y solo y exclusivamente en éstas. </a:t>
          </a:r>
        </a:p>
        <a:p>
          <a:pPr algn="l" rtl="0">
            <a:defRPr sz="1000"/>
          </a:pPr>
          <a:endParaRPr lang="es-ES" sz="1200" b="0" i="0" u="none" strike="noStrike" baseline="0">
            <a:solidFill>
              <a:srgbClr val="000000"/>
            </a:solidFill>
            <a:latin typeface="Tahoma"/>
            <a:cs typeface="Tahoma"/>
          </a:endParaRPr>
        </a:p>
        <a:p>
          <a:pPr algn="l" rtl="0">
            <a:defRPr sz="1000"/>
          </a:pPr>
          <a:r>
            <a:rPr lang="es-ES" sz="1200" b="0" i="0" u="none" strike="noStrike" baseline="0">
              <a:solidFill>
                <a:srgbClr val="000000"/>
              </a:solidFill>
              <a:latin typeface="Tahoma"/>
              <a:cs typeface="Tahoma"/>
            </a:rPr>
            <a:t>           El modelo es suministrado "tal cual" a los alumnos de los diferentes programas y cursos  individual y personalmente con el fin de ser usado en la evaluación de sus respectivos proyectos de empresa, pero no es posible asumir la responsabilidad del uso o mal uso que los posibles usuarios del modelo pudieran hacer de éste o de sus resultados puesto que no cuenta con ningún tipo de protección, clave, etc. Por tanto el uso del modelo se hace en todo caso bajo la exclusiva responsabilidad del usuario. El autor no puede garantizar la fiabilidad del modelo ni el servicio de soporte o de actualización a los usuarios.</a:t>
          </a:r>
        </a:p>
        <a:p>
          <a:pPr algn="l" rtl="0">
            <a:defRPr sz="1000"/>
          </a:pPr>
          <a:r>
            <a:rPr lang="es-ES" sz="1200" b="0" i="0" u="none" strike="noStrike" baseline="0">
              <a:solidFill>
                <a:srgbClr val="000000"/>
              </a:solidFill>
              <a:latin typeface="Tahoma"/>
              <a:cs typeface="Tahoma"/>
            </a:rPr>
            <a:t>           No está autorizada en ningún caso la publicación, reproducción o utilización sin la autorización expresa del autor. Se desautoriza expresamente su uso profesional o remunerado en cualquier ámbito docente salvo autorización expresa y por escrito del autor.</a:t>
          </a:r>
        </a:p>
        <a:p>
          <a:pPr algn="l" rtl="0">
            <a:defRPr sz="1000"/>
          </a:pPr>
          <a:r>
            <a:rPr lang="es-ES" sz="1200" b="0" i="0" u="none" strike="noStrike" baseline="0">
              <a:solidFill>
                <a:srgbClr val="000000"/>
              </a:solidFill>
              <a:latin typeface="Tahoma"/>
              <a:cs typeface="Tahoma"/>
            </a:rPr>
            <a:t>           El autor del modelo autoriza el uso de éste a los alumnos de los programas que imparte u otros programas con las siguientes condiciones:</a:t>
          </a:r>
        </a:p>
        <a:p>
          <a:pPr algn="l" rtl="0">
            <a:defRPr sz="1000"/>
          </a:pPr>
          <a:endParaRPr lang="es-ES" sz="1200" b="0" i="0" u="none" strike="noStrike" baseline="0">
            <a:solidFill>
              <a:srgbClr val="000000"/>
            </a:solidFill>
            <a:latin typeface="Tahoma"/>
            <a:cs typeface="Tahoma"/>
          </a:endParaRPr>
        </a:p>
        <a:p>
          <a:pPr algn="l" rtl="0">
            <a:defRPr sz="1000"/>
          </a:pPr>
          <a:r>
            <a:rPr lang="es-ES" sz="1200" b="0" i="0" u="none" strike="noStrike" baseline="0">
              <a:solidFill>
                <a:srgbClr val="000000"/>
              </a:solidFill>
              <a:latin typeface="Tahoma"/>
              <a:cs typeface="Tahoma"/>
            </a:rPr>
            <a:t>                      1.- El autor no se hace responsable del uso indebido de los productos registrados de terceros, en particular del programa Microsoft Excel en cualquiera de sus versiones, que es una marca registrada de Microsoft.</a:t>
          </a:r>
        </a:p>
        <a:p>
          <a:pPr algn="l" rtl="0">
            <a:defRPr sz="1000"/>
          </a:pPr>
          <a:r>
            <a:rPr lang="es-ES" sz="1200" b="0" i="0" u="none" strike="noStrike" baseline="0">
              <a:solidFill>
                <a:srgbClr val="000000"/>
              </a:solidFill>
              <a:latin typeface="Tahoma"/>
              <a:cs typeface="Tahoma"/>
            </a:rPr>
            <a:t>                       2.- El autor autoriza el uso del modelo únicamente para uso personal de los alumnos de los programas para evaluar sus proyectos de empresa presentes y futuros, pero NO a su utilización profesional o remunerada para evaluar la viabilidad de otros proyectos  y en cualquier caso se desautoriza explícitamente el uso del modelo mediante contraprestación económica directa o indirecta, salvo única y exclusivamente contando con la autorización expresa y por escrito por parte del autor, especialmente en los ámbitos profesionales docentes.</a:t>
          </a:r>
        </a:p>
        <a:p>
          <a:pPr algn="l" rtl="0">
            <a:defRPr sz="1000"/>
          </a:pPr>
          <a:r>
            <a:rPr lang="es-ES" sz="1200" b="0" i="0" u="none" strike="noStrike" baseline="0">
              <a:solidFill>
                <a:srgbClr val="000000"/>
              </a:solidFill>
              <a:latin typeface="Tahoma"/>
              <a:cs typeface="Tahoma"/>
            </a:rPr>
            <a:t>                       3.- Los usuarios del modelo se obligan con su uso a asumir completamente la responsabilidad de su uso indebido, así como a no modificar los rasgos distintivos del modelo y específicamente a mantener las referencias personales del autor, del Programa de formación concreto donde les fue suministrado o de la institución que lo patrocinare. Los usuarios se obligan además a citar al autor del modelo, así como a respetar y hacer respetar estas condiciones de uso.</a:t>
          </a:r>
        </a:p>
      </xdr:txBody>
    </xdr:sp>
    <xdr:clientData/>
  </xdr:twoCellAnchor>
  <xdr:twoCellAnchor>
    <xdr:from>
      <xdr:col>0</xdr:col>
      <xdr:colOff>312420</xdr:colOff>
      <xdr:row>54</xdr:row>
      <xdr:rowOff>0</xdr:rowOff>
    </xdr:from>
    <xdr:to>
      <xdr:col>9</xdr:col>
      <xdr:colOff>701040</xdr:colOff>
      <xdr:row>65</xdr:row>
      <xdr:rowOff>76200</xdr:rowOff>
    </xdr:to>
    <xdr:sp macro="" textlink="">
      <xdr:nvSpPr>
        <xdr:cNvPr id="51203" name="Text Box 3">
          <a:extLst>
            <a:ext uri="{FF2B5EF4-FFF2-40B4-BE49-F238E27FC236}">
              <a16:creationId xmlns:a16="http://schemas.microsoft.com/office/drawing/2014/main" id="{A718EC9A-39AE-463B-B6A2-DCBB26C08D8E}"/>
            </a:ext>
          </a:extLst>
        </xdr:cNvPr>
        <xdr:cNvSpPr txBox="1">
          <a:spLocks noChangeArrowheads="1"/>
        </xdr:cNvSpPr>
      </xdr:nvSpPr>
      <xdr:spPr bwMode="auto">
        <a:xfrm>
          <a:off x="314325" y="10801350"/>
          <a:ext cx="7924800" cy="2276475"/>
        </a:xfrm>
        <a:prstGeom prst="rect">
          <a:avLst/>
        </a:prstGeom>
        <a:solidFill>
          <a:srgbClr val="FFFFFF"/>
        </a:solidFill>
        <a:ln w="9525">
          <a:solidFill>
            <a:srgbClr val="000000"/>
          </a:solidFill>
          <a:miter lim="800000"/>
          <a:headEnd/>
          <a:tailEnd/>
        </a:ln>
      </xdr:spPr>
      <xdr:txBody>
        <a:bodyPr vertOverflow="clip" wrap="square" lIns="540000" tIns="180000" rIns="360000" bIns="180000" anchor="t" upright="1"/>
        <a:lstStyle/>
        <a:p>
          <a:pPr algn="l" rtl="0">
            <a:defRPr sz="1000"/>
          </a:pPr>
          <a:r>
            <a:rPr lang="es-ES" sz="1600" b="1" i="0" u="none" strike="noStrike" baseline="0">
              <a:solidFill>
                <a:srgbClr val="000000"/>
              </a:solidFill>
              <a:latin typeface="Tahoma"/>
              <a:cs typeface="Tahoma"/>
            </a:rPr>
            <a:t>AGRADECIMIENTOS</a:t>
          </a:r>
          <a:endParaRPr lang="es-ES" sz="1200" b="0" i="0" u="none" strike="noStrike" baseline="0">
            <a:solidFill>
              <a:srgbClr val="000000"/>
            </a:solidFill>
            <a:latin typeface="Tahoma"/>
            <a:cs typeface="Tahoma"/>
          </a:endParaRPr>
        </a:p>
        <a:p>
          <a:pPr algn="l" rtl="0">
            <a:defRPr sz="1000"/>
          </a:pPr>
          <a:endParaRPr lang="es-ES" sz="1200" b="0" i="0" u="none" strike="noStrike" baseline="0">
            <a:solidFill>
              <a:srgbClr val="000000"/>
            </a:solidFill>
            <a:latin typeface="Tahoma"/>
            <a:cs typeface="Tahoma"/>
          </a:endParaRPr>
        </a:p>
        <a:p>
          <a:pPr algn="l" rtl="0">
            <a:defRPr sz="1000"/>
          </a:pPr>
          <a:r>
            <a:rPr lang="es-ES" sz="1200" b="0" i="0" u="none" strike="noStrike" baseline="0">
              <a:solidFill>
                <a:srgbClr val="000000"/>
              </a:solidFill>
              <a:latin typeface="Tahoma"/>
              <a:cs typeface="Tahoma"/>
            </a:rPr>
            <a:t>            Este modelo de Plan Económico Financiero Prevsional no habría sido posible sin la paciente colaboración y consejo de muchos compañeros, alumnos y amigos que con sus comentarios, paciencia, opiniones y confianza me han acompañado en el desarrollo de esta herramienta. </a:t>
          </a:r>
        </a:p>
        <a:p>
          <a:pPr algn="l" rtl="0">
            <a:defRPr sz="1000"/>
          </a:pPr>
          <a:r>
            <a:rPr lang="es-ES" sz="1200" b="0" i="0" u="none" strike="noStrike" baseline="0">
              <a:solidFill>
                <a:srgbClr val="000000"/>
              </a:solidFill>
              <a:latin typeface="Tahoma"/>
              <a:cs typeface="Tahoma"/>
            </a:rPr>
            <a:t>            Sería imposible nombrarlos a todos, pero quiero dejar constancia al menos de mi especial agradecimiento a Santiago Santos, Andrés de Miguel y Alejandro Estévez compañeros, amigos por su paciencia y apoyo.</a:t>
          </a:r>
        </a:p>
        <a:p>
          <a:pPr algn="l" rtl="0">
            <a:defRPr sz="1000"/>
          </a:pPr>
          <a:endParaRPr lang="es-ES" sz="1200" b="0" i="0" u="none" strike="noStrike" baseline="0">
            <a:solidFill>
              <a:srgbClr val="000000"/>
            </a:solidFill>
            <a:latin typeface="Tahoma"/>
            <a:cs typeface="Tahoma"/>
          </a:endParaRPr>
        </a:p>
      </xdr:txBody>
    </xdr:sp>
    <xdr:clientData/>
  </xdr:twoCellAnchor>
  <xdr:twoCellAnchor>
    <xdr:from>
      <xdr:col>10</xdr:col>
      <xdr:colOff>114300</xdr:colOff>
      <xdr:row>0</xdr:row>
      <xdr:rowOff>161925</xdr:rowOff>
    </xdr:from>
    <xdr:to>
      <xdr:col>13</xdr:col>
      <xdr:colOff>369572</xdr:colOff>
      <xdr:row>9</xdr:row>
      <xdr:rowOff>66675</xdr:rowOff>
    </xdr:to>
    <xdr:sp macro="" textlink="">
      <xdr:nvSpPr>
        <xdr:cNvPr id="51204" name="Text Box 4">
          <a:extLst>
            <a:ext uri="{FF2B5EF4-FFF2-40B4-BE49-F238E27FC236}">
              <a16:creationId xmlns:a16="http://schemas.microsoft.com/office/drawing/2014/main" id="{60434A9D-5F09-4C58-BAD1-8E872C06636B}"/>
            </a:ext>
          </a:extLst>
        </xdr:cNvPr>
        <xdr:cNvSpPr txBox="1">
          <a:spLocks noChangeArrowheads="1"/>
        </xdr:cNvSpPr>
      </xdr:nvSpPr>
      <xdr:spPr bwMode="auto">
        <a:xfrm>
          <a:off x="8496300" y="161925"/>
          <a:ext cx="2771775" cy="1704975"/>
        </a:xfrm>
        <a:prstGeom prst="rect">
          <a:avLst/>
        </a:prstGeom>
        <a:solidFill>
          <a:srgbClr val="FFFFFF"/>
        </a:solidFill>
        <a:ln w="9525">
          <a:solidFill>
            <a:srgbClr val="000000"/>
          </a:solidFill>
          <a:miter lim="800000"/>
          <a:headEnd/>
          <a:tailEnd/>
        </a:ln>
      </xdr:spPr>
      <xdr:txBody>
        <a:bodyPr vertOverflow="clip" wrap="square" lIns="360000" tIns="180000" rIns="180000" bIns="180000" anchor="t" upright="1"/>
        <a:lstStyle/>
        <a:p>
          <a:pPr algn="l" rtl="0">
            <a:defRPr sz="1000"/>
          </a:pPr>
          <a:r>
            <a:rPr lang="es-ES" sz="1600" b="1" i="0" u="none" strike="noStrike" baseline="0">
              <a:solidFill>
                <a:srgbClr val="000000"/>
              </a:solidFill>
              <a:latin typeface="Tahoma"/>
              <a:cs typeface="Tahoma"/>
            </a:rPr>
            <a:t>Datos de contacto:</a:t>
          </a:r>
          <a:endParaRPr lang="es-ES" sz="1200" b="0" i="0" u="none" strike="noStrike" baseline="0">
            <a:solidFill>
              <a:srgbClr val="000000"/>
            </a:solidFill>
            <a:latin typeface="Tahoma"/>
            <a:cs typeface="Tahoma"/>
          </a:endParaRPr>
        </a:p>
        <a:p>
          <a:pPr algn="l" rtl="0">
            <a:defRPr sz="1000"/>
          </a:pPr>
          <a:endParaRPr lang="es-ES" sz="1200" b="0" i="0" u="none" strike="noStrike" baseline="0">
            <a:solidFill>
              <a:srgbClr val="000000"/>
            </a:solidFill>
            <a:latin typeface="Tahoma"/>
            <a:cs typeface="Tahoma"/>
          </a:endParaRPr>
        </a:p>
        <a:p>
          <a:pPr algn="l" rtl="0">
            <a:defRPr sz="1000"/>
          </a:pPr>
          <a:r>
            <a:rPr lang="es-ES" sz="1400" b="0" i="0" u="none" strike="noStrike" baseline="0">
              <a:solidFill>
                <a:srgbClr val="000000"/>
              </a:solidFill>
              <a:latin typeface="Tahoma"/>
              <a:cs typeface="Tahoma"/>
            </a:rPr>
            <a:t>Miguel Martínez Prieto</a:t>
          </a:r>
        </a:p>
        <a:p>
          <a:pPr algn="l" rtl="0">
            <a:defRPr sz="1000"/>
          </a:pPr>
          <a:endParaRPr lang="es-ES" sz="1400" b="0" i="0" u="none" strike="noStrike" baseline="0">
            <a:solidFill>
              <a:srgbClr val="000000"/>
            </a:solidFill>
            <a:latin typeface="Tahoma"/>
            <a:cs typeface="Tahoma"/>
          </a:endParaRPr>
        </a:p>
        <a:p>
          <a:pPr algn="l" rtl="0">
            <a:lnSpc>
              <a:spcPts val="1600"/>
            </a:lnSpc>
            <a:defRPr sz="1000"/>
          </a:pPr>
          <a:r>
            <a:rPr lang="es-ES" sz="1400" b="0" i="0" u="none" strike="noStrike" baseline="0">
              <a:solidFill>
                <a:srgbClr val="000000"/>
              </a:solidFill>
              <a:latin typeface="Tahoma"/>
              <a:cs typeface="Tahoma"/>
            </a:rPr>
            <a:t>mprieto@azague.com</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28575</xdr:colOff>
      <xdr:row>36</xdr:row>
      <xdr:rowOff>9525</xdr:rowOff>
    </xdr:from>
    <xdr:to>
      <xdr:col>6</xdr:col>
      <xdr:colOff>876300</xdr:colOff>
      <xdr:row>57</xdr:row>
      <xdr:rowOff>66675</xdr:rowOff>
    </xdr:to>
    <xdr:graphicFrame macro="">
      <xdr:nvGraphicFramePr>
        <xdr:cNvPr id="9219119" name="Chart 2">
          <a:extLst>
            <a:ext uri="{FF2B5EF4-FFF2-40B4-BE49-F238E27FC236}">
              <a16:creationId xmlns:a16="http://schemas.microsoft.com/office/drawing/2014/main" id="{69C7FC54-DA47-4DD4-A5E4-81D0ACE85D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28575</xdr:colOff>
      <xdr:row>51</xdr:row>
      <xdr:rowOff>142875</xdr:rowOff>
    </xdr:from>
    <xdr:to>
      <xdr:col>5</xdr:col>
      <xdr:colOff>1000125</xdr:colOff>
      <xdr:row>68</xdr:row>
      <xdr:rowOff>28575</xdr:rowOff>
    </xdr:to>
    <xdr:graphicFrame macro="">
      <xdr:nvGraphicFramePr>
        <xdr:cNvPr id="69110" name="5 Gráfico">
          <a:extLst>
            <a:ext uri="{FF2B5EF4-FFF2-40B4-BE49-F238E27FC236}">
              <a16:creationId xmlns:a16="http://schemas.microsoft.com/office/drawing/2014/main" id="{388FC0A1-2FC1-4B42-A0C4-BD9DC32EE3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219075</xdr:colOff>
      <xdr:row>43</xdr:row>
      <xdr:rowOff>28575</xdr:rowOff>
    </xdr:from>
    <xdr:to>
      <xdr:col>13</xdr:col>
      <xdr:colOff>533400</xdr:colOff>
      <xdr:row>63</xdr:row>
      <xdr:rowOff>76200</xdr:rowOff>
    </xdr:to>
    <xdr:graphicFrame macro="">
      <xdr:nvGraphicFramePr>
        <xdr:cNvPr id="9203759" name="Chart 6">
          <a:extLst>
            <a:ext uri="{FF2B5EF4-FFF2-40B4-BE49-F238E27FC236}">
              <a16:creationId xmlns:a16="http://schemas.microsoft.com/office/drawing/2014/main" id="{1CB0F8DE-A7F0-4969-B955-D3B4FEDF46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219075</xdr:colOff>
      <xdr:row>43</xdr:row>
      <xdr:rowOff>28575</xdr:rowOff>
    </xdr:from>
    <xdr:to>
      <xdr:col>13</xdr:col>
      <xdr:colOff>533400</xdr:colOff>
      <xdr:row>63</xdr:row>
      <xdr:rowOff>76200</xdr:rowOff>
    </xdr:to>
    <xdr:graphicFrame macro="">
      <xdr:nvGraphicFramePr>
        <xdr:cNvPr id="9205807" name="Chart 1">
          <a:extLst>
            <a:ext uri="{FF2B5EF4-FFF2-40B4-BE49-F238E27FC236}">
              <a16:creationId xmlns:a16="http://schemas.microsoft.com/office/drawing/2014/main" id="{A363825A-8B1E-4E72-921E-28234FDA46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295275</xdr:colOff>
      <xdr:row>43</xdr:row>
      <xdr:rowOff>28575</xdr:rowOff>
    </xdr:from>
    <xdr:to>
      <xdr:col>13</xdr:col>
      <xdr:colOff>609600</xdr:colOff>
      <xdr:row>63</xdr:row>
      <xdr:rowOff>76200</xdr:rowOff>
    </xdr:to>
    <xdr:graphicFrame macro="">
      <xdr:nvGraphicFramePr>
        <xdr:cNvPr id="9207855" name="Chart 1">
          <a:extLst>
            <a:ext uri="{FF2B5EF4-FFF2-40B4-BE49-F238E27FC236}">
              <a16:creationId xmlns:a16="http://schemas.microsoft.com/office/drawing/2014/main" id="{80AD7451-7153-4682-AB50-F3F38BD250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295275</xdr:colOff>
      <xdr:row>43</xdr:row>
      <xdr:rowOff>28575</xdr:rowOff>
    </xdr:from>
    <xdr:to>
      <xdr:col>13</xdr:col>
      <xdr:colOff>609600</xdr:colOff>
      <xdr:row>63</xdr:row>
      <xdr:rowOff>76200</xdr:rowOff>
    </xdr:to>
    <xdr:graphicFrame macro="">
      <xdr:nvGraphicFramePr>
        <xdr:cNvPr id="9209903" name="Chart 1">
          <a:extLst>
            <a:ext uri="{FF2B5EF4-FFF2-40B4-BE49-F238E27FC236}">
              <a16:creationId xmlns:a16="http://schemas.microsoft.com/office/drawing/2014/main" id="{7CB0DDB1-FD81-48C4-B7AE-3D46F207DA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43</xdr:row>
      <xdr:rowOff>28575</xdr:rowOff>
    </xdr:from>
    <xdr:to>
      <xdr:col>13</xdr:col>
      <xdr:colOff>609600</xdr:colOff>
      <xdr:row>63</xdr:row>
      <xdr:rowOff>76200</xdr:rowOff>
    </xdr:to>
    <xdr:graphicFrame macro="">
      <xdr:nvGraphicFramePr>
        <xdr:cNvPr id="9211951" name="Chart 1">
          <a:extLst>
            <a:ext uri="{FF2B5EF4-FFF2-40B4-BE49-F238E27FC236}">
              <a16:creationId xmlns:a16="http://schemas.microsoft.com/office/drawing/2014/main" id="{5350A3DE-A785-4535-8E73-C3FD7B28EB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114300</xdr:colOff>
      <xdr:row>63</xdr:row>
      <xdr:rowOff>76200</xdr:rowOff>
    </xdr:from>
    <xdr:to>
      <xdr:col>9</xdr:col>
      <xdr:colOff>638175</xdr:colOff>
      <xdr:row>89</xdr:row>
      <xdr:rowOff>219075</xdr:rowOff>
    </xdr:to>
    <xdr:graphicFrame macro="">
      <xdr:nvGraphicFramePr>
        <xdr:cNvPr id="9213999" name="Chart 1">
          <a:extLst>
            <a:ext uri="{FF2B5EF4-FFF2-40B4-BE49-F238E27FC236}">
              <a16:creationId xmlns:a16="http://schemas.microsoft.com/office/drawing/2014/main" id="{F86C187C-339A-4B6B-ABAA-C40C20AC72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800100</xdr:colOff>
      <xdr:row>33</xdr:row>
      <xdr:rowOff>123825</xdr:rowOff>
    </xdr:from>
    <xdr:to>
      <xdr:col>13</xdr:col>
      <xdr:colOff>952500</xdr:colOff>
      <xdr:row>49</xdr:row>
      <xdr:rowOff>66675</xdr:rowOff>
    </xdr:to>
    <xdr:graphicFrame macro="">
      <xdr:nvGraphicFramePr>
        <xdr:cNvPr id="9216047" name="Chart 407">
          <a:extLst>
            <a:ext uri="{FF2B5EF4-FFF2-40B4-BE49-F238E27FC236}">
              <a16:creationId xmlns:a16="http://schemas.microsoft.com/office/drawing/2014/main" id="{FC83AE63-67C0-49A0-BAC1-A74A69FEF3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8</xdr:col>
      <xdr:colOff>1104900</xdr:colOff>
      <xdr:row>30</xdr:row>
      <xdr:rowOff>152401</xdr:rowOff>
    </xdr:from>
    <xdr:to>
      <xdr:col>13</xdr:col>
      <xdr:colOff>257175</xdr:colOff>
      <xdr:row>36</xdr:row>
      <xdr:rowOff>19050</xdr:rowOff>
    </xdr:to>
    <xdr:sp macro="" textlink="">
      <xdr:nvSpPr>
        <xdr:cNvPr id="50493" name="Text Box 317">
          <a:extLst>
            <a:ext uri="{FF2B5EF4-FFF2-40B4-BE49-F238E27FC236}">
              <a16:creationId xmlns:a16="http://schemas.microsoft.com/office/drawing/2014/main" id="{1D3A8EF9-3D25-4798-B7FE-5CF8F7615F58}"/>
            </a:ext>
          </a:extLst>
        </xdr:cNvPr>
        <xdr:cNvSpPr txBox="1">
          <a:spLocks noChangeArrowheads="1"/>
        </xdr:cNvSpPr>
      </xdr:nvSpPr>
      <xdr:spPr bwMode="auto">
        <a:xfrm>
          <a:off x="8353425" y="7115176"/>
          <a:ext cx="3876675" cy="1562099"/>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s-ES" sz="1200" b="1" i="0" u="none" strike="noStrike" baseline="0">
              <a:solidFill>
                <a:srgbClr val="000000"/>
              </a:solidFill>
              <a:latin typeface="+mn-lt"/>
              <a:cs typeface="Times New Roman"/>
            </a:rPr>
            <a:t>NOTA:</a:t>
          </a:r>
          <a:endParaRPr lang="es-ES" sz="1200" b="0" i="0" u="none" strike="noStrike" baseline="0">
            <a:solidFill>
              <a:srgbClr val="000000"/>
            </a:solidFill>
            <a:latin typeface="+mn-lt"/>
            <a:cs typeface="Times New Roman"/>
          </a:endParaRPr>
        </a:p>
        <a:p>
          <a:pPr algn="l" rtl="0">
            <a:defRPr sz="1000"/>
          </a:pPr>
          <a:endParaRPr lang="es-ES" sz="1100" b="0" i="0" u="none" strike="noStrike" baseline="0">
            <a:solidFill>
              <a:srgbClr val="000000"/>
            </a:solidFill>
            <a:latin typeface="+mn-lt"/>
            <a:cs typeface="Tahoma"/>
          </a:endParaRPr>
        </a:p>
        <a:p>
          <a:pPr algn="l" rtl="0">
            <a:defRPr sz="1000"/>
          </a:pPr>
          <a:r>
            <a:rPr lang="es-ES" sz="1100" b="0" i="0" u="none" strike="noStrike" baseline="0">
              <a:solidFill>
                <a:srgbClr val="000000"/>
              </a:solidFill>
              <a:latin typeface="+mn-lt"/>
              <a:cs typeface="Tahoma"/>
            </a:rPr>
            <a:t>* Estos cálculos son meramente estimados. El IRPF depende además de otros factores algunos de ellos personales y familiares.</a:t>
          </a:r>
        </a:p>
        <a:p>
          <a:pPr algn="l" rtl="0">
            <a:defRPr sz="1000"/>
          </a:pPr>
          <a:endParaRPr lang="es-ES" sz="1100" b="0" i="0" u="none" strike="noStrike" baseline="0">
            <a:solidFill>
              <a:srgbClr val="000000"/>
            </a:solidFill>
            <a:latin typeface="+mn-lt"/>
            <a:cs typeface="Tahoma"/>
          </a:endParaRPr>
        </a:p>
        <a:p>
          <a:pPr algn="l" rtl="0">
            <a:defRPr sz="1000"/>
          </a:pPr>
          <a:r>
            <a:rPr lang="es-ES" sz="1100" b="0" i="0" u="none" strike="noStrike" baseline="0">
              <a:solidFill>
                <a:srgbClr val="000000"/>
              </a:solidFill>
              <a:latin typeface="+mn-lt"/>
              <a:cs typeface="Tahoma"/>
            </a:rPr>
            <a:t>   El mínimo vital varía sensiblemente en funcion de las circunstancias personales y familiares. Se considera el caso más desfavorable (mínimo más bajo y por tanto impuestos más altos).</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9.xml"/><Relationship Id="rId1" Type="http://schemas.openxmlformats.org/officeDocument/2006/relationships/printerSettings" Target="../printerSettings/printerSettings45.bin"/><Relationship Id="rId4" Type="http://schemas.openxmlformats.org/officeDocument/2006/relationships/comments" Target="../comments18.xml"/></Relationships>
</file>

<file path=xl/worksheets/_rels/sheet46.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11.xml"/><Relationship Id="rId1" Type="http://schemas.openxmlformats.org/officeDocument/2006/relationships/printerSettings" Target="../printerSettings/printerSettings77.bin"/><Relationship Id="rId4" Type="http://schemas.openxmlformats.org/officeDocument/2006/relationships/comments" Target="../comments35.xml"/></Relationships>
</file>

<file path=xl/worksheets/_rels/sheet78.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7.v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7">
    <pageSetUpPr fitToPage="1"/>
  </sheetPr>
  <dimension ref="A2:M84"/>
  <sheetViews>
    <sheetView workbookViewId="0"/>
  </sheetViews>
  <sheetFormatPr baseColWidth="10" defaultColWidth="11" defaultRowHeight="18"/>
  <cols>
    <col min="1" max="1" width="8.125" style="635" customWidth="1"/>
    <col min="2" max="3" width="7" style="706" customWidth="1"/>
    <col min="4" max="5" width="4.5" style="706" bestFit="1" customWidth="1"/>
    <col min="6" max="6" width="5.875" style="706" bestFit="1" customWidth="1"/>
    <col min="7" max="7" width="6.375" style="706" customWidth="1"/>
    <col min="8" max="8" width="5.625" style="706" bestFit="1" customWidth="1"/>
    <col min="9" max="9" width="10" style="706" customWidth="1"/>
    <col min="10" max="10" width="9" style="706" bestFit="1" customWidth="1"/>
    <col min="11" max="11" width="9.375" style="706" bestFit="1" customWidth="1"/>
    <col min="12" max="12" width="10.25" style="706" customWidth="1"/>
    <col min="13" max="13" width="10.375" style="683" customWidth="1"/>
    <col min="14" max="16384" width="11" style="683"/>
  </cols>
  <sheetData>
    <row r="2" spans="1:13" s="35" customFormat="1" ht="22.5">
      <c r="A2" s="772"/>
      <c r="B2" s="772" t="str">
        <f>'Datos Básicos'!B9</f>
        <v>nombre empresa</v>
      </c>
      <c r="C2" s="772"/>
      <c r="D2" s="772"/>
      <c r="E2" s="772"/>
      <c r="F2" s="772"/>
      <c r="G2" s="772"/>
      <c r="H2" s="772"/>
      <c r="I2" s="772"/>
      <c r="J2" s="772"/>
      <c r="K2" s="4"/>
      <c r="L2" s="4"/>
    </row>
    <row r="3" spans="1:13" s="35" customFormat="1">
      <c r="A3" s="785"/>
      <c r="B3" s="4"/>
      <c r="C3" s="4"/>
      <c r="E3" s="4"/>
      <c r="F3" s="4"/>
      <c r="G3" s="4"/>
      <c r="H3" s="4"/>
      <c r="I3" s="4"/>
      <c r="K3" s="4"/>
      <c r="L3" s="4"/>
    </row>
    <row r="4" spans="1:13" s="35" customFormat="1" ht="23.25" thickBot="1">
      <c r="A4" s="772" t="s">
        <v>535</v>
      </c>
      <c r="B4" s="766"/>
      <c r="C4" s="766"/>
      <c r="D4" s="348"/>
      <c r="E4" s="766"/>
      <c r="F4" s="766"/>
      <c r="G4" s="766"/>
      <c r="H4" s="766"/>
      <c r="I4" s="766"/>
      <c r="J4" s="766"/>
      <c r="K4" s="4"/>
      <c r="L4" s="4"/>
    </row>
    <row r="5" spans="1:13" ht="18.75" thickBot="1">
      <c r="D5" s="35"/>
      <c r="J5" s="773"/>
      <c r="L5" s="774" t="s">
        <v>251</v>
      </c>
      <c r="M5" s="765"/>
    </row>
    <row r="6" spans="1:13" ht="31.5" customHeight="1" thickBot="1">
      <c r="A6" s="787" t="s">
        <v>261</v>
      </c>
      <c r="B6" s="1348" t="s">
        <v>260</v>
      </c>
      <c r="C6" s="757"/>
      <c r="D6" s="786"/>
      <c r="E6" s="757"/>
      <c r="F6" s="757"/>
      <c r="G6" s="757"/>
      <c r="H6" s="757"/>
      <c r="I6" s="775"/>
      <c r="J6" s="776" t="s">
        <v>445</v>
      </c>
      <c r="K6" s="777" t="s">
        <v>183</v>
      </c>
      <c r="L6" s="778" t="s">
        <v>252</v>
      </c>
      <c r="M6" s="779" t="s">
        <v>253</v>
      </c>
    </row>
    <row r="7" spans="1:13" s="794" customFormat="1" ht="18.75" customHeight="1">
      <c r="A7" s="703">
        <v>1</v>
      </c>
      <c r="B7" s="1349" t="s">
        <v>107</v>
      </c>
      <c r="C7" s="1724"/>
      <c r="D7" s="789"/>
      <c r="E7" s="1724"/>
      <c r="F7" s="1724"/>
      <c r="G7" s="1724"/>
      <c r="H7" s="1724"/>
      <c r="I7" s="1725"/>
      <c r="J7" s="790">
        <v>1</v>
      </c>
      <c r="K7" s="791" t="s">
        <v>184</v>
      </c>
      <c r="L7" s="792" t="s">
        <v>254</v>
      </c>
      <c r="M7" s="793" t="s">
        <v>255</v>
      </c>
    </row>
    <row r="8" spans="1:13" s="794" customFormat="1" ht="18.75" customHeight="1">
      <c r="A8" s="795">
        <f t="shared" ref="A8:A70" si="0">A7+1</f>
        <v>2</v>
      </c>
      <c r="B8" s="1347" t="s">
        <v>219</v>
      </c>
      <c r="C8" s="1726"/>
      <c r="D8" s="796"/>
      <c r="E8" s="1726"/>
      <c r="F8" s="1726"/>
      <c r="G8" s="1726"/>
      <c r="H8" s="1726"/>
      <c r="I8" s="1727"/>
      <c r="J8" s="797">
        <v>0</v>
      </c>
      <c r="K8" s="798" t="s">
        <v>184</v>
      </c>
      <c r="L8" s="799" t="s">
        <v>254</v>
      </c>
      <c r="M8" s="800" t="s">
        <v>254</v>
      </c>
    </row>
    <row r="9" spans="1:13" s="794" customFormat="1" ht="18.75" customHeight="1">
      <c r="A9" s="795">
        <f t="shared" si="0"/>
        <v>3</v>
      </c>
      <c r="B9" s="1347" t="s">
        <v>101</v>
      </c>
      <c r="C9" s="1726"/>
      <c r="D9" s="796"/>
      <c r="E9" s="1726"/>
      <c r="F9" s="1726"/>
      <c r="G9" s="1726"/>
      <c r="H9" s="1726"/>
      <c r="I9" s="1727"/>
      <c r="J9" s="797">
        <v>1</v>
      </c>
      <c r="K9" s="798" t="s">
        <v>80</v>
      </c>
      <c r="L9" s="799" t="s">
        <v>255</v>
      </c>
      <c r="M9" s="800" t="s">
        <v>255</v>
      </c>
    </row>
    <row r="10" spans="1:13" s="794" customFormat="1" ht="18.75" hidden="1" customHeight="1">
      <c r="A10" s="795">
        <f t="shared" si="0"/>
        <v>4</v>
      </c>
      <c r="B10" s="1347" t="s">
        <v>295</v>
      </c>
      <c r="C10" s="1726"/>
      <c r="D10" s="796"/>
      <c r="E10" s="1726"/>
      <c r="F10" s="1804"/>
      <c r="G10" s="1726"/>
      <c r="H10" s="1726"/>
      <c r="I10" s="1727"/>
      <c r="J10" s="797">
        <v>1</v>
      </c>
      <c r="K10" s="798" t="s">
        <v>80</v>
      </c>
      <c r="L10" s="799" t="s">
        <v>254</v>
      </c>
      <c r="M10" s="800" t="s">
        <v>254</v>
      </c>
    </row>
    <row r="11" spans="1:13" s="794" customFormat="1" ht="18.75" customHeight="1">
      <c r="A11" s="795">
        <v>4</v>
      </c>
      <c r="B11" s="1347" t="s">
        <v>643</v>
      </c>
      <c r="C11" s="1726"/>
      <c r="D11" s="796"/>
      <c r="E11" s="1726"/>
      <c r="F11" s="1726"/>
      <c r="G11" s="1726"/>
      <c r="H11" s="1726"/>
      <c r="I11" s="1727"/>
      <c r="J11" s="797">
        <v>1</v>
      </c>
      <c r="K11" s="798" t="s">
        <v>80</v>
      </c>
      <c r="L11" s="799" t="s">
        <v>255</v>
      </c>
      <c r="M11" s="800" t="s">
        <v>255</v>
      </c>
    </row>
    <row r="12" spans="1:13" s="794" customFormat="1" ht="19.5" hidden="1" customHeight="1">
      <c r="A12" s="795">
        <f t="shared" si="0"/>
        <v>5</v>
      </c>
      <c r="B12" s="1792" t="s">
        <v>644</v>
      </c>
      <c r="C12" s="1726"/>
      <c r="D12" s="796"/>
      <c r="E12" s="1726"/>
      <c r="F12" s="1726"/>
      <c r="G12" s="1726"/>
      <c r="H12" s="1726"/>
      <c r="I12" s="1727"/>
      <c r="J12" s="797">
        <v>1</v>
      </c>
      <c r="K12" s="798" t="s">
        <v>80</v>
      </c>
      <c r="L12" s="799" t="str">
        <f>IF(SUM(Financiación!E6:H6)&gt;0.5,"SÍ","NO")</f>
        <v>NO</v>
      </c>
      <c r="M12" s="800" t="str">
        <f>L12</f>
        <v>NO</v>
      </c>
    </row>
    <row r="13" spans="1:13" s="794" customFormat="1" ht="18.75" customHeight="1">
      <c r="A13" s="795">
        <f>+A11+1</f>
        <v>5</v>
      </c>
      <c r="B13" s="1347" t="s">
        <v>645</v>
      </c>
      <c r="C13" s="1726"/>
      <c r="D13" s="796"/>
      <c r="E13" s="1726"/>
      <c r="F13" s="1726"/>
      <c r="G13" s="1726"/>
      <c r="H13" s="1726"/>
      <c r="I13" s="1727"/>
      <c r="J13" s="797">
        <v>1</v>
      </c>
      <c r="K13" s="798" t="s">
        <v>80</v>
      </c>
      <c r="L13" s="799" t="s">
        <v>255</v>
      </c>
      <c r="M13" s="800" t="s">
        <v>255</v>
      </c>
    </row>
    <row r="14" spans="1:13" s="794" customFormat="1" ht="18.75" customHeight="1">
      <c r="A14" s="795">
        <f t="shared" si="0"/>
        <v>6</v>
      </c>
      <c r="B14" s="1347" t="s">
        <v>642</v>
      </c>
      <c r="C14" s="1726"/>
      <c r="D14" s="796"/>
      <c r="E14" s="1726"/>
      <c r="F14" s="1726"/>
      <c r="G14" s="1726"/>
      <c r="H14" s="1726"/>
      <c r="I14" s="1727"/>
      <c r="J14" s="797">
        <v>1</v>
      </c>
      <c r="K14" s="798" t="s">
        <v>80</v>
      </c>
      <c r="L14" s="799" t="s">
        <v>255</v>
      </c>
      <c r="M14" s="800" t="s">
        <v>255</v>
      </c>
    </row>
    <row r="15" spans="1:13" s="794" customFormat="1" ht="18.75" customHeight="1">
      <c r="A15" s="795">
        <f t="shared" si="0"/>
        <v>7</v>
      </c>
      <c r="B15" s="1347" t="s">
        <v>488</v>
      </c>
      <c r="C15" s="1726"/>
      <c r="D15" s="796"/>
      <c r="E15" s="1726"/>
      <c r="F15" s="1726"/>
      <c r="G15" s="1726"/>
      <c r="H15" s="1726"/>
      <c r="I15" s="1727"/>
      <c r="J15" s="797">
        <v>1</v>
      </c>
      <c r="K15" s="798" t="s">
        <v>80</v>
      </c>
      <c r="L15" s="799" t="s">
        <v>255</v>
      </c>
      <c r="M15" s="800" t="s">
        <v>255</v>
      </c>
    </row>
    <row r="16" spans="1:13" s="794" customFormat="1" ht="15" hidden="1" customHeight="1">
      <c r="A16" s="795">
        <f t="shared" si="0"/>
        <v>8</v>
      </c>
      <c r="B16" s="1792" t="s">
        <v>489</v>
      </c>
      <c r="C16" s="1726"/>
      <c r="D16" s="796"/>
      <c r="E16" s="1726"/>
      <c r="F16" s="1726"/>
      <c r="G16" s="1726"/>
      <c r="H16" s="1726"/>
      <c r="I16" s="1805"/>
      <c r="J16" s="797">
        <v>1</v>
      </c>
      <c r="K16" s="798" t="s">
        <v>80</v>
      </c>
      <c r="L16" s="799" t="s">
        <v>254</v>
      </c>
      <c r="M16" s="800" t="str">
        <f ca="1">IF('Financiación Inicial'!B20+SUM(resprevio,'Financiación Inicial'!D25:D28)&gt;0,"SÍ","NO")</f>
        <v>NO</v>
      </c>
    </row>
    <row r="17" spans="1:13" s="794" customFormat="1" ht="21" hidden="1" customHeight="1">
      <c r="A17" s="795">
        <f t="shared" si="0"/>
        <v>9</v>
      </c>
      <c r="B17" s="1347" t="s">
        <v>663</v>
      </c>
      <c r="C17" s="1726"/>
      <c r="D17" s="796"/>
      <c r="E17" s="1726"/>
      <c r="F17" s="1726"/>
      <c r="G17" s="1726"/>
      <c r="H17" s="1726"/>
      <c r="I17" s="1805"/>
      <c r="J17" s="797">
        <v>1</v>
      </c>
      <c r="K17" s="798" t="s">
        <v>184</v>
      </c>
      <c r="L17" s="799" t="s">
        <v>254</v>
      </c>
      <c r="M17" s="800" t="str">
        <f>L17</f>
        <v>NO</v>
      </c>
    </row>
    <row r="18" spans="1:13" s="794" customFormat="1" ht="18.75" hidden="1" customHeight="1">
      <c r="A18" s="795">
        <f>+A15+1</f>
        <v>8</v>
      </c>
      <c r="B18" s="1347" t="s">
        <v>664</v>
      </c>
      <c r="C18" s="1726"/>
      <c r="D18" s="796"/>
      <c r="E18" s="1726"/>
      <c r="F18" s="1726"/>
      <c r="G18" s="1726"/>
      <c r="H18" s="1726"/>
      <c r="I18" s="1805"/>
      <c r="J18" s="797">
        <v>1</v>
      </c>
      <c r="K18" s="798" t="s">
        <v>184</v>
      </c>
      <c r="L18" s="799" t="s">
        <v>254</v>
      </c>
      <c r="M18" s="800" t="str">
        <f>L18</f>
        <v>NO</v>
      </c>
    </row>
    <row r="19" spans="1:13" s="794" customFormat="1" ht="18.75" hidden="1" customHeight="1">
      <c r="A19" s="795">
        <f t="shared" si="0"/>
        <v>9</v>
      </c>
      <c r="B19" s="1347" t="s">
        <v>665</v>
      </c>
      <c r="C19" s="1726"/>
      <c r="D19" s="796"/>
      <c r="E19" s="1726"/>
      <c r="F19" s="1726"/>
      <c r="G19" s="1726"/>
      <c r="H19" s="1726"/>
      <c r="I19" s="1805"/>
      <c r="J19" s="797">
        <v>1</v>
      </c>
      <c r="K19" s="798" t="s">
        <v>184</v>
      </c>
      <c r="L19" s="799" t="s">
        <v>254</v>
      </c>
      <c r="M19" s="800" t="str">
        <f>L19</f>
        <v>NO</v>
      </c>
    </row>
    <row r="20" spans="1:13" s="794" customFormat="1" ht="17.25" hidden="1" customHeight="1">
      <c r="A20" s="795">
        <f t="shared" si="0"/>
        <v>10</v>
      </c>
      <c r="B20" s="1792" t="s">
        <v>102</v>
      </c>
      <c r="C20" s="1726"/>
      <c r="D20" s="796"/>
      <c r="E20" s="1726"/>
      <c r="F20" s="1726"/>
      <c r="G20" s="1726"/>
      <c r="H20" s="1726"/>
      <c r="I20" s="1727"/>
      <c r="J20" s="797">
        <v>2</v>
      </c>
      <c r="K20" s="798" t="s">
        <v>529</v>
      </c>
      <c r="L20" s="799" t="s">
        <v>254</v>
      </c>
      <c r="M20" s="800" t="s">
        <v>254</v>
      </c>
    </row>
    <row r="21" spans="1:13" s="794" customFormat="1" ht="18.75" customHeight="1">
      <c r="A21" s="795">
        <v>8</v>
      </c>
      <c r="B21" s="1347" t="s">
        <v>491</v>
      </c>
      <c r="C21" s="1726"/>
      <c r="D21" s="796"/>
      <c r="E21" s="1726"/>
      <c r="F21" s="1726"/>
      <c r="G21" s="1726"/>
      <c r="H21" s="1726"/>
      <c r="I21" s="1727"/>
      <c r="J21" s="797">
        <v>1</v>
      </c>
      <c r="K21" s="798" t="s">
        <v>80</v>
      </c>
      <c r="L21" s="799" t="s">
        <v>255</v>
      </c>
      <c r="M21" s="800" t="s">
        <v>255</v>
      </c>
    </row>
    <row r="22" spans="1:13" s="794" customFormat="1" ht="11.25" hidden="1" customHeight="1">
      <c r="A22" s="795">
        <f t="shared" si="0"/>
        <v>9</v>
      </c>
      <c r="B22" s="1347" t="s">
        <v>171</v>
      </c>
      <c r="C22" s="1726"/>
      <c r="D22" s="796"/>
      <c r="E22" s="1726"/>
      <c r="F22" s="1726"/>
      <c r="G22" s="1726"/>
      <c r="H22" s="1726"/>
      <c r="I22" s="1727"/>
      <c r="J22" s="797">
        <v>2</v>
      </c>
      <c r="K22" s="798" t="s">
        <v>80</v>
      </c>
      <c r="L22" s="799" t="s">
        <v>254</v>
      </c>
      <c r="M22" s="800" t="str">
        <f>IF(SUM(Plantilla!O20:O21,Plantilla!O39:O40,Plantilla!O58:O59,Plantilla!O77:O78,Plantilla!O96:O97)&gt;0,"SÍ","NO")</f>
        <v>NO</v>
      </c>
    </row>
    <row r="23" spans="1:13" s="794" customFormat="1" ht="18.75" customHeight="1">
      <c r="A23" s="795">
        <f>+A21+1</f>
        <v>9</v>
      </c>
      <c r="B23" s="1347" t="s">
        <v>492</v>
      </c>
      <c r="C23" s="1726"/>
      <c r="D23" s="796"/>
      <c r="E23" s="1726"/>
      <c r="F23" s="1726"/>
      <c r="G23" s="1726"/>
      <c r="H23" s="1726"/>
      <c r="I23" s="1727"/>
      <c r="J23" s="797">
        <v>1</v>
      </c>
      <c r="K23" s="798" t="s">
        <v>80</v>
      </c>
      <c r="L23" s="799" t="s">
        <v>254</v>
      </c>
      <c r="M23" s="800" t="s">
        <v>254</v>
      </c>
    </row>
    <row r="24" spans="1:13" s="794" customFormat="1" ht="18.75" customHeight="1">
      <c r="A24" s="795">
        <f t="shared" si="0"/>
        <v>10</v>
      </c>
      <c r="B24" s="1347" t="s">
        <v>327</v>
      </c>
      <c r="C24" s="1726"/>
      <c r="D24" s="796"/>
      <c r="E24" s="1726"/>
      <c r="F24" s="1726"/>
      <c r="G24" s="1726"/>
      <c r="H24" s="1726"/>
      <c r="I24" s="1727"/>
      <c r="J24" s="797">
        <v>1</v>
      </c>
      <c r="K24" s="798" t="s">
        <v>80</v>
      </c>
      <c r="L24" s="799" t="s">
        <v>255</v>
      </c>
      <c r="M24" s="800" t="s">
        <v>255</v>
      </c>
    </row>
    <row r="25" spans="1:13" s="794" customFormat="1" ht="20.25" customHeight="1">
      <c r="A25" s="795">
        <f t="shared" si="0"/>
        <v>11</v>
      </c>
      <c r="B25" s="1347" t="s">
        <v>550</v>
      </c>
      <c r="C25" s="1726"/>
      <c r="D25" s="796"/>
      <c r="E25" s="1726"/>
      <c r="F25" s="1726"/>
      <c r="G25" s="1726"/>
      <c r="H25" s="1726"/>
      <c r="I25" s="1727"/>
      <c r="J25" s="797">
        <v>2</v>
      </c>
      <c r="K25" s="798" t="s">
        <v>80</v>
      </c>
      <c r="L25" s="799" t="s">
        <v>254</v>
      </c>
      <c r="M25" s="800" t="s">
        <v>254</v>
      </c>
    </row>
    <row r="26" spans="1:13" s="794" customFormat="1" ht="2.25" hidden="1" customHeight="1">
      <c r="A26" s="795">
        <f t="shared" si="0"/>
        <v>12</v>
      </c>
      <c r="B26" s="1347" t="s">
        <v>493</v>
      </c>
      <c r="C26" s="1726"/>
      <c r="D26" s="796"/>
      <c r="E26" s="1726"/>
      <c r="F26" s="1726"/>
      <c r="G26" s="1726"/>
      <c r="H26" s="1726"/>
      <c r="I26" s="1727"/>
      <c r="J26" s="797">
        <v>2</v>
      </c>
      <c r="K26" s="798" t="s">
        <v>80</v>
      </c>
      <c r="L26" s="799" t="s">
        <v>254</v>
      </c>
      <c r="M26" s="800" t="s">
        <v>254</v>
      </c>
    </row>
    <row r="27" spans="1:13" s="794" customFormat="1" ht="17.25" hidden="1" customHeight="1">
      <c r="A27" s="795">
        <f t="shared" si="0"/>
        <v>13</v>
      </c>
      <c r="B27" s="1792" t="s">
        <v>495</v>
      </c>
      <c r="C27" s="1726"/>
      <c r="D27" s="796"/>
      <c r="E27" s="1726"/>
      <c r="F27" s="1726"/>
      <c r="G27" s="1726"/>
      <c r="H27" s="1726"/>
      <c r="I27" s="1727"/>
      <c r="J27" s="797">
        <v>1</v>
      </c>
      <c r="K27" s="798" t="s">
        <v>530</v>
      </c>
      <c r="L27" s="799" t="s">
        <v>254</v>
      </c>
      <c r="M27" s="800" t="s">
        <v>254</v>
      </c>
    </row>
    <row r="28" spans="1:13" s="794" customFormat="1" ht="18.75" customHeight="1">
      <c r="A28" s="795">
        <v>12</v>
      </c>
      <c r="B28" s="1347" t="s">
        <v>494</v>
      </c>
      <c r="C28" s="1726"/>
      <c r="D28" s="796"/>
      <c r="E28" s="1726"/>
      <c r="F28" s="1726"/>
      <c r="G28" s="1726"/>
      <c r="H28" s="1726"/>
      <c r="I28" s="1727"/>
      <c r="J28" s="797">
        <v>1</v>
      </c>
      <c r="K28" s="798" t="s">
        <v>185</v>
      </c>
      <c r="L28" s="799" t="s">
        <v>255</v>
      </c>
      <c r="M28" s="800" t="s">
        <v>255</v>
      </c>
    </row>
    <row r="29" spans="1:13" s="794" customFormat="1" ht="18.75" hidden="1" customHeight="1">
      <c r="A29" s="795">
        <f t="shared" si="0"/>
        <v>13</v>
      </c>
      <c r="B29" s="1347" t="s">
        <v>496</v>
      </c>
      <c r="C29" s="1726"/>
      <c r="D29" s="796"/>
      <c r="E29" s="1726"/>
      <c r="F29" s="1726"/>
      <c r="G29" s="1726"/>
      <c r="H29" s="1726"/>
      <c r="I29" s="1727"/>
      <c r="J29" s="797">
        <v>2</v>
      </c>
      <c r="K29" s="798" t="s">
        <v>530</v>
      </c>
      <c r="L29" s="799" t="s">
        <v>254</v>
      </c>
      <c r="M29" s="800" t="s">
        <v>254</v>
      </c>
    </row>
    <row r="30" spans="1:13" s="794" customFormat="1" ht="18.75" hidden="1" customHeight="1">
      <c r="A30" s="795">
        <f t="shared" si="0"/>
        <v>14</v>
      </c>
      <c r="B30" s="1347" t="s">
        <v>497</v>
      </c>
      <c r="C30" s="1726"/>
      <c r="D30" s="796"/>
      <c r="E30" s="1726"/>
      <c r="F30" s="1726"/>
      <c r="G30" s="1726"/>
      <c r="H30" s="1726"/>
      <c r="I30" s="1727"/>
      <c r="J30" s="797">
        <v>2</v>
      </c>
      <c r="K30" s="798" t="s">
        <v>530</v>
      </c>
      <c r="L30" s="799" t="s">
        <v>254</v>
      </c>
      <c r="M30" s="800" t="s">
        <v>254</v>
      </c>
    </row>
    <row r="31" spans="1:13" s="794" customFormat="1" ht="18.75" hidden="1" customHeight="1">
      <c r="A31" s="795">
        <f t="shared" si="0"/>
        <v>15</v>
      </c>
      <c r="B31" s="1347" t="s">
        <v>498</v>
      </c>
      <c r="C31" s="1726"/>
      <c r="D31" s="796"/>
      <c r="E31" s="1726"/>
      <c r="F31" s="1726"/>
      <c r="G31" s="1726"/>
      <c r="H31" s="1726"/>
      <c r="I31" s="1727"/>
      <c r="J31" s="797">
        <v>2</v>
      </c>
      <c r="K31" s="798" t="s">
        <v>530</v>
      </c>
      <c r="L31" s="799" t="s">
        <v>254</v>
      </c>
      <c r="M31" s="800" t="s">
        <v>254</v>
      </c>
    </row>
    <row r="32" spans="1:13" s="794" customFormat="1" ht="18.75" hidden="1" customHeight="1">
      <c r="A32" s="795">
        <f t="shared" si="0"/>
        <v>16</v>
      </c>
      <c r="B32" s="1347" t="s">
        <v>499</v>
      </c>
      <c r="C32" s="1726"/>
      <c r="D32" s="796"/>
      <c r="E32" s="1726"/>
      <c r="F32" s="1726"/>
      <c r="G32" s="1726"/>
      <c r="H32" s="1726"/>
      <c r="I32" s="1727"/>
      <c r="J32" s="797">
        <v>2</v>
      </c>
      <c r="K32" s="798" t="s">
        <v>530</v>
      </c>
      <c r="L32" s="799" t="s">
        <v>254</v>
      </c>
      <c r="M32" s="800" t="s">
        <v>254</v>
      </c>
    </row>
    <row r="33" spans="1:13" s="794" customFormat="1" ht="9.75" hidden="1" customHeight="1">
      <c r="A33" s="795">
        <f t="shared" si="0"/>
        <v>17</v>
      </c>
      <c r="B33" s="1347" t="s">
        <v>500</v>
      </c>
      <c r="C33" s="1726"/>
      <c r="D33" s="796"/>
      <c r="E33" s="1726"/>
      <c r="F33" s="1726"/>
      <c r="G33" s="1726"/>
      <c r="H33" s="1726"/>
      <c r="I33" s="1727"/>
      <c r="J33" s="797">
        <v>2</v>
      </c>
      <c r="K33" s="798" t="s">
        <v>530</v>
      </c>
      <c r="L33" s="799" t="s">
        <v>254</v>
      </c>
      <c r="M33" s="800" t="s">
        <v>254</v>
      </c>
    </row>
    <row r="34" spans="1:13" s="794" customFormat="1" ht="18.75" customHeight="1">
      <c r="A34" s="795">
        <f>+A28+1</f>
        <v>13</v>
      </c>
      <c r="B34" s="1347" t="s">
        <v>501</v>
      </c>
      <c r="C34" s="1726"/>
      <c r="D34" s="796"/>
      <c r="E34" s="1726"/>
      <c r="F34" s="1726"/>
      <c r="G34" s="1726"/>
      <c r="H34" s="1726"/>
      <c r="I34" s="1727"/>
      <c r="J34" s="797">
        <v>1</v>
      </c>
      <c r="K34" s="798" t="s">
        <v>185</v>
      </c>
      <c r="L34" s="799" t="s">
        <v>255</v>
      </c>
      <c r="M34" s="800" t="s">
        <v>255</v>
      </c>
    </row>
    <row r="35" spans="1:13" s="794" customFormat="1" ht="18.75" hidden="1" customHeight="1">
      <c r="A35" s="795">
        <f t="shared" si="0"/>
        <v>14</v>
      </c>
      <c r="B35" s="1347" t="s">
        <v>502</v>
      </c>
      <c r="C35" s="1726"/>
      <c r="D35" s="796"/>
      <c r="E35" s="1726"/>
      <c r="F35" s="1726"/>
      <c r="G35" s="1726"/>
      <c r="H35" s="1726"/>
      <c r="I35" s="1727"/>
      <c r="J35" s="797">
        <v>1</v>
      </c>
      <c r="K35" s="798" t="s">
        <v>530</v>
      </c>
      <c r="L35" s="799" t="s">
        <v>254</v>
      </c>
      <c r="M35" s="800" t="s">
        <v>254</v>
      </c>
    </row>
    <row r="36" spans="1:13" s="794" customFormat="1" ht="18.75" hidden="1" customHeight="1">
      <c r="A36" s="795">
        <f t="shared" si="0"/>
        <v>15</v>
      </c>
      <c r="B36" s="1347" t="s">
        <v>503</v>
      </c>
      <c r="C36" s="1726"/>
      <c r="D36" s="796"/>
      <c r="E36" s="1726"/>
      <c r="F36" s="1726"/>
      <c r="G36" s="1726"/>
      <c r="H36" s="1726"/>
      <c r="I36" s="1727"/>
      <c r="J36" s="797">
        <v>1</v>
      </c>
      <c r="K36" s="798" t="s">
        <v>530</v>
      </c>
      <c r="L36" s="799" t="s">
        <v>254</v>
      </c>
      <c r="M36" s="800" t="s">
        <v>254</v>
      </c>
    </row>
    <row r="37" spans="1:13" s="794" customFormat="1" ht="18.75" hidden="1" customHeight="1">
      <c r="A37" s="795">
        <f t="shared" si="0"/>
        <v>16</v>
      </c>
      <c r="B37" s="1347" t="s">
        <v>504</v>
      </c>
      <c r="C37" s="1726"/>
      <c r="D37" s="796"/>
      <c r="E37" s="1726"/>
      <c r="F37" s="1726"/>
      <c r="G37" s="1726"/>
      <c r="H37" s="1726"/>
      <c r="I37" s="1727"/>
      <c r="J37" s="797">
        <v>1</v>
      </c>
      <c r="K37" s="798" t="s">
        <v>530</v>
      </c>
      <c r="L37" s="799" t="s">
        <v>254</v>
      </c>
      <c r="M37" s="800" t="s">
        <v>254</v>
      </c>
    </row>
    <row r="38" spans="1:13" s="794" customFormat="1" ht="18.75" hidden="1" customHeight="1">
      <c r="A38" s="795">
        <f t="shared" si="0"/>
        <v>17</v>
      </c>
      <c r="B38" s="1347" t="s">
        <v>505</v>
      </c>
      <c r="C38" s="1726"/>
      <c r="D38" s="796"/>
      <c r="E38" s="1726"/>
      <c r="F38" s="1726"/>
      <c r="G38" s="1726"/>
      <c r="H38" s="1726"/>
      <c r="I38" s="1727"/>
      <c r="J38" s="797">
        <v>1</v>
      </c>
      <c r="K38" s="798" t="s">
        <v>530</v>
      </c>
      <c r="L38" s="799" t="s">
        <v>254</v>
      </c>
      <c r="M38" s="800" t="s">
        <v>254</v>
      </c>
    </row>
    <row r="39" spans="1:13" s="794" customFormat="1" ht="18.75" hidden="1" customHeight="1">
      <c r="A39" s="795">
        <f t="shared" si="0"/>
        <v>18</v>
      </c>
      <c r="B39" s="1347" t="s">
        <v>506</v>
      </c>
      <c r="C39" s="1726"/>
      <c r="D39" s="796"/>
      <c r="E39" s="1726"/>
      <c r="F39" s="1726"/>
      <c r="G39" s="1726"/>
      <c r="H39" s="1726"/>
      <c r="I39" s="1727"/>
      <c r="J39" s="797">
        <v>1</v>
      </c>
      <c r="K39" s="798" t="s">
        <v>530</v>
      </c>
      <c r="L39" s="799" t="s">
        <v>254</v>
      </c>
      <c r="M39" s="800" t="s">
        <v>254</v>
      </c>
    </row>
    <row r="40" spans="1:13" s="794" customFormat="1" ht="18.75" customHeight="1">
      <c r="A40" s="795">
        <f>A34+1</f>
        <v>14</v>
      </c>
      <c r="B40" s="1347" t="s">
        <v>291</v>
      </c>
      <c r="C40" s="1726"/>
      <c r="D40" s="796"/>
      <c r="E40" s="1726"/>
      <c r="F40" s="1726"/>
      <c r="G40" s="1726"/>
      <c r="H40" s="1726"/>
      <c r="I40" s="1727"/>
      <c r="J40" s="797">
        <v>1</v>
      </c>
      <c r="K40" s="798" t="s">
        <v>185</v>
      </c>
      <c r="L40" s="799" t="s">
        <v>255</v>
      </c>
      <c r="M40" s="800" t="s">
        <v>255</v>
      </c>
    </row>
    <row r="41" spans="1:13" s="794" customFormat="1" ht="18.75" customHeight="1">
      <c r="A41" s="795">
        <f t="shared" si="0"/>
        <v>15</v>
      </c>
      <c r="B41" s="1347" t="str">
        <f>'Datos Básicos'!I44&amp;" "&amp;'Datos Básicos'!$J$44</f>
        <v>I.S. Impuesto de Sociedades</v>
      </c>
      <c r="C41" s="1726"/>
      <c r="D41" s="796"/>
      <c r="E41" s="1726"/>
      <c r="F41" s="1726"/>
      <c r="G41" s="1726"/>
      <c r="H41" s="1726"/>
      <c r="I41" s="1727"/>
      <c r="J41" s="797">
        <v>1</v>
      </c>
      <c r="K41" s="798" t="s">
        <v>185</v>
      </c>
      <c r="L41" s="799" t="s">
        <v>254</v>
      </c>
      <c r="M41" s="800" t="str">
        <f>IF(Isoc&lt;&gt;0,"SÍ","NO")</f>
        <v>NO</v>
      </c>
    </row>
    <row r="42" spans="1:13" s="794" customFormat="1" ht="18.75" customHeight="1">
      <c r="A42" s="795">
        <f t="shared" si="0"/>
        <v>16</v>
      </c>
      <c r="B42" s="1347" t="str">
        <f>'Datos Básicos'!I43&amp;" "&amp;'Datos Básicos'!$J$43</f>
        <v>I.R.P.F. Impusto de la Renta de las Personas Físicas</v>
      </c>
      <c r="C42" s="1726"/>
      <c r="D42" s="796"/>
      <c r="E42" s="1726"/>
      <c r="F42" s="1726"/>
      <c r="G42" s="1726"/>
      <c r="H42" s="1726"/>
      <c r="I42" s="1727"/>
      <c r="J42" s="797">
        <v>1</v>
      </c>
      <c r="K42" s="798" t="s">
        <v>185</v>
      </c>
      <c r="L42" s="799" t="s">
        <v>254</v>
      </c>
      <c r="M42" s="800" t="str">
        <f>IF(irpf&lt;&gt;0,"SÍ","NO")</f>
        <v>SÍ</v>
      </c>
    </row>
    <row r="43" spans="1:13" s="794" customFormat="1" ht="18.75" hidden="1" customHeight="1">
      <c r="A43" s="795">
        <f t="shared" si="0"/>
        <v>17</v>
      </c>
      <c r="B43" s="1347" t="s">
        <v>507</v>
      </c>
      <c r="C43" s="1726"/>
      <c r="D43" s="796"/>
      <c r="E43" s="1726"/>
      <c r="F43" s="1726"/>
      <c r="G43" s="1726"/>
      <c r="H43" s="1726"/>
      <c r="I43" s="1727"/>
      <c r="J43" s="797">
        <v>1</v>
      </c>
      <c r="K43" s="798" t="s">
        <v>531</v>
      </c>
      <c r="L43" s="799" t="s">
        <v>254</v>
      </c>
      <c r="M43" s="800" t="s">
        <v>254</v>
      </c>
    </row>
    <row r="44" spans="1:13" s="794" customFormat="1" ht="18.75" hidden="1" customHeight="1">
      <c r="A44" s="795">
        <f t="shared" si="0"/>
        <v>18</v>
      </c>
      <c r="B44" s="1347" t="s">
        <v>508</v>
      </c>
      <c r="C44" s="1726"/>
      <c r="D44" s="796"/>
      <c r="E44" s="1726"/>
      <c r="F44" s="1726"/>
      <c r="G44" s="1726"/>
      <c r="H44" s="1726"/>
      <c r="I44" s="1727"/>
      <c r="J44" s="797">
        <v>1</v>
      </c>
      <c r="K44" s="798" t="s">
        <v>531</v>
      </c>
      <c r="L44" s="799" t="s">
        <v>254</v>
      </c>
      <c r="M44" s="800" t="s">
        <v>254</v>
      </c>
    </row>
    <row r="45" spans="1:13" s="794" customFormat="1" ht="18.75" hidden="1" customHeight="1">
      <c r="A45" s="795">
        <f t="shared" si="0"/>
        <v>19</v>
      </c>
      <c r="B45" s="1347" t="s">
        <v>509</v>
      </c>
      <c r="C45" s="1726"/>
      <c r="D45" s="796"/>
      <c r="E45" s="1726"/>
      <c r="F45" s="1726"/>
      <c r="G45" s="1726"/>
      <c r="H45" s="1726"/>
      <c r="I45" s="1727"/>
      <c r="J45" s="797">
        <v>1</v>
      </c>
      <c r="K45" s="798" t="s">
        <v>531</v>
      </c>
      <c r="L45" s="799" t="s">
        <v>254</v>
      </c>
      <c r="M45" s="800" t="s">
        <v>254</v>
      </c>
    </row>
    <row r="46" spans="1:13" s="794" customFormat="1" ht="18.75" hidden="1" customHeight="1">
      <c r="A46" s="795">
        <f t="shared" si="0"/>
        <v>20</v>
      </c>
      <c r="B46" s="1347" t="s">
        <v>510</v>
      </c>
      <c r="C46" s="1726"/>
      <c r="D46" s="796"/>
      <c r="E46" s="1726"/>
      <c r="F46" s="1726"/>
      <c r="G46" s="1726"/>
      <c r="H46" s="1726"/>
      <c r="I46" s="1727"/>
      <c r="J46" s="797">
        <v>1</v>
      </c>
      <c r="K46" s="798" t="s">
        <v>531</v>
      </c>
      <c r="L46" s="799" t="s">
        <v>254</v>
      </c>
      <c r="M46" s="800" t="s">
        <v>254</v>
      </c>
    </row>
    <row r="47" spans="1:13" s="794" customFormat="1" ht="18.75" hidden="1" customHeight="1">
      <c r="A47" s="795">
        <f t="shared" si="0"/>
        <v>21</v>
      </c>
      <c r="B47" s="1347" t="s">
        <v>511</v>
      </c>
      <c r="C47" s="1726"/>
      <c r="D47" s="796"/>
      <c r="E47" s="1726"/>
      <c r="F47" s="1726"/>
      <c r="G47" s="1726"/>
      <c r="H47" s="1726"/>
      <c r="I47" s="1727"/>
      <c r="J47" s="797">
        <v>1</v>
      </c>
      <c r="K47" s="798" t="s">
        <v>531</v>
      </c>
      <c r="L47" s="799" t="s">
        <v>254</v>
      </c>
      <c r="M47" s="800" t="s">
        <v>254</v>
      </c>
    </row>
    <row r="48" spans="1:13" s="794" customFormat="1" ht="18.75" hidden="1" customHeight="1">
      <c r="A48" s="795">
        <f t="shared" si="0"/>
        <v>22</v>
      </c>
      <c r="B48" s="1347" t="s">
        <v>512</v>
      </c>
      <c r="C48" s="1726"/>
      <c r="D48" s="796"/>
      <c r="E48" s="1726"/>
      <c r="F48" s="1726"/>
      <c r="G48" s="1726"/>
      <c r="H48" s="1726"/>
      <c r="I48" s="1727"/>
      <c r="J48" s="797">
        <v>1</v>
      </c>
      <c r="K48" s="798" t="s">
        <v>531</v>
      </c>
      <c r="L48" s="799" t="s">
        <v>254</v>
      </c>
      <c r="M48" s="800" t="s">
        <v>254</v>
      </c>
    </row>
    <row r="49" spans="1:13" s="794" customFormat="1" ht="18.75" hidden="1" customHeight="1">
      <c r="A49" s="795">
        <f t="shared" si="0"/>
        <v>23</v>
      </c>
      <c r="B49" s="1347" t="s">
        <v>513</v>
      </c>
      <c r="C49" s="1726"/>
      <c r="D49" s="796"/>
      <c r="E49" s="1726"/>
      <c r="F49" s="1726"/>
      <c r="G49" s="1726"/>
      <c r="H49" s="1726"/>
      <c r="I49" s="1727"/>
      <c r="J49" s="797">
        <v>1</v>
      </c>
      <c r="K49" s="798" t="s">
        <v>531</v>
      </c>
      <c r="L49" s="799" t="s">
        <v>254</v>
      </c>
      <c r="M49" s="800" t="s">
        <v>254</v>
      </c>
    </row>
    <row r="50" spans="1:13" s="794" customFormat="1" ht="18.75" hidden="1" customHeight="1">
      <c r="A50" s="795">
        <f t="shared" si="0"/>
        <v>24</v>
      </c>
      <c r="B50" s="1347" t="s">
        <v>514</v>
      </c>
      <c r="C50" s="1726"/>
      <c r="D50" s="796"/>
      <c r="E50" s="1726"/>
      <c r="F50" s="1726"/>
      <c r="G50" s="1726"/>
      <c r="H50" s="1726"/>
      <c r="I50" s="1727"/>
      <c r="J50" s="797">
        <v>1</v>
      </c>
      <c r="K50" s="798" t="s">
        <v>531</v>
      </c>
      <c r="L50" s="799" t="s">
        <v>254</v>
      </c>
      <c r="M50" s="800" t="s">
        <v>254</v>
      </c>
    </row>
    <row r="51" spans="1:13" s="794" customFormat="1" ht="18.75" hidden="1" customHeight="1">
      <c r="A51" s="795">
        <f t="shared" si="0"/>
        <v>25</v>
      </c>
      <c r="B51" s="1347" t="s">
        <v>515</v>
      </c>
      <c r="C51" s="1726"/>
      <c r="D51" s="796"/>
      <c r="E51" s="1726"/>
      <c r="F51" s="1726"/>
      <c r="G51" s="1726"/>
      <c r="H51" s="1726"/>
      <c r="I51" s="1727"/>
      <c r="J51" s="797">
        <v>1</v>
      </c>
      <c r="K51" s="798" t="s">
        <v>531</v>
      </c>
      <c r="L51" s="799" t="s">
        <v>254</v>
      </c>
      <c r="M51" s="800" t="s">
        <v>254</v>
      </c>
    </row>
    <row r="52" spans="1:13" s="794" customFormat="1" ht="18.75" hidden="1" customHeight="1">
      <c r="A52" s="795">
        <f t="shared" si="0"/>
        <v>26</v>
      </c>
      <c r="B52" s="1347" t="s">
        <v>516</v>
      </c>
      <c r="C52" s="1726"/>
      <c r="D52" s="796"/>
      <c r="E52" s="1726"/>
      <c r="F52" s="1726"/>
      <c r="G52" s="1726"/>
      <c r="H52" s="1726"/>
      <c r="I52" s="1727"/>
      <c r="J52" s="797">
        <v>1</v>
      </c>
      <c r="K52" s="798" t="s">
        <v>531</v>
      </c>
      <c r="L52" s="799" t="s">
        <v>254</v>
      </c>
      <c r="M52" s="800" t="s">
        <v>254</v>
      </c>
    </row>
    <row r="53" spans="1:13" s="794" customFormat="1" ht="18.75" hidden="1" customHeight="1">
      <c r="A53" s="795">
        <f t="shared" si="0"/>
        <v>27</v>
      </c>
      <c r="B53" s="1347" t="s">
        <v>517</v>
      </c>
      <c r="C53" s="1726"/>
      <c r="D53" s="796"/>
      <c r="E53" s="1726"/>
      <c r="F53" s="1726"/>
      <c r="G53" s="1726"/>
      <c r="H53" s="1726"/>
      <c r="I53" s="1727"/>
      <c r="J53" s="797">
        <v>1</v>
      </c>
      <c r="K53" s="798" t="s">
        <v>531</v>
      </c>
      <c r="L53" s="799" t="s">
        <v>254</v>
      </c>
      <c r="M53" s="800" t="s">
        <v>254</v>
      </c>
    </row>
    <row r="54" spans="1:13" s="794" customFormat="1" ht="18.75" hidden="1" customHeight="1">
      <c r="A54" s="795">
        <f t="shared" si="0"/>
        <v>28</v>
      </c>
      <c r="B54" s="1347" t="s">
        <v>518</v>
      </c>
      <c r="C54" s="1726"/>
      <c r="D54" s="796"/>
      <c r="E54" s="1726"/>
      <c r="F54" s="1726"/>
      <c r="G54" s="1726"/>
      <c r="H54" s="1726"/>
      <c r="I54" s="1727"/>
      <c r="J54" s="797">
        <v>1</v>
      </c>
      <c r="K54" s="798" t="s">
        <v>531</v>
      </c>
      <c r="L54" s="799" t="s">
        <v>254</v>
      </c>
      <c r="M54" s="800" t="s">
        <v>254</v>
      </c>
    </row>
    <row r="55" spans="1:13" s="794" customFormat="1" ht="18.75" hidden="1" customHeight="1">
      <c r="A55" s="795">
        <f t="shared" si="0"/>
        <v>29</v>
      </c>
      <c r="B55" s="1347" t="s">
        <v>519</v>
      </c>
      <c r="C55" s="1726"/>
      <c r="D55" s="796"/>
      <c r="E55" s="1726"/>
      <c r="F55" s="1726"/>
      <c r="G55" s="1726"/>
      <c r="H55" s="1726"/>
      <c r="I55" s="1727"/>
      <c r="J55" s="797">
        <v>1</v>
      </c>
      <c r="K55" s="798" t="s">
        <v>531</v>
      </c>
      <c r="L55" s="799" t="s">
        <v>254</v>
      </c>
      <c r="M55" s="800" t="s">
        <v>254</v>
      </c>
    </row>
    <row r="56" spans="1:13" s="794" customFormat="1" ht="18.75" hidden="1" customHeight="1">
      <c r="A56" s="795">
        <f t="shared" si="0"/>
        <v>30</v>
      </c>
      <c r="B56" s="1347" t="s">
        <v>520</v>
      </c>
      <c r="C56" s="1726"/>
      <c r="D56" s="796"/>
      <c r="E56" s="1726"/>
      <c r="F56" s="1726"/>
      <c r="G56" s="1726"/>
      <c r="H56" s="1726"/>
      <c r="I56" s="1727"/>
      <c r="J56" s="797">
        <v>1</v>
      </c>
      <c r="K56" s="798" t="s">
        <v>531</v>
      </c>
      <c r="L56" s="799" t="s">
        <v>254</v>
      </c>
      <c r="M56" s="800" t="s">
        <v>254</v>
      </c>
    </row>
    <row r="57" spans="1:13" s="794" customFormat="1" ht="18.75" hidden="1" customHeight="1">
      <c r="A57" s="795">
        <f t="shared" si="0"/>
        <v>31</v>
      </c>
      <c r="B57" s="1347" t="s">
        <v>521</v>
      </c>
      <c r="C57" s="1726"/>
      <c r="D57" s="796"/>
      <c r="E57" s="1726"/>
      <c r="F57" s="1726"/>
      <c r="G57" s="1726"/>
      <c r="H57" s="1726"/>
      <c r="I57" s="1727"/>
      <c r="J57" s="797">
        <v>1</v>
      </c>
      <c r="K57" s="798" t="s">
        <v>531</v>
      </c>
      <c r="L57" s="799" t="s">
        <v>254</v>
      </c>
      <c r="M57" s="800" t="s">
        <v>254</v>
      </c>
    </row>
    <row r="58" spans="1:13" s="794" customFormat="1" ht="18.75" hidden="1" customHeight="1">
      <c r="A58" s="795">
        <f t="shared" si="0"/>
        <v>32</v>
      </c>
      <c r="B58" s="1347" t="s">
        <v>522</v>
      </c>
      <c r="C58" s="1726"/>
      <c r="D58" s="796"/>
      <c r="E58" s="1726"/>
      <c r="F58" s="1726"/>
      <c r="G58" s="1726"/>
      <c r="H58" s="1726"/>
      <c r="I58" s="1727"/>
      <c r="J58" s="797">
        <v>1</v>
      </c>
      <c r="K58" s="798" t="s">
        <v>531</v>
      </c>
      <c r="L58" s="799" t="s">
        <v>254</v>
      </c>
      <c r="M58" s="800" t="s">
        <v>254</v>
      </c>
    </row>
    <row r="59" spans="1:13" s="794" customFormat="1" ht="18.75" customHeight="1">
      <c r="A59" s="795">
        <f>A42+1</f>
        <v>17</v>
      </c>
      <c r="B59" s="1347" t="s">
        <v>328</v>
      </c>
      <c r="C59" s="1726"/>
      <c r="D59" s="796"/>
      <c r="E59" s="1726"/>
      <c r="F59" s="1726"/>
      <c r="G59" s="1726"/>
      <c r="H59" s="1726"/>
      <c r="I59" s="1727"/>
      <c r="J59" s="797">
        <v>1</v>
      </c>
      <c r="K59" s="798" t="s">
        <v>185</v>
      </c>
      <c r="L59" s="799" t="s">
        <v>255</v>
      </c>
      <c r="M59" s="800" t="s">
        <v>255</v>
      </c>
    </row>
    <row r="60" spans="1:13" s="794" customFormat="1" ht="18.75" hidden="1" customHeight="1">
      <c r="A60" s="795">
        <f t="shared" si="0"/>
        <v>18</v>
      </c>
      <c r="B60" s="1347" t="s">
        <v>329</v>
      </c>
      <c r="C60" s="1726"/>
      <c r="D60" s="796"/>
      <c r="E60" s="1726"/>
      <c r="F60" s="1726"/>
      <c r="G60" s="1726"/>
      <c r="H60" s="1726"/>
      <c r="I60" s="1727"/>
      <c r="J60" s="797">
        <v>1</v>
      </c>
      <c r="K60" s="798" t="s">
        <v>185</v>
      </c>
      <c r="L60" s="799" t="s">
        <v>254</v>
      </c>
      <c r="M60" s="800" t="s">
        <v>254</v>
      </c>
    </row>
    <row r="61" spans="1:13" s="794" customFormat="1" ht="18.75" hidden="1" customHeight="1">
      <c r="A61" s="795">
        <f t="shared" si="0"/>
        <v>19</v>
      </c>
      <c r="B61" s="1347" t="s">
        <v>523</v>
      </c>
      <c r="C61" s="1726"/>
      <c r="D61" s="796"/>
      <c r="E61" s="1726"/>
      <c r="F61" s="1726"/>
      <c r="G61" s="1726"/>
      <c r="H61" s="1726"/>
      <c r="I61" s="1727"/>
      <c r="J61" s="797">
        <v>1</v>
      </c>
      <c r="K61" s="798" t="s">
        <v>531</v>
      </c>
      <c r="L61" s="799" t="s">
        <v>254</v>
      </c>
      <c r="M61" s="800" t="s">
        <v>254</v>
      </c>
    </row>
    <row r="62" spans="1:13" s="794" customFormat="1" ht="18.75" hidden="1" customHeight="1">
      <c r="A62" s="795">
        <f t="shared" si="0"/>
        <v>20</v>
      </c>
      <c r="B62" s="1347" t="s">
        <v>524</v>
      </c>
      <c r="C62" s="1726"/>
      <c r="D62" s="796"/>
      <c r="E62" s="1726"/>
      <c r="F62" s="1726"/>
      <c r="G62" s="1726"/>
      <c r="H62" s="1726"/>
      <c r="I62" s="1727"/>
      <c r="J62" s="797">
        <v>1</v>
      </c>
      <c r="K62" s="798" t="s">
        <v>531</v>
      </c>
      <c r="L62" s="799" t="s">
        <v>254</v>
      </c>
      <c r="M62" s="800" t="s">
        <v>254</v>
      </c>
    </row>
    <row r="63" spans="1:13" s="794" customFormat="1" ht="18.75" hidden="1" customHeight="1">
      <c r="A63" s="795">
        <f t="shared" si="0"/>
        <v>21</v>
      </c>
      <c r="B63" s="1347" t="s">
        <v>525</v>
      </c>
      <c r="C63" s="1726"/>
      <c r="D63" s="796"/>
      <c r="E63" s="1726"/>
      <c r="F63" s="1726"/>
      <c r="G63" s="1726"/>
      <c r="H63" s="1726"/>
      <c r="I63" s="1727"/>
      <c r="J63" s="797">
        <v>1</v>
      </c>
      <c r="K63" s="798" t="s">
        <v>531</v>
      </c>
      <c r="L63" s="799" t="s">
        <v>254</v>
      </c>
      <c r="M63" s="800" t="s">
        <v>254</v>
      </c>
    </row>
    <row r="64" spans="1:13" s="794" customFormat="1" ht="18.75" hidden="1" customHeight="1">
      <c r="A64" s="795">
        <f t="shared" si="0"/>
        <v>22</v>
      </c>
      <c r="B64" s="1347" t="s">
        <v>526</v>
      </c>
      <c r="C64" s="1726"/>
      <c r="D64" s="796"/>
      <c r="E64" s="1726"/>
      <c r="F64" s="1726"/>
      <c r="G64" s="1726"/>
      <c r="H64" s="1726"/>
      <c r="I64" s="1727"/>
      <c r="J64" s="797">
        <v>1</v>
      </c>
      <c r="K64" s="798" t="s">
        <v>531</v>
      </c>
      <c r="L64" s="799" t="s">
        <v>254</v>
      </c>
      <c r="M64" s="800" t="s">
        <v>254</v>
      </c>
    </row>
    <row r="65" spans="1:13" s="794" customFormat="1" ht="18.75" hidden="1" customHeight="1">
      <c r="A65" s="795">
        <f t="shared" si="0"/>
        <v>23</v>
      </c>
      <c r="B65" s="1347" t="s">
        <v>527</v>
      </c>
      <c r="C65" s="1726"/>
      <c r="D65" s="796"/>
      <c r="E65" s="1726"/>
      <c r="F65" s="1726"/>
      <c r="G65" s="1726"/>
      <c r="H65" s="1726"/>
      <c r="I65" s="1727"/>
      <c r="J65" s="797">
        <v>1</v>
      </c>
      <c r="K65" s="798" t="s">
        <v>531</v>
      </c>
      <c r="L65" s="799" t="s">
        <v>254</v>
      </c>
      <c r="M65" s="800" t="s">
        <v>254</v>
      </c>
    </row>
    <row r="66" spans="1:13" s="794" customFormat="1" ht="18.75" customHeight="1">
      <c r="A66" s="795">
        <f>A59+1</f>
        <v>18</v>
      </c>
      <c r="B66" s="1347" t="s">
        <v>92</v>
      </c>
      <c r="C66" s="1726"/>
      <c r="D66" s="796"/>
      <c r="E66" s="1726"/>
      <c r="F66" s="1726"/>
      <c r="G66" s="1726"/>
      <c r="H66" s="1726"/>
      <c r="I66" s="1727"/>
      <c r="J66" s="797">
        <v>1</v>
      </c>
      <c r="K66" s="798" t="s">
        <v>80</v>
      </c>
      <c r="L66" s="799" t="s">
        <v>254</v>
      </c>
      <c r="M66" s="800" t="s">
        <v>255</v>
      </c>
    </row>
    <row r="67" spans="1:13" s="794" customFormat="1" ht="18.75" customHeight="1">
      <c r="A67" s="795">
        <f t="shared" si="0"/>
        <v>19</v>
      </c>
      <c r="B67" s="1347" t="s">
        <v>528</v>
      </c>
      <c r="C67" s="1726"/>
      <c r="D67" s="796"/>
      <c r="E67" s="1726"/>
      <c r="F67" s="1726"/>
      <c r="G67" s="1726"/>
      <c r="H67" s="1726"/>
      <c r="I67" s="1727"/>
      <c r="J67" s="797">
        <v>1</v>
      </c>
      <c r="K67" s="798" t="s">
        <v>185</v>
      </c>
      <c r="L67" s="799" t="s">
        <v>255</v>
      </c>
      <c r="M67" s="800" t="s">
        <v>255</v>
      </c>
    </row>
    <row r="68" spans="1:13" s="794" customFormat="1" ht="18.75" customHeight="1">
      <c r="A68" s="795">
        <f t="shared" si="0"/>
        <v>20</v>
      </c>
      <c r="B68" s="1347" t="s">
        <v>94</v>
      </c>
      <c r="C68" s="1726"/>
      <c r="D68" s="796"/>
      <c r="E68" s="1726"/>
      <c r="F68" s="1726"/>
      <c r="G68" s="1726"/>
      <c r="H68" s="1726"/>
      <c r="I68" s="1727"/>
      <c r="J68" s="797">
        <v>1</v>
      </c>
      <c r="K68" s="798" t="s">
        <v>185</v>
      </c>
      <c r="L68" s="799" t="s">
        <v>255</v>
      </c>
      <c r="M68" s="800" t="s">
        <v>255</v>
      </c>
    </row>
    <row r="69" spans="1:13" s="794" customFormat="1" ht="18.75" customHeight="1">
      <c r="A69" s="795">
        <f t="shared" si="0"/>
        <v>21</v>
      </c>
      <c r="B69" s="1347" t="s">
        <v>330</v>
      </c>
      <c r="C69" s="1726"/>
      <c r="D69" s="796"/>
      <c r="E69" s="1726"/>
      <c r="F69" s="1726"/>
      <c r="G69" s="1726"/>
      <c r="H69" s="1726"/>
      <c r="I69" s="1727"/>
      <c r="J69" s="797">
        <v>1</v>
      </c>
      <c r="K69" s="798" t="s">
        <v>185</v>
      </c>
      <c r="L69" s="799" t="s">
        <v>254</v>
      </c>
      <c r="M69" s="800" t="s">
        <v>255</v>
      </c>
    </row>
    <row r="70" spans="1:13" s="794" customFormat="1" ht="18.75" customHeight="1">
      <c r="A70" s="795">
        <f t="shared" si="0"/>
        <v>22</v>
      </c>
      <c r="B70" s="1347" t="s">
        <v>773</v>
      </c>
      <c r="C70" s="1726"/>
      <c r="D70" s="796"/>
      <c r="E70" s="1726"/>
      <c r="F70" s="1726"/>
      <c r="G70" s="1726"/>
      <c r="H70" s="1726"/>
      <c r="I70" s="1727"/>
      <c r="J70" s="797">
        <v>1</v>
      </c>
      <c r="K70" s="798" t="s">
        <v>185</v>
      </c>
      <c r="L70" s="799" t="s">
        <v>254</v>
      </c>
      <c r="M70" s="800" t="s">
        <v>255</v>
      </c>
    </row>
    <row r="71" spans="1:13" s="794" customFormat="1" ht="18.75" customHeight="1" thickBot="1">
      <c r="A71" s="812">
        <f>A70+1</f>
        <v>23</v>
      </c>
      <c r="B71" s="1350" t="s">
        <v>173</v>
      </c>
      <c r="C71" s="1728"/>
      <c r="D71" s="1728"/>
      <c r="E71" s="1728"/>
      <c r="F71" s="1728"/>
      <c r="G71" s="1728"/>
      <c r="H71" s="1728"/>
      <c r="I71" s="1729"/>
      <c r="J71" s="801">
        <v>1</v>
      </c>
      <c r="K71" s="802" t="s">
        <v>184</v>
      </c>
      <c r="L71" s="813" t="s">
        <v>254</v>
      </c>
      <c r="M71" s="814" t="s">
        <v>254</v>
      </c>
    </row>
    <row r="73" spans="1:13" s="794" customFormat="1" hidden="1">
      <c r="A73" s="803"/>
      <c r="B73" s="804"/>
      <c r="C73" s="804"/>
      <c r="D73" s="804"/>
      <c r="E73" s="804"/>
      <c r="F73" s="804"/>
      <c r="G73" s="805"/>
      <c r="H73" s="788"/>
      <c r="I73" s="806" t="s">
        <v>139</v>
      </c>
      <c r="J73" s="807">
        <f>SUM(J7:J71)</f>
        <v>73</v>
      </c>
      <c r="K73" s="804"/>
      <c r="L73" s="790">
        <f>SUMIF(L7:L71,"SÍ",$J7:$J71)</f>
        <v>13</v>
      </c>
      <c r="M73" s="808">
        <f ca="1">SUMIF(M7:M71,"SÍ",$J7:$J71)</f>
        <v>18</v>
      </c>
    </row>
    <row r="74" spans="1:13" s="794" customFormat="1" ht="18.75" hidden="1" thickBot="1">
      <c r="A74" s="803"/>
      <c r="B74" s="804"/>
      <c r="C74" s="804"/>
      <c r="D74" s="804"/>
      <c r="E74" s="804"/>
      <c r="F74" s="804"/>
      <c r="G74" s="809"/>
      <c r="H74" s="810"/>
      <c r="I74" s="811" t="s">
        <v>446</v>
      </c>
      <c r="J74" s="812">
        <f>COUNT(J7:J71)</f>
        <v>65</v>
      </c>
      <c r="K74" s="804"/>
      <c r="L74" s="813" t="s">
        <v>256</v>
      </c>
      <c r="M74" s="814" t="s">
        <v>256</v>
      </c>
    </row>
    <row r="81" spans="1:13" s="719" customFormat="1" ht="15">
      <c r="A81" s="780">
        <v>15</v>
      </c>
      <c r="B81" s="1351" t="s">
        <v>138</v>
      </c>
      <c r="C81" s="781"/>
      <c r="D81" s="782"/>
      <c r="E81" s="781"/>
      <c r="F81" s="781"/>
      <c r="G81" s="781"/>
      <c r="H81" s="781"/>
      <c r="I81" s="781"/>
      <c r="J81" s="780">
        <v>1</v>
      </c>
      <c r="K81" s="783" t="s">
        <v>185</v>
      </c>
      <c r="L81" s="784" t="s">
        <v>255</v>
      </c>
      <c r="M81" s="784" t="s">
        <v>255</v>
      </c>
    </row>
    <row r="82" spans="1:13" s="719" customFormat="1" ht="15">
      <c r="A82" s="780">
        <v>16</v>
      </c>
      <c r="B82" s="1351" t="s">
        <v>103</v>
      </c>
      <c r="C82" s="781"/>
      <c r="D82" s="782"/>
      <c r="E82" s="781"/>
      <c r="F82" s="781"/>
      <c r="G82" s="781"/>
      <c r="H82" s="781"/>
      <c r="I82" s="781"/>
      <c r="J82" s="780">
        <v>1</v>
      </c>
      <c r="K82" s="783" t="s">
        <v>185</v>
      </c>
      <c r="L82" s="784" t="s">
        <v>254</v>
      </c>
      <c r="M82" s="784" t="s">
        <v>255</v>
      </c>
    </row>
    <row r="83" spans="1:13" s="719" customFormat="1" ht="15">
      <c r="A83" s="780">
        <v>17</v>
      </c>
      <c r="B83" s="1351" t="s">
        <v>104</v>
      </c>
      <c r="C83" s="781"/>
      <c r="D83" s="782"/>
      <c r="E83" s="781"/>
      <c r="F83" s="781"/>
      <c r="G83" s="781"/>
      <c r="H83" s="781"/>
      <c r="I83" s="781"/>
      <c r="J83" s="780">
        <v>1</v>
      </c>
      <c r="K83" s="783" t="s">
        <v>185</v>
      </c>
      <c r="L83" s="784" t="s">
        <v>254</v>
      </c>
      <c r="M83" s="784" t="s">
        <v>255</v>
      </c>
    </row>
    <row r="84" spans="1:13" s="719" customFormat="1" ht="15">
      <c r="A84" s="780">
        <v>18</v>
      </c>
      <c r="B84" s="1351" t="s">
        <v>105</v>
      </c>
      <c r="C84" s="781"/>
      <c r="D84" s="782"/>
      <c r="E84" s="781"/>
      <c r="F84" s="781"/>
      <c r="G84" s="781"/>
      <c r="H84" s="781"/>
      <c r="I84" s="781"/>
      <c r="J84" s="780">
        <v>1</v>
      </c>
      <c r="K84" s="783" t="s">
        <v>185</v>
      </c>
      <c r="L84" s="784" t="s">
        <v>254</v>
      </c>
      <c r="M84" s="784" t="s">
        <v>255</v>
      </c>
    </row>
  </sheetData>
  <sheetProtection sheet="1" objects="1" scenarios="1"/>
  <phoneticPr fontId="6" type="noConversion"/>
  <hyperlinks>
    <hyperlink ref="B9" location="'Datos Básicos'!A1" display="'Datos Básicos'!A1" xr:uid="{00000000-0004-0000-0000-000000000000}"/>
    <hyperlink ref="B16" location="'Financiación Inicial'!A1" display="'Financiación Inicial'!A1" xr:uid="{00000000-0004-0000-0000-000001000000}"/>
    <hyperlink ref="B17" location="Préstamos!A1" display="Préstamos" xr:uid="{00000000-0004-0000-0000-000002000000}"/>
    <hyperlink ref="B81" location="'Bal. Inicial Previo'!A1" display="'Bal. Inicial Previo'!A1" xr:uid="{00000000-0004-0000-0000-000003000000}"/>
    <hyperlink ref="B82" location="'Bal. Año 0'!A1" display="'Bal. Año 0'!A1" xr:uid="{00000000-0004-0000-0000-000004000000}"/>
    <hyperlink ref="B83" location="'Bal. Año 1'!A1" display="'Bal. Año 1'!A1" xr:uid="{00000000-0004-0000-0000-000005000000}"/>
    <hyperlink ref="B84" location="'Bal. Año 2'!A1" display="'Bal. Año 2'!A1" xr:uid="{00000000-0004-0000-0000-000006000000}"/>
    <hyperlink ref="B28" location="'Balances anuales'!A1" display="Balances Anuales" xr:uid="{00000000-0004-0000-0000-000007000000}"/>
    <hyperlink ref="B24" location="'Precios-CV'!A1" display="Precios de Venta y Coste por familias" xr:uid="{00000000-0004-0000-0000-000008000000}"/>
    <hyperlink ref="B25" location="'Estimaciones Ventas'!A1" display="Estimaciones de Ventas: Datos" xr:uid="{00000000-0004-0000-0000-000009000000}"/>
    <hyperlink ref="B40" location="'PPyGG anuales'!A1" display="Cuentas de Resultados: Comparativa" xr:uid="{00000000-0004-0000-0000-00000A000000}"/>
    <hyperlink ref="B21" location="RR.HH.!A1" display="Recursos Humanos (RR.HH.)" xr:uid="{00000000-0004-0000-0000-00000B000000}"/>
    <hyperlink ref="B68" location="'P. Equilibrio'!A1" display="'P. Equilibrio'!A1" xr:uid="{00000000-0004-0000-0000-00000C000000}"/>
    <hyperlink ref="B69" location="'Ratios Básicos'!A1" display="'Ratios Básicos'!A1" xr:uid="{00000000-0004-0000-0000-00000D000000}"/>
    <hyperlink ref="B71" location="'Datos Evaluación'!A1" display="'Datos Evaluación'!A1" xr:uid="{00000000-0004-0000-0000-00000E000000}"/>
    <hyperlink ref="B23" location="'Gastos Fijos Datos'!A1" display="Gastos Fijos Datos" xr:uid="{00000000-0004-0000-0000-00000F000000}"/>
    <hyperlink ref="B8" location="'Condiciones de Uso'!A1" display="'Condiciones de Uso'!A1" xr:uid="{00000000-0004-0000-0000-000010000000}"/>
    <hyperlink ref="B66" location="Amortizaciones!A1" display="Amortizaciones!A1" xr:uid="{00000000-0004-0000-0000-000011000000}"/>
    <hyperlink ref="B10" location="Parametros!A5" display="Parámetros" xr:uid="{00000000-0004-0000-0000-000012000000}"/>
    <hyperlink ref="B34" location="'Resumen Ventas 5 años'!Área_de_impresión" display="Ventas Anuales: resúmen" xr:uid="{00000000-0004-0000-0000-000013000000}"/>
    <hyperlink ref="B59" location="'Resumen Gastos Fijos'!A1" display="Gastos Fijos Anuales: Resumen" xr:uid="{00000000-0004-0000-0000-000014000000}"/>
    <hyperlink ref="B60" location="'Gastos Financieros'!A1" display="Ingresos y Gastos Financieros" xr:uid="{00000000-0004-0000-0000-000015000000}"/>
    <hyperlink ref="B67" location="'Resumen Tesorerias'!A1" display="Tesoerías Mensuales: Resúmen" xr:uid="{00000000-0004-0000-0000-000016000000}"/>
    <hyperlink ref="B14" location="'Gastos Iniciales'!A1" display="Gastos Iniciales" xr:uid="{00000000-0004-0000-0000-000017000000}"/>
    <hyperlink ref="B11" location="'Inv. Iniciales ANC'!A1" display="Inversiones Iniciales AF" xr:uid="{00000000-0004-0000-0000-000018000000}"/>
    <hyperlink ref="B12" location="'Inv. Adicionales ANC'!A1" display="Inversiones Adicionales ANC" xr:uid="{00000000-0004-0000-0000-000019000000}"/>
    <hyperlink ref="B13" location="'Inversiones AC'!A1" display="Inversiones AC" xr:uid="{00000000-0004-0000-0000-00001A000000}"/>
    <hyperlink ref="B15" location="Financiación!A1" display="Financiación" xr:uid="{00000000-0004-0000-0000-00001B000000}"/>
    <hyperlink ref="B22" location="Plantilla!A1" display="Plantilla por meses" xr:uid="{00000000-0004-0000-0000-00001C000000}"/>
    <hyperlink ref="B18" location="Leasing!A1" display="Leasing" xr:uid="{00000000-0004-0000-0000-00001D000000}"/>
    <hyperlink ref="B19" location="Renting!A1" display="Renting" xr:uid="{00000000-0004-0000-0000-00001E000000}"/>
    <hyperlink ref="B70" location="'Valoración Empresa'!A1" display="Valoración de la empresa." xr:uid="{00000000-0004-0000-0000-00001F000000}"/>
    <hyperlink ref="B41" location="Imp.Sociedades!A1" display="Impuesto de sociedades" xr:uid="{00000000-0004-0000-0000-000020000000}"/>
    <hyperlink ref="B42" location="'IRPF Prof y Autónomos'!A1" display="I.R.P.F. De Profesionales y Autónomos" xr:uid="{00000000-0004-0000-0000-000021000000}"/>
  </hyperlinks>
  <pageMargins left="1" right="0.61" top="0.78740157480314965" bottom="0.39370078740157483" header="0" footer="0.19685039370078741"/>
  <pageSetup paperSize="9" orientation="portrait" horizontalDpi="300" verticalDpi="300" r:id="rId1"/>
  <headerFooter alignWithMargins="0">
    <oddFooter>&amp;C&amp;"Tahoma,Normal"&amp;10&amp;A</oddFooter>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pageSetUpPr fitToPage="1"/>
  </sheetPr>
  <dimension ref="A1:J84"/>
  <sheetViews>
    <sheetView workbookViewId="0"/>
  </sheetViews>
  <sheetFormatPr baseColWidth="10" defaultColWidth="11" defaultRowHeight="15"/>
  <cols>
    <col min="1" max="1" width="37.375" style="20" customWidth="1"/>
    <col min="2" max="2" width="22.375" style="20" customWidth="1"/>
    <col min="3" max="3" width="20.875" style="161" customWidth="1"/>
    <col min="4" max="8" width="20.875" style="20" customWidth="1"/>
    <col min="9" max="9" width="17.625" style="20" customWidth="1"/>
    <col min="10" max="10" width="16" style="20" customWidth="1"/>
    <col min="11" max="16384" width="11" style="20"/>
  </cols>
  <sheetData>
    <row r="1" spans="1:10" ht="30">
      <c r="A1" s="660" t="s">
        <v>451</v>
      </c>
      <c r="B1" s="660"/>
    </row>
    <row r="2" spans="1:10" ht="25.5">
      <c r="A2" s="561" t="str">
        <f>'Datos Básicos'!B9</f>
        <v>nombre empresa</v>
      </c>
      <c r="B2" s="561"/>
    </row>
    <row r="3" spans="1:10" ht="26.25" thickBot="1">
      <c r="A3" s="17"/>
      <c r="B3" s="17"/>
    </row>
    <row r="4" spans="1:10" ht="36" customHeight="1" thickBot="1">
      <c r="A4" s="2249" t="s">
        <v>449</v>
      </c>
      <c r="B4" s="2310"/>
      <c r="C4" s="2250"/>
      <c r="D4" s="2187"/>
      <c r="E4" s="2188"/>
      <c r="F4" s="2189"/>
      <c r="G4" s="2190"/>
      <c r="H4" s="2191"/>
    </row>
    <row r="5" spans="1:10" ht="36" customHeight="1">
      <c r="A5" s="2251"/>
      <c r="B5" s="2311"/>
      <c r="C5" s="2203"/>
      <c r="D5" s="1385" t="str">
        <f>CONCATENATE("Inicial  ",Parametros!B77)</f>
        <v>Inicial  Año 0:  2026</v>
      </c>
      <c r="E5" s="1385" t="str">
        <f t="array" ref="E5:H5">Parametros!C77:F77</f>
        <v>Año 1:  2027</v>
      </c>
      <c r="F5" s="1385" t="str">
        <v>Año 2:  2028</v>
      </c>
      <c r="G5" s="1385" t="str">
        <v>Año 3:  2029</v>
      </c>
      <c r="H5" s="1385" t="str">
        <v>Año 4:  2030</v>
      </c>
    </row>
    <row r="6" spans="1:10" s="34" customFormat="1" ht="25.5" customHeight="1">
      <c r="A6" s="2161" t="s">
        <v>580</v>
      </c>
      <c r="B6" s="2312"/>
      <c r="C6" s="823"/>
      <c r="D6" s="1383">
        <f>Amortizaciones!B19-Amortizaciones!C19+'Gastos Iniciales'!B26</f>
        <v>0</v>
      </c>
      <c r="E6" s="1384">
        <f t="array" ref="E6:H6">Amortizaciones!E19:H19</f>
        <v>0</v>
      </c>
      <c r="F6" s="1383">
        <v>0</v>
      </c>
      <c r="G6" s="1384">
        <v>0</v>
      </c>
      <c r="H6" s="1383">
        <v>0</v>
      </c>
    </row>
    <row r="7" spans="1:10" s="34" customFormat="1" ht="25.5" customHeight="1" thickBot="1">
      <c r="A7" s="2162" t="s">
        <v>581</v>
      </c>
      <c r="B7" s="2313"/>
      <c r="C7" s="1366"/>
      <c r="D7" s="829">
        <f t="array" aca="1" ref="D7:H7" ca="1">+'Inversiones AC'!B46:F46-'Inversiones AC'!B42:F42</f>
        <v>0</v>
      </c>
      <c r="E7" s="830">
        <f ca="1"/>
        <v>0</v>
      </c>
      <c r="F7" s="829">
        <f ca="1"/>
        <v>0</v>
      </c>
      <c r="G7" s="830">
        <f ca="1"/>
        <v>0</v>
      </c>
      <c r="H7" s="829">
        <f ca="1"/>
        <v>0</v>
      </c>
    </row>
    <row r="8" spans="1:10" s="34" customFormat="1" ht="12.75" customHeight="1" thickBot="1">
      <c r="A8" s="2183"/>
      <c r="B8" s="2314"/>
      <c r="C8" s="2184"/>
      <c r="D8" s="2185"/>
      <c r="E8" s="2185"/>
      <c r="F8" s="2185"/>
      <c r="G8" s="2185"/>
      <c r="H8" s="2186"/>
    </row>
    <row r="9" spans="1:10" ht="24" customHeight="1" thickBot="1">
      <c r="A9" s="457" t="s">
        <v>439</v>
      </c>
      <c r="B9" s="458"/>
      <c r="C9" s="2179"/>
      <c r="D9" s="2180">
        <f ca="1">SUM(D6:D7)</f>
        <v>0</v>
      </c>
      <c r="E9" s="2181">
        <f ca="1">SUM(E6:E7)</f>
        <v>0</v>
      </c>
      <c r="F9" s="2181">
        <f ca="1">SUM(F6:F7)</f>
        <v>0</v>
      </c>
      <c r="G9" s="2181">
        <f ca="1">SUM(G6:G7)</f>
        <v>0</v>
      </c>
      <c r="H9" s="2182">
        <f ca="1">SUM(H6:H7)</f>
        <v>0</v>
      </c>
    </row>
    <row r="10" spans="1:10">
      <c r="A10" s="674"/>
      <c r="B10" s="674"/>
      <c r="D10" s="673"/>
      <c r="E10" s="672"/>
      <c r="F10" s="672"/>
      <c r="G10" s="672"/>
      <c r="H10" s="672"/>
    </row>
    <row r="11" spans="1:10" ht="15" customHeight="1" thickBot="1">
      <c r="A11" s="674"/>
      <c r="B11" s="674"/>
      <c r="C11" s="1793">
        <f>+'Datos Básicos'!$B$25</f>
        <v>0</v>
      </c>
      <c r="D11" s="1786" t="str">
        <f>IF(D14+D15+C14+C15&lt;C11,"ERROR: Capital mínimo "&amp;TEXT(C11,"#.##0 €"),"")</f>
        <v/>
      </c>
      <c r="E11" s="1785"/>
      <c r="F11" s="1785"/>
      <c r="G11" s="1785"/>
      <c r="H11" s="1785"/>
    </row>
    <row r="12" spans="1:10" ht="36" customHeight="1" thickBot="1">
      <c r="A12" s="2249" t="s">
        <v>450</v>
      </c>
      <c r="B12" s="2310"/>
      <c r="C12" s="2250"/>
      <c r="D12" s="2187"/>
      <c r="E12" s="2188"/>
      <c r="F12" s="2189"/>
      <c r="G12" s="2190"/>
      <c r="H12" s="2191"/>
    </row>
    <row r="13" spans="1:10" ht="36.75" customHeight="1">
      <c r="A13" s="2252"/>
      <c r="B13" s="2315"/>
      <c r="C13" s="1385" t="s">
        <v>977</v>
      </c>
      <c r="D13" s="1385" t="str">
        <f t="array" ref="D13:H13">D$5:H$5</f>
        <v>Inicial  Año 0:  2026</v>
      </c>
      <c r="E13" s="1385" t="str">
        <v>Año 1:  2027</v>
      </c>
      <c r="F13" s="1385" t="str">
        <v>Año 2:  2028</v>
      </c>
      <c r="G13" s="1385" t="str">
        <v>Año 3:  2029</v>
      </c>
      <c r="H13" s="1385" t="str">
        <v>Año 4:  2030</v>
      </c>
    </row>
    <row r="14" spans="1:10" s="34" customFormat="1" ht="21.75" customHeight="1">
      <c r="A14" s="528" t="str">
        <f>'Balances anuales'!$A$27&amp;" y ampliaciones de "&amp;'Balances anuales'!$A$27&amp;" (aport. dinerarias)"</f>
        <v>Fondo Social y ampliaciones de Fondo Social (aport. dinerarias)</v>
      </c>
      <c r="B14" s="2316"/>
      <c r="C14" s="885">
        <f>'Bal. Inicial Previo'!H10</f>
        <v>0</v>
      </c>
      <c r="D14" s="2045">
        <v>3000</v>
      </c>
      <c r="E14" s="2045">
        <v>0</v>
      </c>
      <c r="F14" s="2045">
        <v>0</v>
      </c>
      <c r="G14" s="2045">
        <v>0</v>
      </c>
      <c r="H14" s="2192">
        <v>0</v>
      </c>
      <c r="I14" s="20"/>
      <c r="J14" s="20"/>
    </row>
    <row r="15" spans="1:10" s="34" customFormat="1" ht="21.75" customHeight="1">
      <c r="A15" s="534" t="str">
        <f>'Balances anuales'!$A$27&amp;" y ampliaciones de "&amp;'Balances anuales'!$A$27&amp;" (aport. en especie)"</f>
        <v>Fondo Social y ampliaciones de Fondo Social (aport. en especie)</v>
      </c>
      <c r="B15" s="2317"/>
      <c r="C15" s="704">
        <v>0</v>
      </c>
      <c r="D15" s="704">
        <f>SUM('Inv. Iniciales ANC'!I63,'Inv. Iniciales ANC'!I55,'Inv. Iniciales ANC'!I50,'Inv. Iniciales ANC'!I43,'Inv. Iniciales ANC'!I37,'Inv. Iniciales ANC'!I31,'Inv. Iniciales ANC'!I26,'Inv. Iniciales ANC'!I20,'Inv. Iniciales ANC'!I10)+SUM('Inversiones AC'!D12:D14)</f>
        <v>0</v>
      </c>
      <c r="E15" s="705">
        <v>0</v>
      </c>
      <c r="F15" s="704">
        <v>0</v>
      </c>
      <c r="G15" s="704">
        <v>0</v>
      </c>
      <c r="H15" s="2193">
        <v>0</v>
      </c>
      <c r="J15" s="20"/>
    </row>
    <row r="16" spans="1:10" s="34" customFormat="1" ht="9.75" customHeight="1">
      <c r="A16" s="2194"/>
      <c r="B16" s="2318"/>
      <c r="C16" s="737"/>
      <c r="D16" s="737"/>
      <c r="E16" s="884"/>
      <c r="F16" s="737"/>
      <c r="G16" s="737"/>
      <c r="H16" s="2195"/>
    </row>
    <row r="17" spans="1:9" s="34" customFormat="1" ht="21.75" customHeight="1">
      <c r="A17" s="534" t="s">
        <v>437</v>
      </c>
      <c r="B17" s="2317"/>
      <c r="C17" s="704">
        <f>+'Bal. Inicial Previo'!H21+'Bal. Inicial Previo'!H13</f>
        <v>0</v>
      </c>
      <c r="D17" s="2398">
        <v>0</v>
      </c>
      <c r="E17" s="2398">
        <v>0</v>
      </c>
      <c r="F17" s="2398">
        <v>0</v>
      </c>
      <c r="G17" s="2398">
        <v>0</v>
      </c>
      <c r="H17" s="2427">
        <v>0</v>
      </c>
    </row>
    <row r="18" spans="1:9" s="34" customFormat="1" ht="10.5" customHeight="1">
      <c r="A18" s="534"/>
      <c r="B18" s="2317"/>
      <c r="C18" s="885"/>
      <c r="D18" s="885"/>
      <c r="E18" s="886"/>
      <c r="F18" s="885"/>
      <c r="G18" s="885"/>
      <c r="H18" s="2197"/>
    </row>
    <row r="19" spans="1:9" s="34" customFormat="1" ht="21.75" customHeight="1">
      <c r="A19" s="534" t="s">
        <v>8</v>
      </c>
      <c r="B19" s="2317"/>
      <c r="C19" s="704">
        <f>+'Bal. Inicial Previo'!H14</f>
        <v>0</v>
      </c>
      <c r="D19" s="2045">
        <v>0</v>
      </c>
      <c r="E19" s="2045">
        <v>0</v>
      </c>
      <c r="F19" s="2045">
        <v>0</v>
      </c>
      <c r="G19" s="2045">
        <v>0</v>
      </c>
      <c r="H19" s="2045">
        <v>0</v>
      </c>
    </row>
    <row r="20" spans="1:9" s="34" customFormat="1" ht="10.5" customHeight="1">
      <c r="A20" s="2194"/>
      <c r="B20" s="2318"/>
      <c r="C20" s="704"/>
      <c r="D20" s="704"/>
      <c r="E20" s="705"/>
      <c r="F20" s="704"/>
      <c r="G20" s="704"/>
      <c r="H20" s="2193"/>
    </row>
    <row r="21" spans="1:9" ht="21.75" customHeight="1">
      <c r="A21" s="2194" t="s">
        <v>466</v>
      </c>
      <c r="B21" s="2318"/>
      <c r="C21" s="704">
        <f>+B31</f>
        <v>0</v>
      </c>
      <c r="D21" s="704">
        <f>+SUM(C31:D31)</f>
        <v>0</v>
      </c>
      <c r="E21" s="705">
        <f t="array" ref="E21:H21">E31:H31</f>
        <v>0</v>
      </c>
      <c r="F21" s="704">
        <v>0</v>
      </c>
      <c r="G21" s="704">
        <v>0</v>
      </c>
      <c r="H21" s="2193">
        <v>0</v>
      </c>
      <c r="I21" s="34"/>
    </row>
    <row r="22" spans="1:9" ht="10.5" customHeight="1">
      <c r="A22" s="2194"/>
      <c r="B22" s="2318"/>
      <c r="C22" s="704"/>
      <c r="D22" s="704"/>
      <c r="E22" s="705"/>
      <c r="F22" s="704"/>
      <c r="G22" s="704"/>
      <c r="H22" s="2193"/>
      <c r="I22" s="34"/>
    </row>
    <row r="23" spans="1:9" ht="21.75" customHeight="1" thickBot="1">
      <c r="A23" s="2198" t="s">
        <v>691</v>
      </c>
      <c r="B23" s="2319"/>
      <c r="C23" s="816">
        <f>+B57</f>
        <v>0</v>
      </c>
      <c r="D23" s="816">
        <f>C57+D57</f>
        <v>0</v>
      </c>
      <c r="E23" s="1731">
        <f t="array" ref="E23:H23">E57:H57</f>
        <v>0</v>
      </c>
      <c r="F23" s="816">
        <v>0</v>
      </c>
      <c r="G23" s="816">
        <v>0</v>
      </c>
      <c r="H23" s="2199">
        <v>0</v>
      </c>
      <c r="I23" s="34"/>
    </row>
    <row r="24" spans="1:9" ht="15.75" thickBot="1">
      <c r="A24" s="2202"/>
      <c r="B24" s="2204"/>
      <c r="C24" s="2203"/>
      <c r="D24" s="2203"/>
      <c r="E24" s="2204"/>
      <c r="F24" s="2204"/>
      <c r="G24" s="2204"/>
      <c r="H24" s="2205"/>
    </row>
    <row r="25" spans="1:9" ht="24" customHeight="1" thickBot="1">
      <c r="A25" s="2200" t="s">
        <v>440</v>
      </c>
      <c r="B25" s="2320"/>
      <c r="C25" s="2201">
        <f t="shared" ref="C25:H25" si="0">SUM(C14:C23)</f>
        <v>0</v>
      </c>
      <c r="D25" s="2201">
        <f t="shared" si="0"/>
        <v>3000</v>
      </c>
      <c r="E25" s="2201">
        <f t="shared" si="0"/>
        <v>0</v>
      </c>
      <c r="F25" s="2201">
        <f t="shared" si="0"/>
        <v>0</v>
      </c>
      <c r="G25" s="2201">
        <f t="shared" si="0"/>
        <v>0</v>
      </c>
      <c r="H25" s="2201">
        <f t="shared" si="0"/>
        <v>0</v>
      </c>
    </row>
    <row r="26" spans="1:9">
      <c r="D26" s="161"/>
    </row>
    <row r="27" spans="1:9" ht="24" customHeight="1">
      <c r="A27" s="1530" t="s">
        <v>560</v>
      </c>
      <c r="B27" s="1530"/>
      <c r="C27" s="1531"/>
      <c r="D27" s="1314">
        <f ca="1">'Inversiones AC'!I26-tesoreriasec+Financiación!D49</f>
        <v>2000</v>
      </c>
      <c r="E27" s="1314">
        <f ca="1">-'Tesorería 1'!$C$39</f>
        <v>0</v>
      </c>
      <c r="F27" s="1314">
        <f ca="1">-'Tesorería 2'!$C$39</f>
        <v>0</v>
      </c>
      <c r="G27" s="1314">
        <f ca="1">-'Tesorería 3'!$C$39</f>
        <v>0</v>
      </c>
      <c r="H27" s="1314">
        <f ca="1">-'Tesorería 4'!$C$39</f>
        <v>0</v>
      </c>
      <c r="I27" s="1370">
        <f ca="1">MIN(D27:H27)-tesoreriasec*0</f>
        <v>0</v>
      </c>
    </row>
    <row r="28" spans="1:9" ht="25.5" customHeight="1" thickBot="1">
      <c r="C28" s="1978" t="s">
        <v>880</v>
      </c>
      <c r="D28" s="1314">
        <f ca="1">-'Tesorería 0'!$C$39</f>
        <v>0</v>
      </c>
      <c r="F28" s="1730" t="str">
        <f ca="1">IF(D27&lt;&gt;"","Tesorería de seguridad: "&amp;TEXT(tesoreriasec,"#.##0 €")&amp;" mínimo.","")</f>
        <v>Tesorería de seguridad: 1.000 € mínimo.</v>
      </c>
    </row>
    <row r="29" spans="1:9" s="34" customFormat="1" ht="32.25" customHeight="1" thickBot="1">
      <c r="A29" s="1386" t="s">
        <v>473</v>
      </c>
      <c r="B29" s="1386"/>
      <c r="C29" s="1387"/>
      <c r="D29" s="1387"/>
      <c r="E29" s="1387"/>
      <c r="F29" s="1387"/>
      <c r="G29" s="1387"/>
      <c r="H29" s="1387"/>
    </row>
    <row r="30" spans="1:9" s="34" customFormat="1" ht="33.75" customHeight="1" thickBot="1">
      <c r="A30" s="867"/>
      <c r="B30" s="671" t="str">
        <f>+$C$13</f>
        <v>Previo al inicio
(Bal. Previo)</v>
      </c>
      <c r="C30" s="671" t="str">
        <f>CONCATENATE("Préstamo 1  ",Parametros!B77)</f>
        <v>Préstamo 1  Año 0:  2026</v>
      </c>
      <c r="D30" s="1385" t="str">
        <f>SUBSTITUTE(C30,"mo 1","mo 2")</f>
        <v>Préstamo 2  Año 0:  2026</v>
      </c>
      <c r="E30" s="671" t="str">
        <f t="array" ref="E30:H30">E$13:H$13</f>
        <v>Año 1:  2027</v>
      </c>
      <c r="F30" s="671" t="str">
        <v>Año 2:  2028</v>
      </c>
      <c r="G30" s="671" t="str">
        <v>Año 3:  2029</v>
      </c>
      <c r="H30" s="671" t="str">
        <v>Año 4:  2030</v>
      </c>
    </row>
    <row r="31" spans="1:9" s="34" customFormat="1" ht="24.75" customHeight="1">
      <c r="A31" s="922" t="s">
        <v>161</v>
      </c>
      <c r="B31" s="2418">
        <f>+'Bal. Inicial Previo'!H39</f>
        <v>0</v>
      </c>
      <c r="C31" s="2047">
        <v>0</v>
      </c>
      <c r="D31" s="2047">
        <v>0</v>
      </c>
      <c r="E31" s="2048">
        <v>0</v>
      </c>
      <c r="F31" s="2048">
        <v>0</v>
      </c>
      <c r="G31" s="2048">
        <v>0</v>
      </c>
      <c r="H31" s="2048">
        <v>0</v>
      </c>
    </row>
    <row r="32" spans="1:9" s="34" customFormat="1" ht="20.25" customHeight="1">
      <c r="A32" s="868" t="s">
        <v>706</v>
      </c>
      <c r="B32" s="2325">
        <f>+'Bal. Inicial Previo'!H40</f>
        <v>0.08</v>
      </c>
      <c r="C32" s="2049">
        <v>0.06</v>
      </c>
      <c r="D32" s="2049">
        <v>4.4999999999999998E-2</v>
      </c>
      <c r="E32" s="2049">
        <f>D32</f>
        <v>4.4999999999999998E-2</v>
      </c>
      <c r="F32" s="2049">
        <v>0.05</v>
      </c>
      <c r="G32" s="2049">
        <f>F32</f>
        <v>0.05</v>
      </c>
      <c r="H32" s="2049">
        <f>G32</f>
        <v>0.05</v>
      </c>
    </row>
    <row r="33" spans="1:9" s="34" customFormat="1" ht="20.25" customHeight="1">
      <c r="A33" s="868" t="s">
        <v>168</v>
      </c>
      <c r="B33" s="2325">
        <v>0</v>
      </c>
      <c r="C33" s="2049">
        <v>5.0000000000000001E-3</v>
      </c>
      <c r="D33" s="2049">
        <v>5.0000000000000001E-3</v>
      </c>
      <c r="E33" s="2049">
        <f t="shared" ref="E33:H36" si="1">D33</f>
        <v>5.0000000000000001E-3</v>
      </c>
      <c r="F33" s="2049">
        <f t="shared" si="1"/>
        <v>5.0000000000000001E-3</v>
      </c>
      <c r="G33" s="2049">
        <f t="shared" si="1"/>
        <v>5.0000000000000001E-3</v>
      </c>
      <c r="H33" s="2049">
        <f t="shared" si="1"/>
        <v>5.0000000000000001E-3</v>
      </c>
    </row>
    <row r="34" spans="1:9" s="34" customFormat="1" ht="20.25" customHeight="1">
      <c r="A34" s="868" t="s">
        <v>697</v>
      </c>
      <c r="B34" s="2418">
        <f>+'Bal. Inicial Previo'!H41</f>
        <v>78</v>
      </c>
      <c r="C34" s="2050">
        <f>12*10</f>
        <v>120</v>
      </c>
      <c r="D34" s="2050">
        <v>20</v>
      </c>
      <c r="E34" s="2050">
        <v>120</v>
      </c>
      <c r="F34" s="2050">
        <f t="shared" si="1"/>
        <v>120</v>
      </c>
      <c r="G34" s="2050">
        <f t="shared" si="1"/>
        <v>120</v>
      </c>
      <c r="H34" s="2050">
        <f t="shared" si="1"/>
        <v>120</v>
      </c>
    </row>
    <row r="35" spans="1:9" s="34" customFormat="1" ht="20.25" customHeight="1">
      <c r="A35" s="868" t="s">
        <v>98</v>
      </c>
      <c r="B35" s="2418">
        <f>+'Bal. Inicial Previo'!H42</f>
        <v>4</v>
      </c>
      <c r="C35" s="2050">
        <v>12</v>
      </c>
      <c r="D35" s="2050">
        <v>12</v>
      </c>
      <c r="E35" s="2050">
        <f t="shared" si="1"/>
        <v>12</v>
      </c>
      <c r="F35" s="2050">
        <f t="shared" si="1"/>
        <v>12</v>
      </c>
      <c r="G35" s="2050">
        <f t="shared" si="1"/>
        <v>12</v>
      </c>
      <c r="H35" s="2050">
        <f t="shared" si="1"/>
        <v>12</v>
      </c>
    </row>
    <row r="36" spans="1:9" s="34" customFormat="1" ht="20.25" customHeight="1" thickBot="1">
      <c r="A36" s="923" t="s">
        <v>392</v>
      </c>
      <c r="B36" s="2326">
        <v>0</v>
      </c>
      <c r="C36" s="2046">
        <v>0</v>
      </c>
      <c r="D36" s="2046">
        <v>0</v>
      </c>
      <c r="E36" s="2046">
        <f t="shared" si="1"/>
        <v>0</v>
      </c>
      <c r="F36" s="2046">
        <v>0</v>
      </c>
      <c r="G36" s="2046">
        <f t="shared" si="1"/>
        <v>0</v>
      </c>
      <c r="H36" s="2046">
        <f t="shared" si="1"/>
        <v>0</v>
      </c>
    </row>
    <row r="37" spans="1:9" ht="15.75" thickBot="1">
      <c r="D37" s="161"/>
      <c r="I37" s="34"/>
    </row>
    <row r="38" spans="1:9" ht="20.25" customHeight="1">
      <c r="A38" s="922" t="s">
        <v>456</v>
      </c>
      <c r="B38" s="1313">
        <f t="array" ref="B38:H38">B34:H34/B35:H35</f>
        <v>19.5</v>
      </c>
      <c r="C38" s="1313">
        <v>10</v>
      </c>
      <c r="D38" s="1313">
        <v>1.6666666666666667</v>
      </c>
      <c r="E38" s="1312">
        <v>10</v>
      </c>
      <c r="F38" s="1313">
        <v>10</v>
      </c>
      <c r="G38" s="1312">
        <v>10</v>
      </c>
      <c r="H38" s="1313">
        <v>10</v>
      </c>
      <c r="I38" s="34"/>
    </row>
    <row r="39" spans="1:9" s="34" customFormat="1" ht="20.25" customHeight="1">
      <c r="A39" s="868" t="s">
        <v>452</v>
      </c>
      <c r="B39" s="925">
        <f t="array" ref="B39:H39">IF(B31:H31=0,0,TEXT(PMT(B32:H32/B35:H35,B34:H34,-B31:H31),"#.##0,#0")&amp;VLOOKUP(B35:H35,periodicidad,2))</f>
        <v>0</v>
      </c>
      <c r="C39" s="925">
        <v>0</v>
      </c>
      <c r="D39" s="925">
        <v>0</v>
      </c>
      <c r="E39" s="924">
        <v>0</v>
      </c>
      <c r="F39" s="925">
        <v>0</v>
      </c>
      <c r="G39" s="924">
        <v>0</v>
      </c>
      <c r="H39" s="925">
        <v>0</v>
      </c>
    </row>
    <row r="40" spans="1:9" s="34" customFormat="1" ht="20.25" customHeight="1">
      <c r="A40" s="868" t="s">
        <v>76</v>
      </c>
      <c r="B40" s="1734">
        <f t="array" ref="B40:H40">IF(B35:H35*B34:H34=0,0,PMT(B32:H32/B35:H35,B34:H34,-B31:H31)*B34:H34)</f>
        <v>0</v>
      </c>
      <c r="C40" s="1734">
        <v>0</v>
      </c>
      <c r="D40" s="1734">
        <v>0</v>
      </c>
      <c r="E40" s="1733">
        <v>0</v>
      </c>
      <c r="F40" s="1734">
        <v>0</v>
      </c>
      <c r="G40" s="1733">
        <v>0</v>
      </c>
      <c r="H40" s="1734">
        <v>0</v>
      </c>
    </row>
    <row r="41" spans="1:9" s="34" customFormat="1" ht="20.25" customHeight="1">
      <c r="A41" s="868" t="s">
        <v>393</v>
      </c>
      <c r="B41" s="1734">
        <f t="array" ref="B41:H41">B40:H40-B31:H31</f>
        <v>0</v>
      </c>
      <c r="C41" s="1734">
        <v>0</v>
      </c>
      <c r="D41" s="1734">
        <v>0</v>
      </c>
      <c r="E41" s="1733">
        <v>0</v>
      </c>
      <c r="F41" s="1734">
        <v>0</v>
      </c>
      <c r="G41" s="1733">
        <v>0</v>
      </c>
      <c r="H41" s="1734">
        <v>0</v>
      </c>
    </row>
    <row r="42" spans="1:9" s="34" customFormat="1" ht="20.25" customHeight="1">
      <c r="A42" s="868" t="s">
        <v>168</v>
      </c>
      <c r="B42" s="1734">
        <v>0</v>
      </c>
      <c r="C42" s="1734">
        <f t="array" ref="C42:H42">C33:H33*C31:H31</f>
        <v>0</v>
      </c>
      <c r="D42" s="1734">
        <v>0</v>
      </c>
      <c r="E42" s="1733">
        <v>0</v>
      </c>
      <c r="F42" s="1734">
        <v>0</v>
      </c>
      <c r="G42" s="1733">
        <v>0</v>
      </c>
      <c r="H42" s="1734">
        <v>0</v>
      </c>
    </row>
    <row r="43" spans="1:9" s="34" customFormat="1" ht="20.25" customHeight="1">
      <c r="A43" s="868" t="s">
        <v>455</v>
      </c>
      <c r="B43" s="1734">
        <v>0</v>
      </c>
      <c r="C43" s="1734">
        <f t="array" ref="C43:H43">C31:H31*C32:H32/C35:H35*C36:H36</f>
        <v>0</v>
      </c>
      <c r="D43" s="1734">
        <v>0</v>
      </c>
      <c r="E43" s="1733">
        <v>0</v>
      </c>
      <c r="F43" s="1734">
        <v>0</v>
      </c>
      <c r="G43" s="1733">
        <v>0</v>
      </c>
      <c r="H43" s="1734">
        <v>0</v>
      </c>
    </row>
    <row r="44" spans="1:9" ht="20.25" customHeight="1" thickBot="1">
      <c r="A44" s="926" t="s">
        <v>169</v>
      </c>
      <c r="B44" s="1736">
        <f t="array" ref="B44:H44">B43:H43+B41:H41+B42:H42</f>
        <v>0</v>
      </c>
      <c r="C44" s="1736">
        <v>0</v>
      </c>
      <c r="D44" s="1736">
        <v>0</v>
      </c>
      <c r="E44" s="1735">
        <v>0</v>
      </c>
      <c r="F44" s="1736">
        <v>0</v>
      </c>
      <c r="G44" s="1735">
        <v>0</v>
      </c>
      <c r="H44" s="1736">
        <v>0</v>
      </c>
    </row>
    <row r="46" spans="1:9" ht="15.75" thickBot="1"/>
    <row r="47" spans="1:9" s="34" customFormat="1" ht="32.25" customHeight="1" thickBot="1">
      <c r="A47" s="1386" t="s">
        <v>707</v>
      </c>
      <c r="B47" s="1386"/>
      <c r="C47" s="1387"/>
      <c r="D47" s="1387"/>
      <c r="E47" s="1387"/>
      <c r="F47" s="1387"/>
      <c r="G47" s="1387"/>
      <c r="H47" s="1387"/>
    </row>
    <row r="48" spans="1:9" s="34" customFormat="1" ht="36.75" customHeight="1" thickBot="1">
      <c r="A48" s="1811"/>
      <c r="B48" s="2323"/>
      <c r="D48" s="671" t="str">
        <f t="array" ref="D48:H48">anni</f>
        <v>Año 0:  2026</v>
      </c>
      <c r="E48" s="671" t="str">
        <v>Año 1:  2027</v>
      </c>
      <c r="F48" s="671" t="str">
        <v>Año 2:  2028</v>
      </c>
      <c r="G48" s="671" t="str">
        <v>Año 3:  2029</v>
      </c>
      <c r="H48" s="671" t="str">
        <v>Año 4:  2030</v>
      </c>
    </row>
    <row r="49" spans="1:9" ht="21" customHeight="1">
      <c r="A49" s="1812" t="s">
        <v>710</v>
      </c>
      <c r="B49" s="2321"/>
      <c r="C49" s="1815"/>
      <c r="D49" s="2047">
        <v>0</v>
      </c>
      <c r="E49" s="2048">
        <f t="shared" ref="E49:H50" si="2">D49</f>
        <v>0</v>
      </c>
      <c r="F49" s="2048">
        <f t="shared" si="2"/>
        <v>0</v>
      </c>
      <c r="G49" s="2048">
        <f t="shared" si="2"/>
        <v>0</v>
      </c>
      <c r="H49" s="2048">
        <f t="shared" si="2"/>
        <v>0</v>
      </c>
    </row>
    <row r="50" spans="1:9" ht="21" customHeight="1">
      <c r="A50" s="2507" t="s">
        <v>1041</v>
      </c>
      <c r="B50" s="2508"/>
      <c r="C50" s="2509"/>
      <c r="D50" s="826">
        <v>5.0000000000000001E-3</v>
      </c>
      <c r="E50" s="826">
        <f t="shared" si="2"/>
        <v>5.0000000000000001E-3</v>
      </c>
      <c r="F50" s="826">
        <f t="shared" si="2"/>
        <v>5.0000000000000001E-3</v>
      </c>
      <c r="G50" s="826">
        <f t="shared" si="2"/>
        <v>5.0000000000000001E-3</v>
      </c>
      <c r="H50" s="826">
        <f t="shared" si="2"/>
        <v>5.0000000000000001E-3</v>
      </c>
    </row>
    <row r="51" spans="1:9" s="34" customFormat="1" ht="22.5" customHeight="1">
      <c r="A51" s="1813" t="s">
        <v>708</v>
      </c>
      <c r="B51" s="2322"/>
      <c r="C51" s="1816"/>
      <c r="D51" s="826">
        <v>7.0000000000000007E-2</v>
      </c>
      <c r="E51" s="826">
        <f t="shared" ref="E51:H52" si="3">D51</f>
        <v>7.0000000000000007E-2</v>
      </c>
      <c r="F51" s="826">
        <f t="shared" si="3"/>
        <v>7.0000000000000007E-2</v>
      </c>
      <c r="G51" s="826">
        <f t="shared" si="3"/>
        <v>7.0000000000000007E-2</v>
      </c>
      <c r="H51" s="826">
        <f t="shared" si="3"/>
        <v>7.0000000000000007E-2</v>
      </c>
    </row>
    <row r="52" spans="1:9" ht="24" customHeight="1" thickBot="1">
      <c r="A52" s="1814" t="s">
        <v>709</v>
      </c>
      <c r="B52" s="2324"/>
      <c r="C52" s="1817"/>
      <c r="D52" s="1371">
        <v>0.02</v>
      </c>
      <c r="E52" s="1371">
        <f t="shared" si="3"/>
        <v>0.02</v>
      </c>
      <c r="F52" s="1371">
        <f t="shared" si="3"/>
        <v>0.02</v>
      </c>
      <c r="G52" s="1371">
        <f t="shared" si="3"/>
        <v>0.02</v>
      </c>
      <c r="H52" s="1371">
        <f t="shared" si="3"/>
        <v>0.02</v>
      </c>
    </row>
    <row r="53" spans="1:9" ht="18">
      <c r="A53" s="1530" t="s">
        <v>726</v>
      </c>
      <c r="B53" s="1530"/>
      <c r="C53" s="1531"/>
      <c r="D53" s="1314">
        <f t="array" ref="D53:H53" ca="1">D27:H27</f>
        <v>2000</v>
      </c>
      <c r="E53" s="1314">
        <f ca="1"/>
        <v>0</v>
      </c>
      <c r="F53" s="1314">
        <f ca="1"/>
        <v>0</v>
      </c>
      <c r="G53" s="1314">
        <f ca="1"/>
        <v>0</v>
      </c>
      <c r="H53" s="1314">
        <f ca="1"/>
        <v>0</v>
      </c>
      <c r="I53" s="1370">
        <f ca="1">I27</f>
        <v>0</v>
      </c>
    </row>
    <row r="54" spans="1:9" ht="15.75" thickBot="1"/>
    <row r="55" spans="1:9" ht="29.25" customHeight="1" thickBot="1">
      <c r="A55" s="1388" t="s">
        <v>689</v>
      </c>
      <c r="B55" s="1367"/>
      <c r="C55" s="1737"/>
      <c r="D55" s="1367"/>
      <c r="E55" s="817"/>
      <c r="F55" s="817"/>
      <c r="G55" s="817"/>
      <c r="H55" s="818"/>
    </row>
    <row r="56" spans="1:9" ht="33.75" customHeight="1" thickBot="1">
      <c r="A56" s="1368"/>
      <c r="B56" s="671" t="str">
        <f>+$C$13</f>
        <v>Previo al inicio
(Bal. Previo)</v>
      </c>
      <c r="C56" s="671" t="str">
        <f>CONCATENATE("Leasing 1 ",Parametros!B77)</f>
        <v>Leasing 1 Año 0:  2026</v>
      </c>
      <c r="D56" s="671" t="str">
        <f>SUBSTITUTE(C56,"ing 1","ing 2")</f>
        <v>Leasing 2 Año 0:  2026</v>
      </c>
      <c r="E56" s="671" t="str">
        <f t="array" ref="E56:H56">E$13:H$13</f>
        <v>Año 1:  2027</v>
      </c>
      <c r="F56" s="671" t="str">
        <v>Año 2:  2028</v>
      </c>
      <c r="G56" s="671" t="str">
        <v>Año 3:  2029</v>
      </c>
      <c r="H56" s="671" t="str">
        <v>Año 4:  2030</v>
      </c>
    </row>
    <row r="57" spans="1:9" ht="18.75" customHeight="1">
      <c r="A57" s="1712" t="s">
        <v>161</v>
      </c>
      <c r="B57" s="2419">
        <f>+'Bal. Inicial Previo'!H47</f>
        <v>0</v>
      </c>
      <c r="C57" s="2051">
        <v>0</v>
      </c>
      <c r="D57" s="2051">
        <v>0</v>
      </c>
      <c r="E57" s="2051">
        <v>0</v>
      </c>
      <c r="F57" s="2051">
        <v>0</v>
      </c>
      <c r="G57" s="2051">
        <v>0</v>
      </c>
      <c r="H57" s="2051">
        <v>0</v>
      </c>
      <c r="I57" s="1846"/>
    </row>
    <row r="58" spans="1:9" ht="18.75" customHeight="1">
      <c r="A58" s="1712" t="s">
        <v>406</v>
      </c>
      <c r="B58" s="2420">
        <f>+'Bal. Inicial Previo'!H48</f>
        <v>0.12</v>
      </c>
      <c r="C58" s="826">
        <v>0.15</v>
      </c>
      <c r="D58" s="826">
        <v>0.15</v>
      </c>
      <c r="E58" s="826">
        <f>D58</f>
        <v>0.15</v>
      </c>
      <c r="F58" s="819">
        <f>E58</f>
        <v>0.15</v>
      </c>
      <c r="G58" s="826">
        <f>F58</f>
        <v>0.15</v>
      </c>
      <c r="H58" s="822">
        <f>G58</f>
        <v>0.15</v>
      </c>
      <c r="I58" s="1846"/>
    </row>
    <row r="59" spans="1:9" ht="18.75" customHeight="1">
      <c r="A59" s="1712" t="s">
        <v>160</v>
      </c>
      <c r="B59" s="2421">
        <f>+'Bal. Inicial Previo'!H49</f>
        <v>0</v>
      </c>
      <c r="C59" s="1714">
        <v>0</v>
      </c>
      <c r="D59" s="1714">
        <v>0</v>
      </c>
      <c r="E59" s="1714">
        <v>0</v>
      </c>
      <c r="F59" s="1715">
        <v>0</v>
      </c>
      <c r="G59" s="1714">
        <v>0</v>
      </c>
      <c r="H59" s="1716">
        <v>0</v>
      </c>
      <c r="I59" s="1846"/>
    </row>
    <row r="60" spans="1:9" ht="18.75" customHeight="1">
      <c r="A60" s="1712" t="s">
        <v>168</v>
      </c>
      <c r="B60" s="2325">
        <v>0</v>
      </c>
      <c r="C60" s="826">
        <v>5.0000000000000001E-3</v>
      </c>
      <c r="D60" s="826">
        <v>5.0000000000000001E-3</v>
      </c>
      <c r="E60" s="826">
        <f>D60</f>
        <v>5.0000000000000001E-3</v>
      </c>
      <c r="F60" s="826">
        <f>E60</f>
        <v>5.0000000000000001E-3</v>
      </c>
      <c r="G60" s="826">
        <f>F60</f>
        <v>5.0000000000000001E-3</v>
      </c>
      <c r="H60" s="826">
        <f>G60</f>
        <v>5.0000000000000001E-3</v>
      </c>
    </row>
    <row r="61" spans="1:9" ht="18.75" customHeight="1">
      <c r="A61" s="1721" t="s">
        <v>99</v>
      </c>
      <c r="B61" s="2422">
        <f>+'Bal. Inicial Previo'!H50</f>
        <v>60</v>
      </c>
      <c r="C61" s="827">
        <f t="shared" ref="C61:H61" si="4">12*5</f>
        <v>60</v>
      </c>
      <c r="D61" s="827">
        <f t="shared" si="4"/>
        <v>60</v>
      </c>
      <c r="E61" s="827">
        <f t="shared" si="4"/>
        <v>60</v>
      </c>
      <c r="F61" s="820">
        <f t="shared" si="4"/>
        <v>60</v>
      </c>
      <c r="G61" s="827">
        <f t="shared" si="4"/>
        <v>60</v>
      </c>
      <c r="H61" s="824">
        <f t="shared" si="4"/>
        <v>60</v>
      </c>
    </row>
    <row r="62" spans="1:9" ht="18.75" customHeight="1">
      <c r="A62" s="1712" t="s">
        <v>648</v>
      </c>
      <c r="B62" s="2422">
        <f>+'Bal. Inicial Previo'!H51</f>
        <v>12</v>
      </c>
      <c r="C62" s="827">
        <v>12</v>
      </c>
      <c r="D62" s="827">
        <v>12</v>
      </c>
      <c r="E62" s="827">
        <v>12</v>
      </c>
      <c r="F62" s="820">
        <v>12</v>
      </c>
      <c r="G62" s="827">
        <v>12</v>
      </c>
      <c r="H62" s="824">
        <v>12</v>
      </c>
    </row>
    <row r="63" spans="1:9" ht="11.25" customHeight="1" thickBot="1">
      <c r="A63" s="1713"/>
      <c r="B63" s="1713"/>
      <c r="C63" s="828"/>
      <c r="D63" s="828"/>
      <c r="E63" s="828"/>
      <c r="F63" s="821"/>
      <c r="G63" s="828"/>
      <c r="H63" s="825"/>
    </row>
    <row r="64" spans="1:9" ht="18.75" customHeight="1" thickBot="1">
      <c r="A64" s="1369" t="s">
        <v>452</v>
      </c>
      <c r="B64" s="1369"/>
      <c r="C64" s="1738">
        <f t="shared" ref="C64:H64" si="5">IF(C57&gt;0,TEXT(PMT(C58/12,C61,-C57,C59),"#.##0,00")&amp;VLOOKUP(C62,periodicidad,2,1),0)</f>
        <v>0</v>
      </c>
      <c r="D64" s="1738">
        <f t="shared" si="5"/>
        <v>0</v>
      </c>
      <c r="E64" s="1738">
        <f t="shared" si="5"/>
        <v>0</v>
      </c>
      <c r="F64" s="1739">
        <f t="shared" si="5"/>
        <v>0</v>
      </c>
      <c r="G64" s="1738">
        <f t="shared" si="5"/>
        <v>0</v>
      </c>
      <c r="H64" s="1740">
        <f t="shared" si="5"/>
        <v>0</v>
      </c>
    </row>
    <row r="65" spans="1:8" ht="18.75" thickBot="1">
      <c r="D65" s="1323" t="str">
        <f>IF(MAX(C59-C57,D59-D57,E59-E57,F59-F57,G59-G57,H59-H57)&gt;0.4,"ERROR: Algún Leasing tiene valor residual superior al Principal ","")</f>
        <v/>
      </c>
    </row>
    <row r="66" spans="1:8" ht="32.25" customHeight="1" thickBot="1">
      <c r="A66" s="1388" t="s">
        <v>912</v>
      </c>
      <c r="B66" s="1367"/>
      <c r="C66" s="1737"/>
      <c r="D66" s="1367"/>
      <c r="E66" s="817"/>
      <c r="F66" s="817"/>
      <c r="G66" s="817"/>
      <c r="H66" s="2011" t="s">
        <v>913</v>
      </c>
    </row>
    <row r="67" spans="1:8" ht="35.25" customHeight="1" thickBot="1">
      <c r="A67" s="1368"/>
      <c r="B67" s="671" t="str">
        <f>+$C$13</f>
        <v>Previo al inicio
(Bal. Previo)</v>
      </c>
      <c r="C67" s="1385" t="str">
        <f>SUBSTITUTE(C56,"Leasing","Renting")</f>
        <v>Renting 1 Año 0:  2026</v>
      </c>
      <c r="D67" s="1385" t="str">
        <f>SUBSTITUTE(C67,"ing 1","ing 2")</f>
        <v>Renting 2 Año 0:  2026</v>
      </c>
      <c r="E67" s="671" t="str">
        <f t="array" ref="E67:H67">E$13:H$13</f>
        <v>Año 1:  2027</v>
      </c>
      <c r="F67" s="671" t="str">
        <v>Año 2:  2028</v>
      </c>
      <c r="G67" s="671" t="str">
        <v>Año 3:  2029</v>
      </c>
      <c r="H67" s="671" t="str">
        <v>Año 4:  2030</v>
      </c>
    </row>
    <row r="68" spans="1:8" ht="21" customHeight="1">
      <c r="A68" s="1712" t="s">
        <v>161</v>
      </c>
      <c r="B68" s="2419">
        <v>0</v>
      </c>
      <c r="C68" s="2051">
        <v>0</v>
      </c>
      <c r="D68" s="2051">
        <v>0</v>
      </c>
      <c r="E68" s="2051">
        <v>0</v>
      </c>
      <c r="F68" s="2051">
        <v>0</v>
      </c>
      <c r="G68" s="2051">
        <v>0</v>
      </c>
      <c r="H68" s="2052">
        <v>0</v>
      </c>
    </row>
    <row r="69" spans="1:8" ht="21" customHeight="1">
      <c r="A69" s="1712" t="s">
        <v>406</v>
      </c>
      <c r="B69" s="2420">
        <f>+'Bal. Inicial Previo'!D54</f>
        <v>0.18</v>
      </c>
      <c r="C69" s="826">
        <v>0.18</v>
      </c>
      <c r="D69" s="826">
        <v>0.15</v>
      </c>
      <c r="E69" s="826">
        <f t="shared" ref="E69:H70" si="6">D69</f>
        <v>0.15</v>
      </c>
      <c r="F69" s="819">
        <f t="shared" si="6"/>
        <v>0.15</v>
      </c>
      <c r="G69" s="826">
        <f t="shared" si="6"/>
        <v>0.15</v>
      </c>
      <c r="H69" s="822">
        <f t="shared" si="6"/>
        <v>0.15</v>
      </c>
    </row>
    <row r="70" spans="1:8" ht="21" customHeight="1">
      <c r="A70" s="1712" t="s">
        <v>168</v>
      </c>
      <c r="B70" s="2325">
        <v>0</v>
      </c>
      <c r="C70" s="826">
        <v>5.0000000000000001E-3</v>
      </c>
      <c r="D70" s="826">
        <v>5.0000000000000001E-3</v>
      </c>
      <c r="E70" s="826">
        <f t="shared" si="6"/>
        <v>5.0000000000000001E-3</v>
      </c>
      <c r="F70" s="826">
        <f t="shared" si="6"/>
        <v>5.0000000000000001E-3</v>
      </c>
      <c r="G70" s="826">
        <f t="shared" si="6"/>
        <v>5.0000000000000001E-3</v>
      </c>
      <c r="H70" s="826">
        <f t="shared" si="6"/>
        <v>5.0000000000000001E-3</v>
      </c>
    </row>
    <row r="71" spans="1:8" ht="20.25" customHeight="1">
      <c r="A71" s="1721" t="s">
        <v>99</v>
      </c>
      <c r="B71" s="2422">
        <f>+'Bal. Inicial Previo'!D55</f>
        <v>60</v>
      </c>
      <c r="C71" s="827">
        <f t="shared" ref="C71:H71" si="7">12*3</f>
        <v>36</v>
      </c>
      <c r="D71" s="827">
        <f t="shared" si="7"/>
        <v>36</v>
      </c>
      <c r="E71" s="827">
        <f t="shared" si="7"/>
        <v>36</v>
      </c>
      <c r="F71" s="820">
        <f t="shared" si="7"/>
        <v>36</v>
      </c>
      <c r="G71" s="827">
        <f t="shared" si="7"/>
        <v>36</v>
      </c>
      <c r="H71" s="824">
        <f t="shared" si="7"/>
        <v>36</v>
      </c>
    </row>
    <row r="72" spans="1:8" ht="18.75" customHeight="1">
      <c r="A72" s="1712" t="s">
        <v>649</v>
      </c>
      <c r="B72" s="2422">
        <f>+'Bal. Inicial Previo'!D56</f>
        <v>12</v>
      </c>
      <c r="C72" s="827">
        <v>12</v>
      </c>
      <c r="D72" s="827">
        <v>12</v>
      </c>
      <c r="E72" s="827">
        <v>12</v>
      </c>
      <c r="F72" s="820">
        <v>12</v>
      </c>
      <c r="G72" s="827">
        <v>12</v>
      </c>
      <c r="H72" s="824">
        <v>12</v>
      </c>
    </row>
    <row r="73" spans="1:8" ht="9" customHeight="1" thickBot="1">
      <c r="A73" s="1713"/>
      <c r="B73" s="1713"/>
      <c r="C73" s="828"/>
      <c r="D73" s="828"/>
      <c r="E73" s="828"/>
      <c r="F73" s="821"/>
      <c r="G73" s="828"/>
      <c r="H73" s="825"/>
    </row>
    <row r="74" spans="1:8" ht="19.5" customHeight="1" thickBot="1">
      <c r="A74" s="1369" t="s">
        <v>452</v>
      </c>
      <c r="B74" s="1369"/>
      <c r="C74" s="1741">
        <f t="array" ref="C74:H74">IF(C68:H68&gt;0,TEXT(PMT(C69:H69/12,C71:H71,-C68:H68),"#.##0,00")&amp;VLOOKUP(C72:H72,periodicidad,2),0)</f>
        <v>0</v>
      </c>
      <c r="D74" s="1741">
        <v>0</v>
      </c>
      <c r="E74" s="1741">
        <v>0</v>
      </c>
      <c r="F74" s="1742">
        <v>0</v>
      </c>
      <c r="G74" s="1741">
        <v>0</v>
      </c>
      <c r="H74" s="1743">
        <v>0</v>
      </c>
    </row>
    <row r="76" spans="1:8" ht="18">
      <c r="A76" s="927" t="s">
        <v>667</v>
      </c>
      <c r="B76" s="927"/>
      <c r="D76" s="1323" t="str">
        <f>IF(MIN(Financiación!C71:H71)/12&lt;2,"ERROR: Los Renting deben ser de al menos 2 años de duración","")</f>
        <v/>
      </c>
    </row>
    <row r="77" spans="1:8">
      <c r="A77" s="928" t="s">
        <v>1020</v>
      </c>
      <c r="B77" s="928"/>
    </row>
    <row r="78" spans="1:8">
      <c r="A78" s="928" t="s">
        <v>1021</v>
      </c>
      <c r="B78" s="928"/>
    </row>
    <row r="79" spans="1:8">
      <c r="A79" s="928" t="s">
        <v>474</v>
      </c>
      <c r="B79" s="928"/>
    </row>
    <row r="80" spans="1:8">
      <c r="A80" s="928" t="s">
        <v>656</v>
      </c>
      <c r="B80" s="928"/>
    </row>
    <row r="81" spans="1:10">
      <c r="A81" s="928" t="s">
        <v>646</v>
      </c>
      <c r="B81" s="928"/>
    </row>
    <row r="82" spans="1:10">
      <c r="A82" s="927"/>
      <c r="B82" s="927"/>
    </row>
    <row r="83" spans="1:10" ht="18.75" customHeight="1">
      <c r="A83" s="928"/>
      <c r="B83" s="928"/>
    </row>
    <row r="84" spans="1:10" s="1732" customFormat="1" ht="27" customHeight="1">
      <c r="A84" s="1730" t="s">
        <v>441</v>
      </c>
      <c r="B84" s="2391"/>
      <c r="C84" s="2391" t="str">
        <f ca="1">'Balances anuales'!D53</f>
        <v/>
      </c>
      <c r="D84" s="2391" t="str">
        <f ca="1">'Balances anuales'!F53</f>
        <v/>
      </c>
      <c r="E84" s="2391" t="str">
        <f ca="1">'Balances anuales'!H53</f>
        <v/>
      </c>
      <c r="F84" s="2391" t="str">
        <f ca="1">'Balances anuales'!J53</f>
        <v/>
      </c>
      <c r="G84" s="2391" t="str">
        <f ca="1">'Balances anuales'!L53</f>
        <v/>
      </c>
      <c r="H84" s="2391" t="str">
        <f ca="1">'Balances anuales'!N53</f>
        <v/>
      </c>
      <c r="I84" s="2391">
        <f ca="1">SUM(C84:H84)</f>
        <v>0</v>
      </c>
      <c r="J84" s="2391"/>
    </row>
  </sheetData>
  <sheetProtection sheet="1" objects="1" scenarios="1"/>
  <phoneticPr fontId="6" type="noConversion"/>
  <conditionalFormatting sqref="A27:C27 A53:C53">
    <cfRule type="expression" dxfId="40" priority="4" stopIfTrue="1">
      <formula>$I$27&lt;-0.4</formula>
    </cfRule>
  </conditionalFormatting>
  <conditionalFormatting sqref="A84:J84">
    <cfRule type="expression" dxfId="39" priority="2" stopIfTrue="1">
      <formula>$I$84&lt;&gt;0</formula>
    </cfRule>
  </conditionalFormatting>
  <conditionalFormatting sqref="C28">
    <cfRule type="expression" dxfId="38" priority="7" stopIfTrue="1">
      <formula>$D$28&lt;0</formula>
    </cfRule>
    <cfRule type="expression" dxfId="37" priority="8" stopIfTrue="1">
      <formula>$I$27&lt;0</formula>
    </cfRule>
  </conditionalFormatting>
  <conditionalFormatting sqref="D27:H27 D28 D53:H53">
    <cfRule type="cellIs" dxfId="36" priority="5" stopIfTrue="1" operator="lessThan">
      <formula>0</formula>
    </cfRule>
    <cfRule type="expression" dxfId="35" priority="6" stopIfTrue="1">
      <formula>$I$27&lt;0</formula>
    </cfRule>
  </conditionalFormatting>
  <conditionalFormatting sqref="F28">
    <cfRule type="expression" dxfId="34" priority="1" stopIfTrue="1">
      <formula>$I$27&lt;0</formula>
    </cfRule>
  </conditionalFormatting>
  <conditionalFormatting sqref="I27 I53">
    <cfRule type="expression" dxfId="33" priority="3" stopIfTrue="1">
      <formula>"""=suma($B$58:$F$58)&lt;0,5"""</formula>
    </cfRule>
  </conditionalFormatting>
  <dataValidations xWindow="575" yWindow="358" count="16">
    <dataValidation type="decimal" allowBlank="1" showInputMessage="1" showErrorMessage="1" error="El valor residual no puede ser negativo ni inferior al valor del principal." sqref="C59:H59" xr:uid="{00000000-0002-0000-0900-000000000000}">
      <formula1>0</formula1>
      <formula2>C57</formula2>
    </dataValidation>
    <dataValidation type="whole" operator="greaterThanOrEqual" allowBlank="1" showInputMessage="1" showErrorMessage="1" sqref="D14" xr:uid="{00000000-0002-0000-0900-000001000000}">
      <formula1>C11-C14</formula1>
    </dataValidation>
    <dataValidation type="decimal" allowBlank="1" showInputMessage="1" showErrorMessage="1" error="El importe a financiar mediante Leasing no puede ser superior a la inversión en Activos No corrientes del mismo año." sqref="H57" xr:uid="{00000000-0002-0000-0900-000002000000}">
      <formula1>0</formula1>
      <formula2>$H$6</formula2>
    </dataValidation>
    <dataValidation type="decimal" allowBlank="1" showInputMessage="1" showErrorMessage="1" sqref="D52:H52" xr:uid="{00000000-0002-0000-0900-000003000000}">
      <formula1>0</formula1>
      <formula2>D51</formula2>
    </dataValidation>
    <dataValidation type="list" allowBlank="1" showInputMessage="1" showErrorMessage="1" prompt="  1 = 1 solo pago anual_x000a_  2 = pagos semestrales_x000a_  3 = pagos cuatrimestrales_x000a_  4 = pagos trimestrales_x000a_  6 = pagos bimensuales_x000a_12 = pagos mensuales" sqref="C72:H72 C62:H62 D35:H35" xr:uid="{00000000-0002-0000-0900-000004000000}">
      <formula1>"1,2,3,4,6,12"</formula1>
    </dataValidation>
    <dataValidation type="whole" operator="greaterThanOrEqual" allowBlank="1" showInputMessage="1" showErrorMessage="1" sqref="C71:H71 C61:H61" xr:uid="{00000000-0002-0000-0900-000005000000}">
      <formula1>24</formula1>
    </dataValidation>
    <dataValidation type="decimal" operator="greaterThanOrEqual" allowBlank="1" showInputMessage="1" showErrorMessage="1" sqref="D19:H19 D21:H23 D17:H17 C68:H68" xr:uid="{00000000-0002-0000-0900-000006000000}">
      <formula1>0</formula1>
    </dataValidation>
    <dataValidation type="decimal" allowBlank="1" showInputMessage="1" showErrorMessage="1" sqref="C70:H70 C60:H60 C33:H33 D50:H50" xr:uid="{00000000-0002-0000-0900-000007000000}">
      <formula1>0</formula1>
      <formula2>0.05</formula2>
    </dataValidation>
    <dataValidation allowBlank="1" showInputMessage="1" showErrorMessage="1" prompt="Tipo nominal anual" sqref="E51:H51 D32:H32" xr:uid="{00000000-0002-0000-0900-000008000000}"/>
    <dataValidation type="decimal" allowBlank="1" showInputMessage="1" showErrorMessage="1" error="El importe a Financiar mediante Leasing no puede ser superior a la inversión en Activos No Corrientes." sqref="C57:D57" xr:uid="{00000000-0002-0000-0900-000009000000}">
      <formula1>0</formula1>
      <formula2>$D$6</formula2>
    </dataValidation>
    <dataValidation type="whole" allowBlank="1" showInputMessage="1" showErrorMessage="1" sqref="D36:H36" xr:uid="{00000000-0002-0000-0900-00000A000000}">
      <formula1>0</formula1>
      <formula2>plazo/npagos*12</formula2>
    </dataValidation>
    <dataValidation type="whole" allowBlank="1" showInputMessage="1" showErrorMessage="1" sqref="C34:H34" xr:uid="{00000000-0002-0000-0900-00000B000000}">
      <formula1>0</formula1>
      <formula2>400</formula2>
    </dataValidation>
    <dataValidation type="whole" operator="greaterThanOrEqual" allowBlank="1" showInputMessage="1" showErrorMessage="1" sqref="E14:H14" xr:uid="{00000000-0002-0000-0900-00000C000000}">
      <formula1>0</formula1>
    </dataValidation>
    <dataValidation type="decimal" allowBlank="1" showInputMessage="1" showErrorMessage="1" error="El importe a financiar mediante Leasing no puede ser superior a la inversión en Activos No corrientes del mismo año." sqref="E57" xr:uid="{00000000-0002-0000-0900-00000D000000}">
      <formula1>0</formula1>
      <formula2>$E$6</formula2>
    </dataValidation>
    <dataValidation type="decimal" allowBlank="1" showInputMessage="1" showErrorMessage="1" error="El importe a financiar mediante Leasing no puede ser superior a la inversión en Activos No corrientes del mismo año." sqref="F57" xr:uid="{00000000-0002-0000-0900-00000E000000}">
      <formula1>0</formula1>
      <formula2>$F$6</formula2>
    </dataValidation>
    <dataValidation type="decimal" allowBlank="1" showInputMessage="1" showErrorMessage="1" error="El importe a financiar mediante Leasing no puede ser superior a la inversión en Activos No corrientes del mismo año." sqref="G57" xr:uid="{00000000-0002-0000-0900-00000F000000}">
      <formula1>0</formula1>
      <formula2>$G$6</formula2>
    </dataValidation>
  </dataValidations>
  <printOptions horizontalCentered="1"/>
  <pageMargins left="0.78740157480314965" right="0.78740157480314965" top="0.5" bottom="0.6" header="0.37" footer="0.42"/>
  <pageSetup paperSize="9" scale="43" orientation="portrait" horizontalDpi="4294967292" verticalDpi="300" r:id="rId1"/>
  <headerFooter alignWithMargins="0">
    <oddFooter>&amp;C&amp;"Tahoma,Normal"&amp;10&amp;A</oddFooter>
  </headerFooter>
  <rowBreaks count="1" manualBreakCount="1">
    <brk id="10" max="6"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4">
    <tabColor indexed="42"/>
    <pageSetUpPr fitToPage="1"/>
  </sheetPr>
  <dimension ref="A1:E38"/>
  <sheetViews>
    <sheetView workbookViewId="0"/>
  </sheetViews>
  <sheetFormatPr baseColWidth="10" defaultColWidth="11" defaultRowHeight="15"/>
  <cols>
    <col min="1" max="1" width="61.125" style="20" customWidth="1"/>
    <col min="2" max="2" width="15.625" style="161" customWidth="1"/>
    <col min="3" max="3" width="17.125" style="20" customWidth="1"/>
    <col min="4" max="4" width="14.375" style="20" customWidth="1"/>
    <col min="5" max="5" width="17.75" style="20" customWidth="1"/>
    <col min="6" max="6" width="15" style="20" customWidth="1"/>
    <col min="7" max="7" width="17.625" style="20" customWidth="1"/>
    <col min="8" max="8" width="16" style="20" customWidth="1"/>
    <col min="9" max="16384" width="11" style="20"/>
  </cols>
  <sheetData>
    <row r="1" spans="1:5" ht="27">
      <c r="A1" s="25" t="s">
        <v>454</v>
      </c>
    </row>
    <row r="2" spans="1:5" ht="25.5">
      <c r="A2" s="561" t="str">
        <f>'Datos Básicos'!B9</f>
        <v>nombre empresa</v>
      </c>
    </row>
    <row r="3" spans="1:5" ht="26.25" thickBot="1">
      <c r="A3" s="17"/>
      <c r="D3" s="2440" t="str">
        <f>IF(consolidacion," (Bal. Previo)","")</f>
        <v/>
      </c>
    </row>
    <row r="4" spans="1:5" ht="45.75" customHeight="1" thickBot="1">
      <c r="A4" s="2171" t="s">
        <v>453</v>
      </c>
      <c r="B4" s="2172"/>
      <c r="C4" s="2173"/>
      <c r="D4" s="2173"/>
      <c r="E4" s="2173"/>
    </row>
    <row r="5" spans="1:5" s="656" customFormat="1" ht="30" customHeight="1" thickBot="1">
      <c r="A5" s="2176"/>
      <c r="B5" s="2848" t="s">
        <v>1107</v>
      </c>
      <c r="C5" s="2848" t="str">
        <f>"Inicio "&amp;'Datos Básicos'!$B$18</f>
        <v>Inicio Año 0</v>
      </c>
      <c r="D5" s="996" t="s">
        <v>11</v>
      </c>
      <c r="E5" s="2871" t="s">
        <v>438</v>
      </c>
    </row>
    <row r="6" spans="1:5" s="656" customFormat="1" ht="18" customHeight="1">
      <c r="A6" s="2158" t="s">
        <v>584</v>
      </c>
      <c r="B6" s="833">
        <f>SUM(B7:B14)</f>
        <v>0</v>
      </c>
      <c r="C6" s="833">
        <f>SUM(C7:C14)</f>
        <v>3000</v>
      </c>
      <c r="D6" s="833">
        <f>B6+C6</f>
        <v>3000</v>
      </c>
      <c r="E6" s="2159">
        <f t="array" aca="1" ref="E6:E14" ca="1">IF(D$32=0,"",D6:D14/$D$32)</f>
        <v>1</v>
      </c>
    </row>
    <row r="7" spans="1:5" s="656" customFormat="1" ht="18" customHeight="1">
      <c r="A7" s="1712" t="str">
        <f>Financiación!A14</f>
        <v>Fondo Social y ampliaciones de Fondo Social (aport. dinerarias)</v>
      </c>
      <c r="B7" s="832">
        <f>Financiación!C14</f>
        <v>0</v>
      </c>
      <c r="C7" s="832">
        <f>+Financiación!D14</f>
        <v>3000</v>
      </c>
      <c r="D7" s="832">
        <f>B7+C7</f>
        <v>3000</v>
      </c>
      <c r="E7" s="2160">
        <f ca="1"/>
        <v>1</v>
      </c>
    </row>
    <row r="8" spans="1:5" s="656" customFormat="1" ht="18" customHeight="1">
      <c r="A8" s="1712" t="str">
        <f>Financiación!A15</f>
        <v>Fondo Social y ampliaciones de Fondo Social (aport. en especie)</v>
      </c>
      <c r="B8" s="832">
        <f>Financiación!C15</f>
        <v>0</v>
      </c>
      <c r="C8" s="832">
        <f>+Financiación!D15</f>
        <v>0</v>
      </c>
      <c r="D8" s="832">
        <f t="shared" ref="D8:D14" si="0">B8+C8</f>
        <v>0</v>
      </c>
      <c r="E8" s="2160">
        <f ca="1"/>
        <v>0</v>
      </c>
    </row>
    <row r="9" spans="1:5" s="656" customFormat="1" ht="18" customHeight="1">
      <c r="A9" s="1712" t="str">
        <f>'Gastos Iniciales'!A7</f>
        <v>Gastos de Constitución</v>
      </c>
      <c r="B9" s="832">
        <v>0</v>
      </c>
      <c r="C9" s="832">
        <f>-'Gastos Iniciales'!B12</f>
        <v>0</v>
      </c>
      <c r="D9" s="832">
        <f t="shared" si="0"/>
        <v>0</v>
      </c>
      <c r="E9" s="2160">
        <f ca="1"/>
        <v>0</v>
      </c>
    </row>
    <row r="10" spans="1:5" s="656" customFormat="1" ht="18" customHeight="1">
      <c r="A10" s="2307" t="str">
        <f>"Res. anteriores (Reservas)" &amp;$D$3</f>
        <v>Res. anteriores (Reservas)</v>
      </c>
      <c r="B10" s="832">
        <f>IF('Bal. Inicial Previo'!H11&gt;0,'Bal. Inicial Previo'!H11,0)+'Bal. Inicial Previo'!H22</f>
        <v>0</v>
      </c>
      <c r="C10" s="832">
        <v>0</v>
      </c>
      <c r="D10" s="832">
        <f t="shared" si="0"/>
        <v>0</v>
      </c>
      <c r="E10" s="2160">
        <f ca="1"/>
        <v>0</v>
      </c>
    </row>
    <row r="11" spans="1:5" s="656" customFormat="1" ht="18" customHeight="1">
      <c r="A11" s="2307" t="str">
        <f>"Pérdidas acumuladas anteriores" &amp;$D$3</f>
        <v>Pérdidas acumuladas anteriores</v>
      </c>
      <c r="B11" s="832">
        <f>IF('Bal. Inicial Previo'!H11&lt;0,'Bal. Inicial Previo'!H11,0)</f>
        <v>0</v>
      </c>
      <c r="C11" s="832">
        <v>0</v>
      </c>
      <c r="D11" s="832">
        <f t="shared" si="0"/>
        <v>0</v>
      </c>
      <c r="E11" s="2160">
        <f ca="1"/>
        <v>0</v>
      </c>
    </row>
    <row r="12" spans="1:5" s="656" customFormat="1" ht="18" customHeight="1">
      <c r="A12" s="2307" t="str">
        <f>"Resultado del ejercicio anterior " &amp;$D$3</f>
        <v xml:space="preserve">Resultado del ejercicio anterior </v>
      </c>
      <c r="B12" s="832">
        <f>'Bal. Inicial Previo'!H12</f>
        <v>0</v>
      </c>
      <c r="C12" s="832">
        <v>0</v>
      </c>
      <c r="D12" s="832">
        <f t="shared" si="0"/>
        <v>0</v>
      </c>
      <c r="E12" s="2160">
        <f ca="1"/>
        <v>0</v>
      </c>
    </row>
    <row r="13" spans="1:5" s="656" customFormat="1" ht="18" customHeight="1">
      <c r="A13" s="2161" t="str">
        <f>+Financiación!A17</f>
        <v>Créditos / Préstamos de los socios</v>
      </c>
      <c r="B13" s="832">
        <f>Financiación!C17</f>
        <v>0</v>
      </c>
      <c r="C13" s="832">
        <f>Financiación!D17</f>
        <v>0</v>
      </c>
      <c r="D13" s="832">
        <f t="shared" si="0"/>
        <v>0</v>
      </c>
      <c r="E13" s="2160">
        <f ca="1"/>
        <v>0</v>
      </c>
    </row>
    <row r="14" spans="1:5" s="656" customFormat="1" ht="18" customHeight="1" thickBot="1">
      <c r="A14" s="2162" t="str">
        <f>+Financiación!A19</f>
        <v>Subvenciones</v>
      </c>
      <c r="B14" s="834">
        <f>Financiación!C19</f>
        <v>0</v>
      </c>
      <c r="C14" s="834">
        <f>Financiación!D19</f>
        <v>0</v>
      </c>
      <c r="D14" s="834">
        <f t="shared" si="0"/>
        <v>0</v>
      </c>
      <c r="E14" s="2163">
        <f ca="1"/>
        <v>0</v>
      </c>
    </row>
    <row r="15" spans="1:5" s="656" customFormat="1" ht="32.25" customHeight="1" thickBot="1">
      <c r="A15" s="2164"/>
      <c r="B15" s="45"/>
      <c r="C15" s="45"/>
      <c r="D15" s="45"/>
      <c r="E15" s="2165"/>
    </row>
    <row r="16" spans="1:5" s="657" customFormat="1" ht="18" customHeight="1">
      <c r="A16" s="2158" t="s">
        <v>9</v>
      </c>
      <c r="B16" s="833">
        <f>B17+B22</f>
        <v>0</v>
      </c>
      <c r="C16" s="833">
        <f ca="1">C17+C22</f>
        <v>0</v>
      </c>
      <c r="D16" s="833">
        <f ca="1">B16+C16</f>
        <v>0</v>
      </c>
      <c r="E16" s="2159">
        <f t="array" aca="1" ref="E16:E20" ca="1">IF(D$32=0,"",D16:D20/$D$32)</f>
        <v>0</v>
      </c>
    </row>
    <row r="17" spans="1:5" s="656" customFormat="1" ht="18" customHeight="1">
      <c r="A17" s="2166" t="s">
        <v>31</v>
      </c>
      <c r="B17" s="831">
        <f>SUM(B18:B20)</f>
        <v>0</v>
      </c>
      <c r="C17" s="831">
        <f>SUM(C18:C20)</f>
        <v>0</v>
      </c>
      <c r="D17" s="832">
        <f>B17+C17</f>
        <v>0</v>
      </c>
      <c r="E17" s="2167">
        <f ca="1"/>
        <v>0</v>
      </c>
    </row>
    <row r="18" spans="1:5" s="656" customFormat="1" ht="18" customHeight="1">
      <c r="A18" s="2161" t="s">
        <v>995</v>
      </c>
      <c r="B18" s="832">
        <f>+Financiación!B31-B23</f>
        <v>0</v>
      </c>
      <c r="C18" s="832">
        <f>SUM(Financiación!C31:D31)-C23</f>
        <v>0</v>
      </c>
      <c r="D18" s="832">
        <f>B18+C18</f>
        <v>0</v>
      </c>
      <c r="E18" s="2160">
        <f ca="1"/>
        <v>0</v>
      </c>
    </row>
    <row r="19" spans="1:5" s="656" customFormat="1" ht="18" customHeight="1">
      <c r="A19" s="2161" t="s">
        <v>989</v>
      </c>
      <c r="B19" s="832">
        <f>Financiación!B57-B24</f>
        <v>0</v>
      </c>
      <c r="C19" s="832">
        <f>+SUM(Financiación!C57:D57)-C24</f>
        <v>0</v>
      </c>
      <c r="D19" s="832">
        <f>B19+C19</f>
        <v>0</v>
      </c>
      <c r="E19" s="2170">
        <f ca="1"/>
        <v>0</v>
      </c>
    </row>
    <row r="20" spans="1:5" s="656" customFormat="1" ht="18" customHeight="1" thickBot="1">
      <c r="A20" s="2309" t="str">
        <f>"Otros Acreedores L.P. " &amp;$D$3</f>
        <v xml:space="preserve">Otros Acreedores L.P. </v>
      </c>
      <c r="B20" s="834">
        <f>+'Bal. Inicial Previo'!H20</f>
        <v>0</v>
      </c>
      <c r="C20" s="834">
        <v>0</v>
      </c>
      <c r="D20" s="834">
        <f>B20+C20</f>
        <v>0</v>
      </c>
      <c r="E20" s="2163">
        <f ca="1"/>
        <v>0</v>
      </c>
    </row>
    <row r="21" spans="1:5" s="656" customFormat="1" ht="15" customHeight="1" thickBot="1">
      <c r="A21" s="2164"/>
      <c r="B21" s="45"/>
      <c r="C21" s="45"/>
      <c r="D21" s="45"/>
      <c r="E21" s="2165"/>
    </row>
    <row r="22" spans="1:5" s="656" customFormat="1" ht="18" customHeight="1">
      <c r="A22" s="2168" t="s">
        <v>10</v>
      </c>
      <c r="B22" s="833">
        <f>SUM(B23:B30)</f>
        <v>0</v>
      </c>
      <c r="C22" s="833">
        <f ca="1">SUM(C23:C30)</f>
        <v>0</v>
      </c>
      <c r="D22" s="833">
        <f ca="1">B22+C22</f>
        <v>0</v>
      </c>
      <c r="E22" s="2159">
        <f t="array" aca="1" ref="E22:E30" ca="1">IF(D$32=0,"",D22:D30/$D$32)</f>
        <v>0</v>
      </c>
    </row>
    <row r="23" spans="1:5" s="656" customFormat="1" ht="18" customHeight="1">
      <c r="A23" s="2161" t="s">
        <v>996</v>
      </c>
      <c r="B23" s="832">
        <f>Préstamos!J5</f>
        <v>0</v>
      </c>
      <c r="C23" s="832">
        <f>Préstamos!N24-B23</f>
        <v>0</v>
      </c>
      <c r="D23" s="832">
        <f t="shared" ref="D23:D30" si="1">B23+C23</f>
        <v>0</v>
      </c>
      <c r="E23" s="2160">
        <f ca="1"/>
        <v>0</v>
      </c>
    </row>
    <row r="24" spans="1:5" s="656" customFormat="1" ht="18" customHeight="1">
      <c r="A24" s="2161" t="s">
        <v>990</v>
      </c>
      <c r="B24" s="832">
        <f>Leasing!J5</f>
        <v>0</v>
      </c>
      <c r="C24" s="832">
        <f>Leasing!N23-B24</f>
        <v>0</v>
      </c>
      <c r="D24" s="832">
        <f t="shared" si="1"/>
        <v>0</v>
      </c>
      <c r="E24" s="2160">
        <f ca="1"/>
        <v>0</v>
      </c>
    </row>
    <row r="25" spans="1:5" s="656" customFormat="1" ht="18" customHeight="1">
      <c r="A25" s="2307" t="str">
        <f>"Dispuesto crédito mes al inicio" &amp;$D$3</f>
        <v>Dispuesto crédito mes al inicio</v>
      </c>
      <c r="B25" s="832">
        <f>'Bal. Inicial Previo'!H27</f>
        <v>0</v>
      </c>
      <c r="C25" s="832">
        <v>0</v>
      </c>
      <c r="D25" s="832">
        <f t="shared" si="1"/>
        <v>0</v>
      </c>
      <c r="E25" s="2160">
        <f ca="1"/>
        <v>0</v>
      </c>
    </row>
    <row r="26" spans="1:5" s="656" customFormat="1" ht="18" customHeight="1">
      <c r="A26" s="2161" t="s">
        <v>890</v>
      </c>
      <c r="B26" s="832">
        <v>0</v>
      </c>
      <c r="C26" s="832">
        <f ca="1">'Distr CV 0'!B87+'Distr CV 0'!B106</f>
        <v>0</v>
      </c>
      <c r="D26" s="832">
        <f t="shared" ca="1" si="1"/>
        <v>0</v>
      </c>
      <c r="E26" s="2160">
        <f ca="1"/>
        <v>0</v>
      </c>
    </row>
    <row r="27" spans="1:5" s="656" customFormat="1" ht="18" customHeight="1">
      <c r="A27" s="2307" t="str">
        <f>"Proveedores" &amp;$D$3</f>
        <v>Proveedores</v>
      </c>
      <c r="B27" s="832">
        <f>'Bal. Inicial Previo'!H28</f>
        <v>0</v>
      </c>
      <c r="C27" s="832">
        <v>0</v>
      </c>
      <c r="D27" s="832">
        <f t="shared" si="1"/>
        <v>0</v>
      </c>
      <c r="E27" s="2160">
        <f ca="1"/>
        <v>0</v>
      </c>
    </row>
    <row r="28" spans="1:5" s="656" customFormat="1" ht="18" customHeight="1">
      <c r="A28" s="2307" t="str">
        <f>'Datos Básicos'!A28&amp;" pendiente de pago"&amp;$D$3</f>
        <v>IVA pendiente de pago</v>
      </c>
      <c r="B28" s="832">
        <f>'Bal. Inicial Previo'!H29</f>
        <v>0</v>
      </c>
      <c r="C28" s="832">
        <v>0</v>
      </c>
      <c r="D28" s="832">
        <f t="shared" si="1"/>
        <v>0</v>
      </c>
      <c r="E28" s="2160">
        <f ca="1"/>
        <v>0</v>
      </c>
    </row>
    <row r="29" spans="1:5" s="656" customFormat="1" ht="18" customHeight="1">
      <c r="A29" s="2308" t="str">
        <f>IF(Isoc&lt;&gt;0,'Datos Básicos'!$H$44,'Datos Básicos'!$I$43)&amp;"pend. pago"&amp;$D$3</f>
        <v>I.R.P.F.pend. pago</v>
      </c>
      <c r="B29" s="832">
        <f>'Bal. Inicial Previo'!H30</f>
        <v>0</v>
      </c>
      <c r="C29" s="832">
        <v>0</v>
      </c>
      <c r="D29" s="832">
        <f t="shared" si="1"/>
        <v>0</v>
      </c>
      <c r="E29" s="2170">
        <f ca="1"/>
        <v>0</v>
      </c>
    </row>
    <row r="30" spans="1:5" s="656" customFormat="1" ht="18" customHeight="1" thickBot="1">
      <c r="A30" s="2162" t="s">
        <v>233</v>
      </c>
      <c r="B30" s="834">
        <f>'Bal. Inicial Previo'!H31</f>
        <v>0</v>
      </c>
      <c r="C30" s="834">
        <f>'Gastos Fijos Datos'!C33*'Gastos Fijos Datos'!B21</f>
        <v>0</v>
      </c>
      <c r="D30" s="834">
        <f t="shared" si="1"/>
        <v>0</v>
      </c>
      <c r="E30" s="2163">
        <f ca="1"/>
        <v>0</v>
      </c>
    </row>
    <row r="31" spans="1:5" s="656" customFormat="1" ht="18" customHeight="1" thickBot="1">
      <c r="A31" s="2177"/>
      <c r="B31" s="45"/>
      <c r="C31" s="45"/>
      <c r="D31" s="45"/>
      <c r="E31" s="2178"/>
    </row>
    <row r="32" spans="1:5" s="835" customFormat="1" ht="24" customHeight="1" thickBot="1">
      <c r="A32" s="2174" t="s">
        <v>35</v>
      </c>
      <c r="B32" s="2849">
        <f>B16+B6</f>
        <v>0</v>
      </c>
      <c r="C32" s="2849">
        <f ca="1">C16+C6</f>
        <v>3000</v>
      </c>
      <c r="D32" s="2849">
        <f ca="1">D16+D6</f>
        <v>3000</v>
      </c>
      <c r="E32" s="2175">
        <f ca="1">IF(D$32=0,"",D32/$D$32)</f>
        <v>1</v>
      </c>
    </row>
    <row r="33" spans="1:5" s="656" customFormat="1" ht="18" customHeight="1">
      <c r="A33" s="657"/>
      <c r="B33" s="658"/>
      <c r="C33" s="659"/>
    </row>
    <row r="34" spans="1:5" s="656" customFormat="1" ht="18" customHeight="1">
      <c r="B34" s="1323" t="str">
        <f ca="1">IF('Inversiones AC'!I26-tesoreriasec+Financiación!D49&lt;-0.5,TEXT(tesoreriasec-'Inversiones AC'!I26-Financiación!D49,"#.##0 €")&amp;" de déficit de Financiación","")</f>
        <v/>
      </c>
      <c r="E34" s="20"/>
    </row>
    <row r="35" spans="1:5" ht="18" customHeight="1">
      <c r="B35" s="1323" t="str">
        <f ca="1">IF(B34&lt;&gt;"","Incrementar financiación inicial","")</f>
        <v/>
      </c>
    </row>
    <row r="36" spans="1:5" ht="18" customHeight="1">
      <c r="B36" s="1608">
        <f ca="1">D32-('Inversiones AC'!I28+Amortizaciones!B19-Amortizaciones!C19+'Gastos Iniciales'!B26)</f>
        <v>0</v>
      </c>
    </row>
    <row r="37" spans="1:5" ht="18">
      <c r="B37" s="1335" t="str">
        <f ca="1">IF(ABS(B36)&gt;0.4," DESCUADRE EN BALANCE INICIAL","")</f>
        <v/>
      </c>
    </row>
    <row r="38" spans="1:5" ht="18" customHeight="1">
      <c r="B38" s="1336" t="str">
        <f ca="1">IF(B37&lt;&gt;"",'Balances anuales'!D24-'Balances anuales'!D46,"")</f>
        <v/>
      </c>
    </row>
  </sheetData>
  <sheetProtection sheet="1" objects="1" scenarios="1"/>
  <phoneticPr fontId="6" type="noConversion"/>
  <printOptions horizontalCentered="1"/>
  <pageMargins left="0.78740157480314965" right="0.78740157480314965" top="0.46" bottom="0.53" header="0.37" footer="0.28999999999999998"/>
  <pageSetup paperSize="9" scale="71" orientation="landscape" horizontalDpi="4294967292" verticalDpi="300" r:id="rId1"/>
  <headerFooter alignWithMargins="0">
    <oddFooter>&amp;C&amp;"Tahoma,Normal"&amp;10&amp;A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56">
    <tabColor indexed="42"/>
    <pageSetUpPr fitToPage="1"/>
  </sheetPr>
  <dimension ref="A1:N63"/>
  <sheetViews>
    <sheetView workbookViewId="0"/>
  </sheetViews>
  <sheetFormatPr baseColWidth="10" defaultColWidth="11" defaultRowHeight="15"/>
  <cols>
    <col min="1" max="1" width="20.25" style="161" customWidth="1"/>
    <col min="2" max="7" width="14.375" style="161" customWidth="1"/>
    <col min="8" max="8" width="11.75" style="161" customWidth="1"/>
    <col min="9" max="9" width="11.875" style="161" customWidth="1"/>
    <col min="10" max="13" width="14.625" style="161" bestFit="1" customWidth="1"/>
    <col min="14" max="14" width="12.875" style="161" customWidth="1"/>
    <col min="15" max="16384" width="11" style="161"/>
  </cols>
  <sheetData>
    <row r="1" spans="1:10" ht="25.5">
      <c r="A1" s="164" t="s">
        <v>463</v>
      </c>
      <c r="E1" s="165"/>
      <c r="F1" s="166"/>
    </row>
    <row r="2" spans="1:10" ht="25.5">
      <c r="A2" s="164" t="str">
        <f>'Datos Básicos'!B9</f>
        <v>nombre empresa</v>
      </c>
      <c r="F2" s="164"/>
    </row>
    <row r="3" spans="1:10" ht="19.5" customHeight="1" thickBot="1">
      <c r="D3" s="162"/>
    </row>
    <row r="4" spans="1:10" s="3" customFormat="1" ht="36" customHeight="1" thickBot="1">
      <c r="A4" s="871" t="s">
        <v>490</v>
      </c>
      <c r="B4" s="878" t="str">
        <f t="array" ref="B4:H4">Financiación!B30:H30</f>
        <v>Previo al inicio
(Bal. Previo)</v>
      </c>
      <c r="C4" s="878" t="str">
        <v>Préstamo 1  Año 0:  2026</v>
      </c>
      <c r="D4" s="878" t="str">
        <v>Préstamo 2  Año 0:  2026</v>
      </c>
      <c r="E4" s="878" t="str">
        <v>Año 1:  2027</v>
      </c>
      <c r="F4" s="879" t="str">
        <v>Año 2:  2028</v>
      </c>
      <c r="G4" s="879" t="str">
        <v>Año 3:  2029</v>
      </c>
      <c r="H4" s="879" t="str">
        <v>Año 4:  2030</v>
      </c>
      <c r="J4" s="2850" t="s">
        <v>1110</v>
      </c>
    </row>
    <row r="5" spans="1:10" s="3" customFormat="1" ht="24.75" customHeight="1">
      <c r="A5" s="873" t="s">
        <v>465</v>
      </c>
      <c r="B5" s="872">
        <f t="array" ref="B5:H10">Financiación!B31:H36</f>
        <v>0</v>
      </c>
      <c r="C5" s="872">
        <v>0</v>
      </c>
      <c r="D5" s="872">
        <v>0</v>
      </c>
      <c r="E5" s="872">
        <v>0</v>
      </c>
      <c r="F5" s="872">
        <v>0</v>
      </c>
      <c r="G5" s="872">
        <v>0</v>
      </c>
      <c r="H5" s="872">
        <v>0</v>
      </c>
      <c r="J5" s="178">
        <f>-IFERROR(CUMPRINC(B6/B9,B8,B5,B17,B17-1+B9,0),0)</f>
        <v>0</v>
      </c>
    </row>
    <row r="6" spans="1:10" ht="18" customHeight="1">
      <c r="A6" s="1316" t="s">
        <v>464</v>
      </c>
      <c r="B6" s="869">
        <v>0.08</v>
      </c>
      <c r="C6" s="869">
        <v>0.06</v>
      </c>
      <c r="D6" s="869">
        <v>4.4999999999999998E-2</v>
      </c>
      <c r="E6" s="869">
        <v>4.4999999999999998E-2</v>
      </c>
      <c r="F6" s="869">
        <v>0.05</v>
      </c>
      <c r="G6" s="869">
        <v>0.05</v>
      </c>
      <c r="H6" s="869">
        <v>0.05</v>
      </c>
    </row>
    <row r="7" spans="1:10" ht="18" customHeight="1">
      <c r="A7" s="1316" t="s">
        <v>168</v>
      </c>
      <c r="B7" s="869">
        <v>0</v>
      </c>
      <c r="C7" s="869">
        <v>5.0000000000000001E-3</v>
      </c>
      <c r="D7" s="869">
        <v>5.0000000000000001E-3</v>
      </c>
      <c r="E7" s="869">
        <v>5.0000000000000001E-3</v>
      </c>
      <c r="F7" s="869">
        <v>5.0000000000000001E-3</v>
      </c>
      <c r="G7" s="869">
        <v>5.0000000000000001E-3</v>
      </c>
      <c r="H7" s="869">
        <v>5.0000000000000001E-3</v>
      </c>
    </row>
    <row r="8" spans="1:10" ht="18" customHeight="1">
      <c r="A8" s="1316" t="s">
        <v>99</v>
      </c>
      <c r="B8" s="870">
        <v>78</v>
      </c>
      <c r="C8" s="870">
        <v>120</v>
      </c>
      <c r="D8" s="870">
        <v>20</v>
      </c>
      <c r="E8" s="870">
        <v>120</v>
      </c>
      <c r="F8" s="870">
        <v>120</v>
      </c>
      <c r="G8" s="870">
        <v>120</v>
      </c>
      <c r="H8" s="870">
        <v>120</v>
      </c>
    </row>
    <row r="9" spans="1:10" ht="18" customHeight="1">
      <c r="A9" s="1316" t="s">
        <v>98</v>
      </c>
      <c r="B9" s="870">
        <v>4</v>
      </c>
      <c r="C9" s="870">
        <v>12</v>
      </c>
      <c r="D9" s="870">
        <v>12</v>
      </c>
      <c r="E9" s="870">
        <v>12</v>
      </c>
      <c r="F9" s="870">
        <v>12</v>
      </c>
      <c r="G9" s="870">
        <v>12</v>
      </c>
      <c r="H9" s="870">
        <v>12</v>
      </c>
    </row>
    <row r="10" spans="1:10" ht="19.5" customHeight="1" thickBot="1">
      <c r="A10" s="1315" t="s">
        <v>392</v>
      </c>
      <c r="B10" s="876">
        <v>0</v>
      </c>
      <c r="C10" s="876">
        <v>0</v>
      </c>
      <c r="D10" s="876">
        <v>0</v>
      </c>
      <c r="E10" s="876">
        <v>0</v>
      </c>
      <c r="F10" s="876">
        <v>0</v>
      </c>
      <c r="G10" s="876">
        <v>0</v>
      </c>
      <c r="H10" s="876">
        <v>0</v>
      </c>
    </row>
    <row r="11" spans="1:10" ht="19.5" customHeight="1" thickBot="1">
      <c r="F11" s="162"/>
    </row>
    <row r="12" spans="1:10" ht="19.5" customHeight="1" thickBot="1">
      <c r="A12" s="875" t="s">
        <v>462</v>
      </c>
      <c r="B12" s="874">
        <f t="array" ref="B12:H12">IF(ISERR(PMT(B$6:H6/B$9:H9,B$8:H8,-B$5:H5)),0,PMT(B$6:H6/B$9:H9,B$8:H8,-B$5:H5))</f>
        <v>0</v>
      </c>
      <c r="C12" s="874">
        <v>0</v>
      </c>
      <c r="D12" s="874">
        <v>0</v>
      </c>
      <c r="E12" s="874">
        <v>0</v>
      </c>
      <c r="F12" s="874">
        <v>0</v>
      </c>
      <c r="G12" s="874">
        <v>0</v>
      </c>
      <c r="H12" s="874">
        <v>0</v>
      </c>
    </row>
    <row r="13" spans="1:10" ht="19.5" customHeight="1" thickBot="1">
      <c r="D13" s="162"/>
      <c r="G13" s="162"/>
    </row>
    <row r="14" spans="1:10" ht="19.5" customHeight="1" thickBot="1">
      <c r="A14" s="1317" t="s">
        <v>457</v>
      </c>
      <c r="B14" s="877">
        <f t="array" ref="B14:H14">B10:H10*12/B9:H9</f>
        <v>0</v>
      </c>
      <c r="C14" s="877">
        <v>0</v>
      </c>
      <c r="D14" s="877">
        <v>0</v>
      </c>
      <c r="E14" s="877">
        <v>0</v>
      </c>
      <c r="F14" s="877">
        <v>0</v>
      </c>
      <c r="G14" s="877">
        <v>0</v>
      </c>
      <c r="H14" s="877">
        <v>0</v>
      </c>
    </row>
    <row r="15" spans="1:10" ht="19.5" customHeight="1" thickBot="1">
      <c r="A15" s="1317" t="s">
        <v>458</v>
      </c>
      <c r="B15" s="877">
        <f t="array" ref="B15:H15">B8:H8*12/B9:H9</f>
        <v>234</v>
      </c>
      <c r="C15" s="877">
        <v>120</v>
      </c>
      <c r="D15" s="877">
        <v>20</v>
      </c>
      <c r="E15" s="877">
        <v>120</v>
      </c>
      <c r="F15" s="877">
        <v>120</v>
      </c>
      <c r="G15" s="877">
        <v>120</v>
      </c>
      <c r="H15" s="877">
        <v>120</v>
      </c>
    </row>
    <row r="16" spans="1:10" ht="19.5" customHeight="1" thickBot="1">
      <c r="A16" s="1317" t="s">
        <v>459</v>
      </c>
      <c r="B16" s="877">
        <f>mes0</f>
        <v>1</v>
      </c>
      <c r="C16" s="877">
        <f>mes0</f>
        <v>1</v>
      </c>
      <c r="D16" s="877">
        <f>mes0</f>
        <v>1</v>
      </c>
      <c r="E16" s="877">
        <v>13</v>
      </c>
      <c r="F16" s="877">
        <v>25</v>
      </c>
      <c r="G16" s="877">
        <v>37</v>
      </c>
      <c r="H16" s="877">
        <v>49</v>
      </c>
    </row>
    <row r="17" spans="1:14" ht="19.5" customHeight="1" thickBot="1">
      <c r="A17" s="1317" t="s">
        <v>460</v>
      </c>
      <c r="B17" s="877">
        <f>mes0+B14</f>
        <v>1</v>
      </c>
      <c r="C17" s="877">
        <f>mes0+C14</f>
        <v>1</v>
      </c>
      <c r="D17" s="877">
        <f>mes0+D14</f>
        <v>1</v>
      </c>
      <c r="E17" s="877">
        <f t="array" ref="E17:H17">E16:H16+E14:H14</f>
        <v>13</v>
      </c>
      <c r="F17" s="877">
        <v>25</v>
      </c>
      <c r="G17" s="877">
        <v>37</v>
      </c>
      <c r="H17" s="877">
        <v>49</v>
      </c>
    </row>
    <row r="18" spans="1:14" ht="19.5" customHeight="1" thickBot="1">
      <c r="A18" s="1317" t="s">
        <v>461</v>
      </c>
      <c r="B18" s="877">
        <f t="array" ref="B18:H18">B17:H17+B15:H15-1</f>
        <v>234</v>
      </c>
      <c r="C18" s="877">
        <v>120</v>
      </c>
      <c r="D18" s="877">
        <v>20</v>
      </c>
      <c r="E18" s="877">
        <v>132</v>
      </c>
      <c r="F18" s="877">
        <v>144</v>
      </c>
      <c r="G18" s="877">
        <v>156</v>
      </c>
      <c r="H18" s="877">
        <v>168</v>
      </c>
    </row>
    <row r="19" spans="1:14" ht="19.5" customHeight="1">
      <c r="C19" s="162"/>
      <c r="F19" s="162"/>
    </row>
    <row r="20" spans="1:14" ht="19.5" customHeight="1" thickBot="1">
      <c r="A20" s="2727" t="str">
        <f>Parametros!$B$77</f>
        <v>Año 0:  2026</v>
      </c>
      <c r="B20" s="163"/>
      <c r="C20" s="162"/>
      <c r="D20" s="162"/>
      <c r="E20" s="162"/>
      <c r="F20" s="162"/>
      <c r="G20" s="162"/>
    </row>
    <row r="21" spans="1:14" s="3" customFormat="1" ht="19.5" customHeight="1" thickBot="1">
      <c r="A21" s="167" t="s">
        <v>391</v>
      </c>
      <c r="B21" s="168">
        <v>1</v>
      </c>
      <c r="C21" s="169">
        <v>2</v>
      </c>
      <c r="D21" s="169">
        <v>3</v>
      </c>
      <c r="E21" s="169">
        <v>4</v>
      </c>
      <c r="F21" s="169">
        <v>5</v>
      </c>
      <c r="G21" s="169">
        <v>6</v>
      </c>
      <c r="H21" s="169">
        <v>7</v>
      </c>
      <c r="I21" s="169">
        <v>8</v>
      </c>
      <c r="J21" s="169">
        <v>9</v>
      </c>
      <c r="K21" s="169">
        <v>10</v>
      </c>
      <c r="L21" s="169">
        <v>11</v>
      </c>
      <c r="M21" s="170">
        <v>12</v>
      </c>
      <c r="N21" s="171" t="s">
        <v>15</v>
      </c>
    </row>
    <row r="22" spans="1:14" s="3" customFormat="1" ht="19.5" customHeight="1">
      <c r="A22" s="172" t="s">
        <v>100</v>
      </c>
      <c r="B22" s="173">
        <f t="array" ref="B22:M22">B23:M23+B24:M24</f>
        <v>0</v>
      </c>
      <c r="C22" s="174">
        <v>0</v>
      </c>
      <c r="D22" s="174">
        <v>0</v>
      </c>
      <c r="E22" s="174">
        <v>0</v>
      </c>
      <c r="F22" s="174">
        <v>0</v>
      </c>
      <c r="G22" s="174">
        <v>0</v>
      </c>
      <c r="H22" s="174">
        <v>0</v>
      </c>
      <c r="I22" s="174">
        <v>0</v>
      </c>
      <c r="J22" s="174">
        <v>0</v>
      </c>
      <c r="K22" s="174">
        <v>0</v>
      </c>
      <c r="L22" s="174">
        <v>0</v>
      </c>
      <c r="M22" s="175">
        <v>0</v>
      </c>
      <c r="N22" s="176">
        <f>SUM(B22:M22)</f>
        <v>0</v>
      </c>
    </row>
    <row r="23" spans="1:14" s="3" customFormat="1" ht="19.5" customHeight="1">
      <c r="A23" s="177" t="s">
        <v>13</v>
      </c>
      <c r="B23" s="880">
        <f t="array" ref="B23:M23">IF(B21:M21=$B$16,$B$5*$B$7,0)+IF(B21:M21=$C$16,$C$5*$C$7,0)+IF(B21:M21=$D$16,$D$5*$D$7,0)
+IF(MOD((B21:M21-$B$16)*$B$9,12),0,IF(B21:M21&lt;$B$16,0,IF(B21:M21&lt;$B$17,$B$5*$B$6/$B$9,IF(B21:M21&lt;=$B$18,IPMT($B$6/$B$9,(B21:M21-$B$16)*$B$9/12-$B$10+1,$B$8,-$B$5),0))))
+IF(MOD((B21:M21-$C$16)*$C$9,12),0,IF(B21:M21&lt;$C$16,0,IF(B21:M21&lt;$C$17,$C$5*$C$6/$C$9,IF(B21:M21&lt;=$C$18,IPMT($C$6/$C$9,(B21:M21-$C$16)*$C$9/12-$C$10+1,$C$8,-$C$5),0))))
+IF(MOD((B21:M21-$D$16)*$D$9,12),0,IF(B21:M21&lt;$D$16,0,IF(B21:M21&lt;$D$17,$D$5*$D$6/$D$9,IF(B21:M21&lt;=$D$18,IPMT($D$6/$D$9,(B21:M21-$D$16)*$D$9/12-$D$10+1,$D$8,-$D$5),0))))</f>
        <v>0</v>
      </c>
      <c r="C23" s="178">
        <v>0</v>
      </c>
      <c r="D23" s="178">
        <v>0</v>
      </c>
      <c r="E23" s="178">
        <v>0</v>
      </c>
      <c r="F23" s="178">
        <v>0</v>
      </c>
      <c r="G23" s="178">
        <v>0</v>
      </c>
      <c r="H23" s="178">
        <v>0</v>
      </c>
      <c r="I23" s="178">
        <v>0</v>
      </c>
      <c r="J23" s="178">
        <v>0</v>
      </c>
      <c r="K23" s="178">
        <v>0</v>
      </c>
      <c r="L23" s="178">
        <v>0</v>
      </c>
      <c r="M23" s="179">
        <v>0</v>
      </c>
      <c r="N23" s="180">
        <f>SUM(B23:M23)</f>
        <v>0</v>
      </c>
    </row>
    <row r="24" spans="1:14" s="3" customFormat="1" ht="19.5" customHeight="1" thickBot="1">
      <c r="A24" s="182" t="s">
        <v>92</v>
      </c>
      <c r="B24" s="881">
        <f t="shared" ref="B24:M24" si="0">IF(AND(B21&gt;=$B$17,B21&lt;=$B$18,MOD((B21-$B$16)*$B$9,12)=0),PPMT($B$6/$B$9,(B21-$B$16)*$B$9/12-$B$10+1,$B$8,-$B$5),0)
+IF(AND(B21&gt;=$C$17,B21&lt;=$C$18,MOD((B21-$C$16)*$C$9,12)=0),PPMT($C$6/$C$9,(B21-$C$16)*$C$9/12-$C$10+1,$C$8,-$C$5),0)
+IF(AND(B21&gt;=$D$17,B21&lt;=$D$18,MOD((B21-$D$16)*$D$9,12)=0),PPMT($D$6/$D$9,(B21-$D$16)*$D$9/12-$D$10+1,$D$8,-$D$5),0)</f>
        <v>0</v>
      </c>
      <c r="C24" s="882">
        <f t="shared" si="0"/>
        <v>0</v>
      </c>
      <c r="D24" s="882">
        <f t="shared" si="0"/>
        <v>0</v>
      </c>
      <c r="E24" s="882">
        <f t="shared" si="0"/>
        <v>0</v>
      </c>
      <c r="F24" s="882">
        <f t="shared" si="0"/>
        <v>0</v>
      </c>
      <c r="G24" s="882">
        <f t="shared" si="0"/>
        <v>0</v>
      </c>
      <c r="H24" s="882">
        <f t="shared" si="0"/>
        <v>0</v>
      </c>
      <c r="I24" s="882">
        <f t="shared" si="0"/>
        <v>0</v>
      </c>
      <c r="J24" s="882">
        <f t="shared" si="0"/>
        <v>0</v>
      </c>
      <c r="K24" s="882">
        <f t="shared" si="0"/>
        <v>0</v>
      </c>
      <c r="L24" s="882">
        <f t="shared" si="0"/>
        <v>0</v>
      </c>
      <c r="M24" s="883">
        <f t="shared" si="0"/>
        <v>0</v>
      </c>
      <c r="N24" s="181">
        <f>SUM(B24:M24)</f>
        <v>0</v>
      </c>
    </row>
    <row r="25" spans="1:14" ht="19.5" customHeight="1">
      <c r="A25" s="24"/>
    </row>
    <row r="26" spans="1:14" ht="19.5" customHeight="1">
      <c r="C26" s="162"/>
    </row>
    <row r="27" spans="1:14" ht="19.5" customHeight="1" thickBot="1">
      <c r="A27" s="2727" t="str">
        <f>Parametros!$B$78</f>
        <v>Año 1:  2027</v>
      </c>
      <c r="B27" s="163"/>
      <c r="C27" s="162"/>
    </row>
    <row r="28" spans="1:14" s="3" customFormat="1" ht="19.5" customHeight="1" thickBot="1">
      <c r="A28" s="167" t="str">
        <f t="array" ref="A28:A30">A21:A23</f>
        <v>meses</v>
      </c>
      <c r="B28" s="168">
        <v>13</v>
      </c>
      <c r="C28" s="169">
        <v>14</v>
      </c>
      <c r="D28" s="169">
        <v>15</v>
      </c>
      <c r="E28" s="169">
        <v>16</v>
      </c>
      <c r="F28" s="169">
        <v>17</v>
      </c>
      <c r="G28" s="169">
        <v>18</v>
      </c>
      <c r="H28" s="169">
        <v>19</v>
      </c>
      <c r="I28" s="169">
        <v>20</v>
      </c>
      <c r="J28" s="169">
        <v>21</v>
      </c>
      <c r="K28" s="169">
        <v>22</v>
      </c>
      <c r="L28" s="169">
        <v>23</v>
      </c>
      <c r="M28" s="170">
        <v>24</v>
      </c>
      <c r="N28" s="171" t="s">
        <v>15</v>
      </c>
    </row>
    <row r="29" spans="1:14" s="3" customFormat="1" ht="19.5" customHeight="1">
      <c r="A29" s="172" t="str">
        <v>Pagos</v>
      </c>
      <c r="B29" s="173">
        <f t="array" ref="B29:M29">B30:M30+B32:M32</f>
        <v>0</v>
      </c>
      <c r="C29" s="174">
        <v>0</v>
      </c>
      <c r="D29" s="174">
        <v>0</v>
      </c>
      <c r="E29" s="174">
        <v>0</v>
      </c>
      <c r="F29" s="174">
        <v>0</v>
      </c>
      <c r="G29" s="174">
        <v>0</v>
      </c>
      <c r="H29" s="174">
        <v>0</v>
      </c>
      <c r="I29" s="174">
        <v>0</v>
      </c>
      <c r="J29" s="174">
        <v>0</v>
      </c>
      <c r="K29" s="174">
        <v>0</v>
      </c>
      <c r="L29" s="174">
        <v>0</v>
      </c>
      <c r="M29" s="175">
        <v>0</v>
      </c>
      <c r="N29" s="176">
        <f>SUM(B29:M29)</f>
        <v>0</v>
      </c>
    </row>
    <row r="30" spans="1:14" s="3" customFormat="1" ht="19.5" customHeight="1">
      <c r="A30" s="177" t="str">
        <v>Intereses</v>
      </c>
      <c r="B30" s="880">
        <f t="array" ref="B30:M30">IF(B28:M28=$E$16,$E$7*$E$5,0)
+IF(MOD((B28:M28-$B$16)*$B$9,12),0,IF(B28:M28&lt;$B$16,0,IF(B28:M28&lt;$B$17,$B$5*$B$6/$B$9,IF(B28:M28&lt;=$B$18,IPMT($B$6/$B$9,(B28:M28-$B$16)*$B$9/12-$B$10+1,$B$8,-$B$5),0))))
+IF(MOD((B28:M28-$C$16)*$C$9,12),0,IF(B28:M28&lt;$C$16,0,IF(B28:M28&lt;$C$17,$C$5*$C$6/$C$9,IF(B28:M28&lt;=$C$18,IPMT($C$6/$C$9,(B28:M28-$C$16)*$C$9/12-$C$10+1,$C$8,-$C$5),0))))
+IF(MOD((B28:M28-$D$16)*$D$9,12),0,IF(B28:M28&lt;$D$16,0,IF(B28:M28&lt;$D$17,$D$5*$D$6/$D$9,IF(B28:M28&lt;=$D$18,IPMT($D$6/$D$9,(B28:M28-$D$16)*$D$9/12-$D$10+1,$D$8,-$D$5),0))))
+IF(MOD((B28:M28-$E$16)*$E$9,12),0,IF(B28:M28&lt;$E$17,$E$5*$E$6/$E$9,IF(B28:M28&lt;=$E$18,IPMT($E$6/$E$9,(B28:M28-$E$16)*$E$9/12-$E$10+1,$E$8,-$E$5),0)))</f>
        <v>0</v>
      </c>
      <c r="C30" s="178">
        <v>0</v>
      </c>
      <c r="D30" s="178">
        <v>0</v>
      </c>
      <c r="E30" s="178">
        <v>0</v>
      </c>
      <c r="F30" s="178">
        <v>0</v>
      </c>
      <c r="G30" s="178">
        <v>0</v>
      </c>
      <c r="H30" s="178">
        <v>0</v>
      </c>
      <c r="I30" s="178">
        <v>0</v>
      </c>
      <c r="J30" s="178">
        <v>0</v>
      </c>
      <c r="K30" s="178">
        <v>0</v>
      </c>
      <c r="L30" s="178">
        <v>0</v>
      </c>
      <c r="M30" s="179">
        <v>0</v>
      </c>
      <c r="N30" s="180">
        <f>SUM(B30:M30)</f>
        <v>0</v>
      </c>
    </row>
    <row r="31" spans="1:14" s="3" customFormat="1" ht="19.5" customHeight="1">
      <c r="A31" s="2006" t="s">
        <v>897</v>
      </c>
      <c r="B31" s="2007">
        <f t="shared" ref="B31:M31" si="1">+IF(AND(B28&gt;=$E$17,B28&lt;=$E$18,MOD((B28-$E$16)*$E$9,12)=0),PPMT($E$6/$E$9,(B28-$E$16)*$E$9/12-$E$10+1,$E$8,-$E$5),0)</f>
        <v>0</v>
      </c>
      <c r="C31" s="2008">
        <f t="shared" si="1"/>
        <v>0</v>
      </c>
      <c r="D31" s="2008">
        <f t="shared" si="1"/>
        <v>0</v>
      </c>
      <c r="E31" s="2008">
        <f t="shared" si="1"/>
        <v>0</v>
      </c>
      <c r="F31" s="2008">
        <f t="shared" si="1"/>
        <v>0</v>
      </c>
      <c r="G31" s="2008">
        <f t="shared" si="1"/>
        <v>0</v>
      </c>
      <c r="H31" s="2008">
        <f t="shared" si="1"/>
        <v>0</v>
      </c>
      <c r="I31" s="2008">
        <f t="shared" si="1"/>
        <v>0</v>
      </c>
      <c r="J31" s="2008">
        <f t="shared" si="1"/>
        <v>0</v>
      </c>
      <c r="K31" s="2008">
        <f t="shared" si="1"/>
        <v>0</v>
      </c>
      <c r="L31" s="2008">
        <f t="shared" si="1"/>
        <v>0</v>
      </c>
      <c r="M31" s="2009">
        <f t="shared" si="1"/>
        <v>0</v>
      </c>
      <c r="N31" s="180">
        <f>SUM(B31:M31)</f>
        <v>0</v>
      </c>
    </row>
    <row r="32" spans="1:14" s="3" customFormat="1" ht="19.5" customHeight="1" thickBot="1">
      <c r="A32" s="182" t="str">
        <f>A24</f>
        <v>Amortizaciones</v>
      </c>
      <c r="B32" s="881">
        <f t="shared" ref="B32:M32" si="2">IF(AND(B28&gt;=$B$17,B28&lt;=$B$18,MOD((B28-$B$16)*$B$9,12)=0),PPMT($B$6/$B$9,(B28-$B$16)*$B$9/12-$B$10+1,$B$8,-$B$5),0)
+IF(AND(B28&gt;=$C$17,B28&lt;=$C$18,MOD((B28-$C$16)*$C$9,12)=0),PPMT($C$6/$C$9,(B28-$C$16)*$C$9/12-$C$10+1,$C$8,-$C$5),0)
+IF(AND(B28&gt;=$D$17,B28&lt;=$D$18,MOD((B28-$D$16)*$D$9,12)=0),PPMT($D$6/$D$9,(B28-$D$16)*$D$9/12-$D$10+1,$D$8,-$D$5),0)
+IF(AND(B28&gt;=$E$17,B28&lt;=$E$18,MOD((B28-$E$16)*$E$9,12)=0),PPMT($E$6/$E$9,(B28-$E$16)*$E$9/12-$E$10+1,$E$8,-$E$5),0)</f>
        <v>0</v>
      </c>
      <c r="C32" s="882">
        <f t="shared" si="2"/>
        <v>0</v>
      </c>
      <c r="D32" s="882">
        <f t="shared" si="2"/>
        <v>0</v>
      </c>
      <c r="E32" s="882">
        <f t="shared" si="2"/>
        <v>0</v>
      </c>
      <c r="F32" s="882">
        <f t="shared" si="2"/>
        <v>0</v>
      </c>
      <c r="G32" s="882">
        <f t="shared" si="2"/>
        <v>0</v>
      </c>
      <c r="H32" s="882">
        <f t="shared" si="2"/>
        <v>0</v>
      </c>
      <c r="I32" s="882">
        <f t="shared" si="2"/>
        <v>0</v>
      </c>
      <c r="J32" s="882">
        <f t="shared" si="2"/>
        <v>0</v>
      </c>
      <c r="K32" s="882">
        <f t="shared" si="2"/>
        <v>0</v>
      </c>
      <c r="L32" s="882">
        <f t="shared" si="2"/>
        <v>0</v>
      </c>
      <c r="M32" s="883">
        <f t="shared" si="2"/>
        <v>0</v>
      </c>
      <c r="N32" s="181">
        <f>SUM(B32:M32)</f>
        <v>0</v>
      </c>
    </row>
    <row r="35" spans="1:14" ht="18.75" thickBot="1">
      <c r="A35" s="2727" t="str">
        <f>Parametros!$B$79</f>
        <v>Año 2:  2028</v>
      </c>
      <c r="B35" s="163"/>
    </row>
    <row r="36" spans="1:14" s="3" customFormat="1" ht="19.5" customHeight="1" thickBot="1">
      <c r="A36" s="167" t="str">
        <f t="array" ref="A36:A40">A$28:A$32</f>
        <v>meses</v>
      </c>
      <c r="B36" s="168">
        <v>25</v>
      </c>
      <c r="C36" s="169">
        <v>26</v>
      </c>
      <c r="D36" s="169">
        <v>27</v>
      </c>
      <c r="E36" s="169">
        <v>28</v>
      </c>
      <c r="F36" s="169">
        <v>29</v>
      </c>
      <c r="G36" s="169">
        <v>30</v>
      </c>
      <c r="H36" s="169">
        <v>31</v>
      </c>
      <c r="I36" s="169">
        <v>32</v>
      </c>
      <c r="J36" s="169">
        <v>33</v>
      </c>
      <c r="K36" s="169">
        <v>34</v>
      </c>
      <c r="L36" s="169">
        <v>35</v>
      </c>
      <c r="M36" s="170">
        <v>36</v>
      </c>
      <c r="N36" s="171" t="s">
        <v>15</v>
      </c>
    </row>
    <row r="37" spans="1:14" s="3" customFormat="1" ht="19.5" customHeight="1">
      <c r="A37" s="172" t="str">
        <v>Pagos</v>
      </c>
      <c r="B37" s="173">
        <f t="array" ref="B37:M37">B38:M38+B40:M40</f>
        <v>0</v>
      </c>
      <c r="C37" s="174">
        <v>0</v>
      </c>
      <c r="D37" s="174">
        <v>0</v>
      </c>
      <c r="E37" s="174">
        <v>0</v>
      </c>
      <c r="F37" s="174">
        <v>0</v>
      </c>
      <c r="G37" s="174">
        <v>0</v>
      </c>
      <c r="H37" s="174">
        <v>0</v>
      </c>
      <c r="I37" s="174">
        <v>0</v>
      </c>
      <c r="J37" s="174">
        <v>0</v>
      </c>
      <c r="K37" s="174">
        <v>0</v>
      </c>
      <c r="L37" s="174">
        <v>0</v>
      </c>
      <c r="M37" s="175">
        <v>0</v>
      </c>
      <c r="N37" s="176">
        <f>SUM(B37:M37)</f>
        <v>0</v>
      </c>
    </row>
    <row r="38" spans="1:14" s="3" customFormat="1" ht="19.5" customHeight="1">
      <c r="A38" s="177" t="str">
        <v>Intereses</v>
      </c>
      <c r="B38" s="880">
        <f t="array" ref="B38:M38">IF(B36:M36=$F$16,$F$7*$F$5,0)
+IF(MOD((B36:M36-$B$16)*$B$9,12),0,IF(B36:M36&lt;$B$17,$B$5*$B$6/$B$9,IF(B36:M36&lt;=$B$18,IPMT($B$6/$B$9,(B36:M36-$B$16)*$B$9/12-$B$10+1,$B$8,-$B$5),0)))
+IF(MOD((B36:M36-$C$16)*$C$9,12),0,IF(B36:M36&lt;$C$17,$C$5*$C$6/$C$9,IF(B36:M36&lt;=$C$18,IPMT($C$6/$C$9,(B36:M36-$C$16)*$C$9/12-$C$10+1,$C$8,-$C$5),0)))
+IF(MOD((B36:M36-$D$16)*$D$9,12),0,IF(B36:M36&lt;$D$17,$D$5*$D$6/$D$9,IF(B36:M36&lt;=$D$18,IPMT($D$6/$D$9,(B36:M36-$D$16)*$D$9/12-$D$10+1,$D$8,-$D$5),0)))
+IF(MOD((B36:M36-$E$16)*$E$9,12),0,IF(B36:M36&lt;$E$17,$E$5*$E$6/$E$9,IF(B36:M36&lt;=$E$18,IPMT($E$6/$E$9,(B36:M36-$E$16)*$E$9/12-$E$10+1,$E$8,-$E$5),0)))
+IF(MOD((B36:M36-$F$16)*$F$9,12),0,IF(B36:M36&lt;$F$17,$F$5*$F$6/$F$9,IF(B36:M36&lt;$F$18,IPMT($F$6/$F$9,(B36:M36-$F$16)*$F$9/12-$F$10+1,$F$8,-$F$5),0)))</f>
        <v>0</v>
      </c>
      <c r="C38" s="178">
        <v>0</v>
      </c>
      <c r="D38" s="178">
        <v>0</v>
      </c>
      <c r="E38" s="178">
        <v>0</v>
      </c>
      <c r="F38" s="178">
        <v>0</v>
      </c>
      <c r="G38" s="178">
        <v>0</v>
      </c>
      <c r="H38" s="178">
        <v>0</v>
      </c>
      <c r="I38" s="178">
        <v>0</v>
      </c>
      <c r="J38" s="178">
        <v>0</v>
      </c>
      <c r="K38" s="178">
        <v>0</v>
      </c>
      <c r="L38" s="178">
        <v>0</v>
      </c>
      <c r="M38" s="179">
        <v>0</v>
      </c>
      <c r="N38" s="180">
        <f>SUM(B38:M38)</f>
        <v>0</v>
      </c>
    </row>
    <row r="39" spans="1:14" s="3" customFormat="1" ht="19.5" customHeight="1">
      <c r="A39" s="2006" t="str">
        <v>Amort. Nuevo prestamo</v>
      </c>
      <c r="B39" s="2007">
        <f t="shared" ref="B39:M39" si="3">+IF(AND(B36&gt;=$F$17,B36&lt;=$F$18,MOD((B36-$F$16)*$F$9,12)=0),PPMT($F$6/$F$9,(B36-$F$16)*$F$9/12-$F$10+1,$F$8,-$F$5),0)</f>
        <v>0</v>
      </c>
      <c r="C39" s="2008">
        <f t="shared" si="3"/>
        <v>0</v>
      </c>
      <c r="D39" s="2008">
        <f t="shared" si="3"/>
        <v>0</v>
      </c>
      <c r="E39" s="2008">
        <f t="shared" si="3"/>
        <v>0</v>
      </c>
      <c r="F39" s="2008">
        <f t="shared" si="3"/>
        <v>0</v>
      </c>
      <c r="G39" s="2008">
        <f t="shared" si="3"/>
        <v>0</v>
      </c>
      <c r="H39" s="2008">
        <f t="shared" si="3"/>
        <v>0</v>
      </c>
      <c r="I39" s="2008">
        <f t="shared" si="3"/>
        <v>0</v>
      </c>
      <c r="J39" s="2008">
        <f t="shared" si="3"/>
        <v>0</v>
      </c>
      <c r="K39" s="2008">
        <f t="shared" si="3"/>
        <v>0</v>
      </c>
      <c r="L39" s="2008">
        <f t="shared" si="3"/>
        <v>0</v>
      </c>
      <c r="M39" s="2009">
        <f t="shared" si="3"/>
        <v>0</v>
      </c>
      <c r="N39" s="180">
        <f>SUM(B39:M39)</f>
        <v>0</v>
      </c>
    </row>
    <row r="40" spans="1:14" s="3" customFormat="1" ht="19.5" customHeight="1" thickBot="1">
      <c r="A40" s="182" t="str">
        <v>Amortizaciones</v>
      </c>
      <c r="B40" s="881">
        <f t="shared" ref="B40:M40" si="4">IF(AND(B36&gt;=$B$17,B36&lt;=$B$18,MOD((B36-$B$16)*$B$9,12)=0),PPMT($B$6/$B$9,(B36-$B$16)*$B$9/12-$B$10+1,$B$8,-$B$5),0)
+IF(AND(B36&gt;=$C$17,B36&lt;=$C$18,MOD((B36-$C$16)*$C$9,12)=0),PPMT($C$6/$C$9,(B36-$C$16)*$C$9/12-$C$10+1,$C$8,-$C$5),0)
+IF(AND(B36&gt;=$D$17,B36&lt;=$D$18,MOD((B36-$D$16)*$D$9,12)=0),PPMT($D$6/$D$9,(B36-$D$16)*$D$9/12-$D$10+1,$D$8,-$D$5),0)
+IF(AND(B36&gt;=$E$17,B36&lt;=$E$18,MOD((B36-$E$16)*$E$9,12)=0),PPMT($E$6/$E$9,(B36-$E$16)*$E$9/12-$E$10+1,$E$8,-$E$5),0)
+IF(AND(B36&gt;=$F$17,B36&lt;=$F$18,MOD((B36-$F$16)*$F$9,12)=0),PPMT($F$6/$F$9,(B36-$F$16)*$F$9/12-$F$10+1,$F$8,-$F$5),0)</f>
        <v>0</v>
      </c>
      <c r="C40" s="882">
        <f t="shared" si="4"/>
        <v>0</v>
      </c>
      <c r="D40" s="882">
        <f t="shared" si="4"/>
        <v>0</v>
      </c>
      <c r="E40" s="882">
        <f t="shared" si="4"/>
        <v>0</v>
      </c>
      <c r="F40" s="882">
        <f t="shared" si="4"/>
        <v>0</v>
      </c>
      <c r="G40" s="882">
        <f t="shared" si="4"/>
        <v>0</v>
      </c>
      <c r="H40" s="882">
        <f t="shared" si="4"/>
        <v>0</v>
      </c>
      <c r="I40" s="882">
        <f t="shared" si="4"/>
        <v>0</v>
      </c>
      <c r="J40" s="882">
        <f t="shared" si="4"/>
        <v>0</v>
      </c>
      <c r="K40" s="882">
        <f t="shared" si="4"/>
        <v>0</v>
      </c>
      <c r="L40" s="882">
        <f t="shared" si="4"/>
        <v>0</v>
      </c>
      <c r="M40" s="883">
        <f t="shared" si="4"/>
        <v>0</v>
      </c>
      <c r="N40" s="181">
        <f>SUM(B40:M40)</f>
        <v>0</v>
      </c>
    </row>
    <row r="43" spans="1:14" ht="18.75" thickBot="1">
      <c r="A43" s="2727" t="str">
        <f>Parametros!$B$80</f>
        <v>Año 3:  2029</v>
      </c>
      <c r="B43" s="163"/>
    </row>
    <row r="44" spans="1:14" s="3" customFormat="1" ht="19.5" customHeight="1" thickBot="1">
      <c r="A44" s="167" t="str">
        <f t="array" ref="A44:A48">A$28:A$32</f>
        <v>meses</v>
      </c>
      <c r="B44" s="168">
        <v>37</v>
      </c>
      <c r="C44" s="169">
        <v>38</v>
      </c>
      <c r="D44" s="169">
        <v>39</v>
      </c>
      <c r="E44" s="169">
        <v>40</v>
      </c>
      <c r="F44" s="169">
        <v>41</v>
      </c>
      <c r="G44" s="169">
        <v>42</v>
      </c>
      <c r="H44" s="169">
        <v>43</v>
      </c>
      <c r="I44" s="169">
        <v>44</v>
      </c>
      <c r="J44" s="169">
        <v>45</v>
      </c>
      <c r="K44" s="169">
        <v>46</v>
      </c>
      <c r="L44" s="169">
        <v>47</v>
      </c>
      <c r="M44" s="170">
        <v>48</v>
      </c>
      <c r="N44" s="171" t="s">
        <v>15</v>
      </c>
    </row>
    <row r="45" spans="1:14" s="3" customFormat="1" ht="19.5" customHeight="1">
      <c r="A45" s="172" t="str">
        <v>Pagos</v>
      </c>
      <c r="B45" s="173">
        <f t="array" ref="B45:M45">B46:M46+B48:M48</f>
        <v>0</v>
      </c>
      <c r="C45" s="174">
        <v>0</v>
      </c>
      <c r="D45" s="174">
        <v>0</v>
      </c>
      <c r="E45" s="174">
        <v>0</v>
      </c>
      <c r="F45" s="174">
        <v>0</v>
      </c>
      <c r="G45" s="174">
        <v>0</v>
      </c>
      <c r="H45" s="174">
        <v>0</v>
      </c>
      <c r="I45" s="174">
        <v>0</v>
      </c>
      <c r="J45" s="174">
        <v>0</v>
      </c>
      <c r="K45" s="174">
        <v>0</v>
      </c>
      <c r="L45" s="174">
        <v>0</v>
      </c>
      <c r="M45" s="175">
        <v>0</v>
      </c>
      <c r="N45" s="176">
        <f>SUM(B45:M45)</f>
        <v>0</v>
      </c>
    </row>
    <row r="46" spans="1:14" s="3" customFormat="1" ht="19.5" customHeight="1">
      <c r="A46" s="177" t="str">
        <v>Intereses</v>
      </c>
      <c r="B46" s="880">
        <f t="array" ref="B46:M46">IF(B44:M44=$G$16,$G$7*$G$5,0)
+IF(MOD((B44:M44-$B$16)*$B$9,12),0,IF(B44:M44&lt;$B$17,$B$5*$B$6/$B$9,IF(B44:M44&lt;=$B$18,IPMT($B$6/$B$9,(B44:M44-$B$16)*$B$9/12-$B$10+1,$B$8,-$B$5),0)))
+IF(MOD((B44:M44-$C$16)*$C$9,12),0,IF(B44:M44&lt;$C$17,$C$5*$C$6/$C$9,IF(B44:M44&lt;=$C$18,IPMT($C$6/$C$9,(B44:M44-$C$16)*$C$9/12-$C$10+1,$C$8,-$C$5),0)))
+IF(MOD((B44:M44-$D$16)*$D$9,12),0,IF(B44:M44&lt;$D$17,$D$5*$D$6/$D$9,IF(B44:M44&lt;=$D$18,IPMT($D$6/$D$9,(B44:M44-$D$16)*$D$9/12-$D$10+1,$D$8,-$D$5),0)))
+IF(MOD((B44:M44-$E$16)*$E$9,12),0,IF(B44:M44&lt;$E$17,$E$5*$E$6/$E$9,IF(B44:M44&lt;=$E$18,IPMT($E$6/$E$9,(B44:M44-$E$16)*$E$9/12-$E$10+1,$E$8,-$E$5),0)))
+IF(MOD((B44:M44-$F$16)*$F$9,12),0,IF(B44:M44&lt;$F$17,$F$5*$F$6/$F$9,IF(B44:M44&lt;=$F$18,IPMT($F$6/$F$9,(B44:M44-$F$16)*$F$9/12-$F$10+1,$F$8,-$F$5),0)))
+IF(MOD((B44:M44-$G$16)*$G$9,12),0,IF(B44:M44&lt;$G$17,$G$5*$G$6/$G$9,IF(B44:M44&lt;=$G$18,IPMT($G$6/$G$9,(B44:M44-$G$16)*$G$9/12-$G$10+1,$G$8,-$G$5),0)))</f>
        <v>0</v>
      </c>
      <c r="C46" s="178">
        <v>0</v>
      </c>
      <c r="D46" s="178">
        <v>0</v>
      </c>
      <c r="E46" s="178">
        <v>0</v>
      </c>
      <c r="F46" s="178">
        <v>0</v>
      </c>
      <c r="G46" s="178">
        <v>0</v>
      </c>
      <c r="H46" s="178">
        <v>0</v>
      </c>
      <c r="I46" s="178">
        <v>0</v>
      </c>
      <c r="J46" s="178">
        <v>0</v>
      </c>
      <c r="K46" s="178">
        <v>0</v>
      </c>
      <c r="L46" s="178">
        <v>0</v>
      </c>
      <c r="M46" s="179">
        <v>0</v>
      </c>
      <c r="N46" s="180">
        <f>SUM(B46:M46)</f>
        <v>0</v>
      </c>
    </row>
    <row r="47" spans="1:14" s="3" customFormat="1" ht="19.5" customHeight="1">
      <c r="A47" s="2006" t="str">
        <v>Amort. Nuevo prestamo</v>
      </c>
      <c r="B47" s="2007">
        <f t="shared" ref="B47:M47" si="5">+IF(AND(B44&gt;=$G$17,B44&lt;=$G$18,MOD((B44-$G$16)*$G$9,12)=0),PPMT($G$6/$G$9,(B44-$G$16)*$G$9/12-$G$10+1,$G$8,-$G$5),0)</f>
        <v>0</v>
      </c>
      <c r="C47" s="2008">
        <f t="shared" si="5"/>
        <v>0</v>
      </c>
      <c r="D47" s="2008">
        <f t="shared" si="5"/>
        <v>0</v>
      </c>
      <c r="E47" s="2008">
        <f t="shared" si="5"/>
        <v>0</v>
      </c>
      <c r="F47" s="2008">
        <f t="shared" si="5"/>
        <v>0</v>
      </c>
      <c r="G47" s="2008">
        <f t="shared" si="5"/>
        <v>0</v>
      </c>
      <c r="H47" s="2008">
        <f t="shared" si="5"/>
        <v>0</v>
      </c>
      <c r="I47" s="2008">
        <f t="shared" si="5"/>
        <v>0</v>
      </c>
      <c r="J47" s="2008">
        <f t="shared" si="5"/>
        <v>0</v>
      </c>
      <c r="K47" s="2008">
        <f t="shared" si="5"/>
        <v>0</v>
      </c>
      <c r="L47" s="2008">
        <f t="shared" si="5"/>
        <v>0</v>
      </c>
      <c r="M47" s="2009">
        <f t="shared" si="5"/>
        <v>0</v>
      </c>
      <c r="N47" s="2010">
        <f>SUM(B47:M47)</f>
        <v>0</v>
      </c>
    </row>
    <row r="48" spans="1:14" s="3" customFormat="1" ht="19.5" customHeight="1" thickBot="1">
      <c r="A48" s="182" t="str">
        <v>Amortizaciones</v>
      </c>
      <c r="B48" s="881">
        <f t="shared" ref="B48:M48" si="6">IF(AND(B44&gt;=$B$17,B44&lt;=$B$18,MOD((B44-$B$16)*$B$9,12)=0),PPMT($B$6/$B$9,(B44-$B$16)*$B$9/12-$B$10+1,$B$8,-$B$5),0)
+IF(AND(B44&gt;=$C$17,B44&lt;=$C$18,MOD((B44-$C$16)*$C$9,12)=0),PPMT($C$6/$C$9,(B44-$C$16)*$C$9/12-$C$10+1,$C$8,-$C$5),0)
+IF(AND(B44&gt;=$D$17,B44&lt;=$D$18,MOD((B44-$D$16)*$D$9,12)=0),PPMT($D$6/$D$9,(B44-$D$16)*$D$9/12-$D$10+1,$D$8,-$D$5),0)
+IF(AND(B44&gt;=$E$17,B44&lt;=$E$18,MOD((B44-$E$16)*$E$9,12)=0),PPMT($E$6/$E$9,(B44-$E$16)*$E$9/12-$E$10+1,$E$8,-$E$5),0)
+IF(AND(B44&gt;=$F$17,B44&lt;=$F$18,MOD((B44-$F$16)*$F$9,12)=0),PPMT($F$6/$F$9,(B44-$F$16)*$F$9/12-$F$10+1,$F$8,-$F$5),0)
+IF(AND(B44&gt;=$G$17,B44&lt;=$G$18,MOD((B44-$G$16)*$G$9,12)=0),PPMT($G$6/$G$9,(B44-$G$16)*$G$9/12-$G$10+1,$G$8,-$G$5),0)</f>
        <v>0</v>
      </c>
      <c r="C48" s="882">
        <f t="shared" si="6"/>
        <v>0</v>
      </c>
      <c r="D48" s="882">
        <f t="shared" si="6"/>
        <v>0</v>
      </c>
      <c r="E48" s="882">
        <f t="shared" si="6"/>
        <v>0</v>
      </c>
      <c r="F48" s="882">
        <f t="shared" si="6"/>
        <v>0</v>
      </c>
      <c r="G48" s="882">
        <f t="shared" si="6"/>
        <v>0</v>
      </c>
      <c r="H48" s="882">
        <f t="shared" si="6"/>
        <v>0</v>
      </c>
      <c r="I48" s="882">
        <f t="shared" si="6"/>
        <v>0</v>
      </c>
      <c r="J48" s="882">
        <f t="shared" si="6"/>
        <v>0</v>
      </c>
      <c r="K48" s="882">
        <f t="shared" si="6"/>
        <v>0</v>
      </c>
      <c r="L48" s="882">
        <f t="shared" si="6"/>
        <v>0</v>
      </c>
      <c r="M48" s="883">
        <f t="shared" si="6"/>
        <v>0</v>
      </c>
      <c r="N48" s="181">
        <f>SUM(B48:M48)</f>
        <v>0</v>
      </c>
    </row>
    <row r="51" spans="1:14" ht="18.75" thickBot="1">
      <c r="A51" s="2727" t="str">
        <f>Parametros!$B$81</f>
        <v>Año 4:  2030</v>
      </c>
      <c r="B51" s="163"/>
    </row>
    <row r="52" spans="1:14" s="3" customFormat="1" ht="19.5" customHeight="1" thickBot="1">
      <c r="A52" s="167" t="str">
        <f t="array" ref="A52:A56">A$28:A$32</f>
        <v>meses</v>
      </c>
      <c r="B52" s="168">
        <v>49</v>
      </c>
      <c r="C52" s="169">
        <v>50</v>
      </c>
      <c r="D52" s="169">
        <v>51</v>
      </c>
      <c r="E52" s="169">
        <v>52</v>
      </c>
      <c r="F52" s="169">
        <v>53</v>
      </c>
      <c r="G52" s="169">
        <v>54</v>
      </c>
      <c r="H52" s="169">
        <v>55</v>
      </c>
      <c r="I52" s="169">
        <v>56</v>
      </c>
      <c r="J52" s="169">
        <v>57</v>
      </c>
      <c r="K52" s="169">
        <v>58</v>
      </c>
      <c r="L52" s="169">
        <v>59</v>
      </c>
      <c r="M52" s="170">
        <v>60</v>
      </c>
      <c r="N52" s="171" t="s">
        <v>15</v>
      </c>
    </row>
    <row r="53" spans="1:14" s="3" customFormat="1" ht="19.5" customHeight="1">
      <c r="A53" s="172" t="str">
        <v>Pagos</v>
      </c>
      <c r="B53" s="173">
        <f t="array" ref="B53:M53">B54:M54+B56:M56</f>
        <v>0</v>
      </c>
      <c r="C53" s="174">
        <v>0</v>
      </c>
      <c r="D53" s="174">
        <v>0</v>
      </c>
      <c r="E53" s="174">
        <v>0</v>
      </c>
      <c r="F53" s="174">
        <v>0</v>
      </c>
      <c r="G53" s="174">
        <v>0</v>
      </c>
      <c r="H53" s="174">
        <v>0</v>
      </c>
      <c r="I53" s="174">
        <v>0</v>
      </c>
      <c r="J53" s="174">
        <v>0</v>
      </c>
      <c r="K53" s="174">
        <v>0</v>
      </c>
      <c r="L53" s="174">
        <v>0</v>
      </c>
      <c r="M53" s="175">
        <v>0</v>
      </c>
      <c r="N53" s="176">
        <f>SUM(B53:M53)</f>
        <v>0</v>
      </c>
    </row>
    <row r="54" spans="1:14" s="3" customFormat="1" ht="19.5" customHeight="1">
      <c r="A54" s="177" t="str">
        <v>Intereses</v>
      </c>
      <c r="B54" s="880">
        <f t="array" ref="B54:M54">IF(B52:M52=$H$16,$H$7*$H$5,0)
+IF(MOD((B52:M52-$B$16)*$B$9,12),0,IF(B52:M52&lt;$B$17,$B$5*$B$6/$B$9,IF(B52:M52&lt;=$B$18,IPMT($B$6/$B$9,(B52:M52-$B$16)*$B$9/12-$B$10+1,$B$8,-$B$5),0)))
+IF(MOD((B52:M52-$C$16)*$C$9,12),0,IF(B52:M52&lt;$C$17,$C$5*$C$6/$C$9,IF(B52:M52&lt;=$C$18,IPMT($C$6/$C$9,(B52:M52-$C$16)*$C$9/12-$C$10+1,$C$8,-$C$5),0)))
+IF(MOD((B52:M52-$D$16)*$D$9,12),0,IF(B52:M52&lt;$D$17,$D$5*$D$6/$D$9,IF(B52:M52&lt;=$D$18,IPMT($D$6/$D$9,(B52:M52-$D$16)*$D$9/12-$D$10+1,$D$8,-$D$5),0)))
+IF(MOD((B52:M52-$E$16)*$E$9,12),0,IF(B52:M52&lt;$E$17,$E$5*$E$6/$E$9,IF(B52:M52&lt;=$E$18,IPMT($E$6/$E$9,(B52:M52-$E$16)*$E$9/12-$E$10+1,$E$8,-$E$5),0)))
+IF(MOD((B52:M52-$F$16)*$F$9,12),0,IF(B52:M52&lt;$F$17,$F$5*$F$6/$F$9,IF(B52:M52&lt;=$F$18,IPMT($F$6/$F$9,(B52:M52-$F$16)*$F$9/12-$F$10+1,$F$8,-$F$5),0)))
+IF(MOD((B52:M52-$G$16)*$G$9,12),0,IF(B52:M52&lt;$G$17,$G$5*$G$6/$G$9,IF(B52:M52&lt;=$G$18,IPMT($G$6/$G$9,(B52:M52-$G$16)*$G$9/12-$G$10+1,$G$8,-$G$5),0)))
+IF(MOD((B52:M52-$H$16)*$H$9,12),0,IF(B52:M52&lt;$H$17,$H$5*$H$6/$H$9,IF(B52:M52&lt;=$H$18,IPMT($H$6/$H$9,(B52:M52-$H$16)*$H$9/12-$H$10+1,$H$8,-$H$5),0)))</f>
        <v>0</v>
      </c>
      <c r="C54" s="178">
        <v>0</v>
      </c>
      <c r="D54" s="178">
        <v>0</v>
      </c>
      <c r="E54" s="178">
        <v>0</v>
      </c>
      <c r="F54" s="178">
        <v>0</v>
      </c>
      <c r="G54" s="178">
        <v>0</v>
      </c>
      <c r="H54" s="178">
        <v>0</v>
      </c>
      <c r="I54" s="178">
        <v>0</v>
      </c>
      <c r="J54" s="178">
        <v>0</v>
      </c>
      <c r="K54" s="178">
        <v>0</v>
      </c>
      <c r="L54" s="178">
        <v>0</v>
      </c>
      <c r="M54" s="179">
        <v>0</v>
      </c>
      <c r="N54" s="180">
        <f>SUM(B54:M54)</f>
        <v>0</v>
      </c>
    </row>
    <row r="55" spans="1:14" s="3" customFormat="1" ht="19.5" customHeight="1">
      <c r="A55" s="2006" t="str">
        <v>Amort. Nuevo prestamo</v>
      </c>
      <c r="B55" s="2007">
        <f t="shared" ref="B55:M55" si="7">+IF(AND(B52&gt;=$H$17,B52&lt;=$H$18,MOD((B52-$H$16)*$H$9,12)=0),PPMT($H$6/$H$9,(B52-$H$16)*$H$9/12-$H$10+1,$H$8,-$H$5),0)</f>
        <v>0</v>
      </c>
      <c r="C55" s="2008">
        <f t="shared" si="7"/>
        <v>0</v>
      </c>
      <c r="D55" s="2008">
        <f t="shared" si="7"/>
        <v>0</v>
      </c>
      <c r="E55" s="2008">
        <f t="shared" si="7"/>
        <v>0</v>
      </c>
      <c r="F55" s="2008">
        <f t="shared" si="7"/>
        <v>0</v>
      </c>
      <c r="G55" s="2008">
        <f t="shared" si="7"/>
        <v>0</v>
      </c>
      <c r="H55" s="2008">
        <f t="shared" si="7"/>
        <v>0</v>
      </c>
      <c r="I55" s="2008">
        <f t="shared" si="7"/>
        <v>0</v>
      </c>
      <c r="J55" s="2008">
        <f t="shared" si="7"/>
        <v>0</v>
      </c>
      <c r="K55" s="2008">
        <f t="shared" si="7"/>
        <v>0</v>
      </c>
      <c r="L55" s="2008">
        <f t="shared" si="7"/>
        <v>0</v>
      </c>
      <c r="M55" s="2009">
        <f t="shared" si="7"/>
        <v>0</v>
      </c>
      <c r="N55" s="180">
        <f>SUM(B55:M55)</f>
        <v>0</v>
      </c>
    </row>
    <row r="56" spans="1:14" s="3" customFormat="1" ht="19.5" customHeight="1" thickBot="1">
      <c r="A56" s="182" t="str">
        <v>Amortizaciones</v>
      </c>
      <c r="B56" s="881">
        <f t="shared" ref="B56:M56" si="8">IF(AND(B52&gt;=$B$17,B52&lt;=$B$18,MOD((B52-$B$16)*$B$9,12)=0),PPMT($B$6/$B$9,(B52-$B$16)*$B$9/12-$B$10+1,$B$8,-$B$5),0)
+IF(AND(B52&gt;=$C$17,B52&lt;=$C$18,MOD((B52-$C$16)*$C$9,12)=0),PPMT($C$6/$C$9,(B52-$C$16)*$C$9/12-$C$10+1,$C$8,-$C$5),0)
+IF(AND(B52&gt;=$D$17,B52&lt;=$D$18,MOD((B52-$D$16)*$D$9,12)=0),PPMT($D$6/$D$9,(B52-$D$16)*$D$9/12-$D$10+1,$D$8,-$D$5),0)
+IF(AND(B52&gt;=$E$17,B52&lt;=$E$18,MOD((B52-$E$16)*$E$9,12)=0),PPMT($E$6/$E$9,(B52-$E$16)*$E$9/12-$E$10+1,$E$8,-$E$5),0)
+IF(AND(B52&gt;=$F$17,B52&lt;=$F$18,MOD((B52-$F$16)*$F$9,12)=0),PPMT($F$6/$F$9,(B52-$F$16)*$F$9/12-$F$10+1,$F$8,-$F$5),0)
+IF(AND(B52&gt;=$G$17,B52&lt;=$G$18,MOD((B52-$G$16)*$G$9,12)=0),PPMT($G$6/$G$9,(B52-$G$16)*$G$9/12-$G$10+1,$G$8,-$G$5),0)
+IF(AND(B52&gt;=$H$17,B52&lt;=$H$18,MOD((B52-$H$16)*$H$9,12)=0),PPMT($H$6/$H$9,(B52-$H$16)*$H$9/12-$H$10+1,$H$8,-$H$5),0)</f>
        <v>0</v>
      </c>
      <c r="C56" s="882">
        <f t="shared" si="8"/>
        <v>0</v>
      </c>
      <c r="D56" s="882">
        <f t="shared" si="8"/>
        <v>0</v>
      </c>
      <c r="E56" s="882">
        <f t="shared" si="8"/>
        <v>0</v>
      </c>
      <c r="F56" s="882">
        <f t="shared" si="8"/>
        <v>0</v>
      </c>
      <c r="G56" s="882">
        <f t="shared" si="8"/>
        <v>0</v>
      </c>
      <c r="H56" s="882">
        <f t="shared" si="8"/>
        <v>0</v>
      </c>
      <c r="I56" s="882">
        <f t="shared" si="8"/>
        <v>0</v>
      </c>
      <c r="J56" s="882">
        <f t="shared" si="8"/>
        <v>0</v>
      </c>
      <c r="K56" s="882">
        <f t="shared" si="8"/>
        <v>0</v>
      </c>
      <c r="L56" s="882">
        <f t="shared" si="8"/>
        <v>0</v>
      </c>
      <c r="M56" s="883">
        <f t="shared" si="8"/>
        <v>0</v>
      </c>
      <c r="N56" s="181">
        <f>SUM(B56:M56)</f>
        <v>0</v>
      </c>
    </row>
    <row r="59" spans="1:14" ht="18.75" thickBot="1">
      <c r="A59" s="2727" t="str">
        <f>Parametros!$G$77</f>
        <v>Año 5 :   2031</v>
      </c>
      <c r="B59" s="163"/>
    </row>
    <row r="60" spans="1:14" s="3" customFormat="1" ht="19.5" customHeight="1" thickBot="1">
      <c r="A60" s="167" t="str">
        <f t="array" ref="A60:A63">A21:A24</f>
        <v>meses</v>
      </c>
      <c r="B60" s="168">
        <v>61</v>
      </c>
      <c r="C60" s="169">
        <v>62</v>
      </c>
      <c r="D60" s="169">
        <v>63</v>
      </c>
      <c r="E60" s="169">
        <v>64</v>
      </c>
      <c r="F60" s="169">
        <v>65</v>
      </c>
      <c r="G60" s="169">
        <v>66</v>
      </c>
      <c r="H60" s="169">
        <v>67</v>
      </c>
      <c r="I60" s="169">
        <v>68</v>
      </c>
      <c r="J60" s="169">
        <v>69</v>
      </c>
      <c r="K60" s="169">
        <v>70</v>
      </c>
      <c r="L60" s="169">
        <v>71</v>
      </c>
      <c r="M60" s="170">
        <v>72</v>
      </c>
      <c r="N60" s="171" t="s">
        <v>15</v>
      </c>
    </row>
    <row r="61" spans="1:14" s="3" customFormat="1" ht="19.5" customHeight="1">
      <c r="A61" s="172" t="str">
        <v>Pagos</v>
      </c>
      <c r="B61" s="173">
        <f t="array" ref="B61:M61">B62:M62+B63:M63</f>
        <v>0</v>
      </c>
      <c r="C61" s="174">
        <v>0</v>
      </c>
      <c r="D61" s="174">
        <v>0</v>
      </c>
      <c r="E61" s="174">
        <v>0</v>
      </c>
      <c r="F61" s="174">
        <v>0</v>
      </c>
      <c r="G61" s="174">
        <v>0</v>
      </c>
      <c r="H61" s="174">
        <v>0</v>
      </c>
      <c r="I61" s="174">
        <v>0</v>
      </c>
      <c r="J61" s="174">
        <v>0</v>
      </c>
      <c r="K61" s="174">
        <v>0</v>
      </c>
      <c r="L61" s="174">
        <v>0</v>
      </c>
      <c r="M61" s="175">
        <v>0</v>
      </c>
      <c r="N61" s="176">
        <f>SUM(B61:M61)</f>
        <v>0</v>
      </c>
    </row>
    <row r="62" spans="1:14" s="3" customFormat="1" ht="19.5" customHeight="1">
      <c r="A62" s="177" t="str">
        <v>Intereses</v>
      </c>
      <c r="B62" s="880">
        <f t="array" ref="B62:M62">IF(MOD((B60:M60-$B$16)*$B$9,12),0,IF(B60:M60&lt;$B$17,$B$5*$B$6/$B$9,IF(B60:M60&lt;=$B$18,IPMT($B$6/$B$9,(B60:M60-$B$16)*$B$9/12-$B$10+1,$B$8,-$B$5),0)))
+IF(MOD((B60:M60-$C$16)*$C$9,12),0,IF(B60:M60&lt;$C$17,$C$5*$C$6/$C$9,IF(B60:M60&lt;=$C$18,IPMT($C$6/$C$9,(B60:M60-$C$16)*$C$9/12-$C$10+1,$C$8,-$C$5),0)))
+IF(MOD((B60:M60-$D$16)*$D$9,12),0,IF(B60:M60&lt;$D$17,$D$5*$D$6/$D$9,IF(B60:M60&lt;=$D$18,IPMT($D$6/$D$9,(B60:M60-$D$16)*$D$9/12-$D$10+1,$D$8,-$D$5),0)))
+IF(MOD((B60:M60-$E$16)*$E$9,12),0,IF(B60:M60&lt;$E$17,$E$5*$E$6/$E$9,IF(B60:M60&lt;=$E$18,IPMT($E$6/$E$9,(B60:M60-$E$16)*$E$9/12-$E$10+1,$E$8,-$E$5),0)))
+IF(MOD((B60:M60-$F$16)*$F$9,12),0,IF(B60:M60&lt;$F$17,$F$5*$F$6/$F$9,IF(B60:M60&lt;=$F$18,IPMT($F$6/$F$9,(B60:M60-$F$16)*$F$9/12-$F$10+1,$F$8,-$F$5),0)))
+IF(MOD((B60:M60-$G$16)*$G$9,12),0,IF(B60:M60&lt;$G$17,$G$5*$G$6/$G$9,IF(B60:M60&lt;=$G$18,IPMT($G$6/$G$9,(B60:M60-$G$16)*$G$9/12-$G$10+1,$G$8,-$G$5),0)))
+IF(MOD((B60:M60-$H$16)*$H$9,12),0,IF(B60:M60&lt;$H$17,$H$5*$H$6/$H$9,IF(B60:M60&lt;=$H$18,IPMT($H$6/$H$9,(B60:M60-$H$16)*$H$9/12-$H$10+1,$H$8,-$H$5),0)))</f>
        <v>0</v>
      </c>
      <c r="C62" s="178">
        <v>0</v>
      </c>
      <c r="D62" s="178">
        <v>0</v>
      </c>
      <c r="E62" s="178">
        <v>0</v>
      </c>
      <c r="F62" s="178">
        <v>0</v>
      </c>
      <c r="G62" s="178">
        <v>0</v>
      </c>
      <c r="H62" s="178">
        <v>0</v>
      </c>
      <c r="I62" s="178">
        <v>0</v>
      </c>
      <c r="J62" s="178">
        <v>0</v>
      </c>
      <c r="K62" s="178">
        <v>0</v>
      </c>
      <c r="L62" s="178">
        <v>0</v>
      </c>
      <c r="M62" s="179">
        <v>0</v>
      </c>
      <c r="N62" s="180">
        <f>SUM(B62:M62)</f>
        <v>0</v>
      </c>
    </row>
    <row r="63" spans="1:14" s="3" customFormat="1" ht="19.5" customHeight="1" thickBot="1">
      <c r="A63" s="182" t="str">
        <v>Amortizaciones</v>
      </c>
      <c r="B63" s="881">
        <f t="shared" ref="B63:M63" si="9">IF(AND(B60&gt;=$B$17,B60&lt;=$B$18,MOD((B60-$B$16)*$B$9,12)=0),PPMT($B$6/$B$9,(B60-$B$16)*$B$9/12-$B$10+1,$B$8,-$B$5),0)
+IF(AND(B60&gt;=$C$17,B60&lt;=$C$18,MOD((B60-$C$16)*$C$9,12)=0),PPMT($C$6/$C$9,(B60-$C$16)*$C$9/12-$C$10+1,$C$8,-$C$5),0)
+IF(AND(B60&gt;=$D$17,B60&lt;=$D$18,MOD((B60-$D$16)*$D$9,12)=0),PPMT($D$6/$D$9,(B60-$D$16)*$D$9/12-$D$10+1,$D$8,-$D$5),0)
+IF(AND(B60&gt;=$E$17,B60&lt;=$E$18,MOD((B60-$E$16)*$E$9,12)=0),PPMT($E$6/$E$9,(B60-$E$16)*$E$9/12-$E$10+1,$E$8,-$E$5),0)
+IF(AND(B60&gt;=$F$17,B60&lt;=$F$18,MOD((B60-$F$16)*$F$9,12)=0),PPMT($F$6/$F$9,(B60-$F$16)*$F$9/12-$F$10+1,$F$8,-$F$5),0)
+IF(AND(B60&gt;=$G$17,B60&lt;=$G$18,MOD((B60-$G$16)*$G$9,12)=0),PPMT($G$6/$G$9,(B60-$G$16)*$G$9/12-$G$10+1,$G$8,-$G$5),0)
+IF(AND(B60&gt;=$H$17,B60&lt;=$H$18,MOD((B60-$H$16)*$H$9,12)=0),PPMT($H$6/$H$9,(B60-$H$16)*$H$9/12-$H$10+1,$H$8,-$H$5),0)</f>
        <v>0</v>
      </c>
      <c r="C63" s="882">
        <f t="shared" si="9"/>
        <v>0</v>
      </c>
      <c r="D63" s="882">
        <f t="shared" si="9"/>
        <v>0</v>
      </c>
      <c r="E63" s="882">
        <f t="shared" si="9"/>
        <v>0</v>
      </c>
      <c r="F63" s="882">
        <f t="shared" si="9"/>
        <v>0</v>
      </c>
      <c r="G63" s="882">
        <f t="shared" si="9"/>
        <v>0</v>
      </c>
      <c r="H63" s="882">
        <f t="shared" si="9"/>
        <v>0</v>
      </c>
      <c r="I63" s="882">
        <f t="shared" si="9"/>
        <v>0</v>
      </c>
      <c r="J63" s="882">
        <f t="shared" si="9"/>
        <v>0</v>
      </c>
      <c r="K63" s="882">
        <f t="shared" si="9"/>
        <v>0</v>
      </c>
      <c r="L63" s="882">
        <f t="shared" si="9"/>
        <v>0</v>
      </c>
      <c r="M63" s="883">
        <f t="shared" si="9"/>
        <v>0</v>
      </c>
      <c r="N63" s="181">
        <f>SUM(B63:M63)</f>
        <v>0</v>
      </c>
    </row>
  </sheetData>
  <sheetProtection sheet="1" objects="1" scenarios="1"/>
  <phoneticPr fontId="6" type="noConversion"/>
  <dataValidations disablePrompts="1" xWindow="106" yWindow="209" count="5">
    <dataValidation type="whole" allowBlank="1" showInputMessage="1" showErrorMessage="1" sqref="D10:H10" xr:uid="{00000000-0002-0000-0B00-000000000000}">
      <formula1>0</formula1>
      <formula2>plazo/npagos*12</formula2>
    </dataValidation>
    <dataValidation type="list" allowBlank="1" showInputMessage="1" showErrorMessage="1" prompt="  1 = 1 solo pago anual_x000a_  2 = pagos semestrales_x000a_  3 = pagos cuatrimestrales_x000a_  4 = pagos trimestrales_x000a_  6 = pagos bimensuales_x000a_12 = pagos mensuales" sqref="D9:H9" xr:uid="{00000000-0002-0000-0B00-000001000000}">
      <formula1>"1,2,3,4,6,12"</formula1>
    </dataValidation>
    <dataValidation type="whole" allowBlank="1" showInputMessage="1" showErrorMessage="1" sqref="D8:H8" xr:uid="{00000000-0002-0000-0B00-000002000000}">
      <formula1>0</formula1>
      <formula2>400</formula2>
    </dataValidation>
    <dataValidation allowBlank="1" showInputMessage="1" showErrorMessage="1" prompt="Tipo nominal anual" sqref="D6:H6" xr:uid="{00000000-0002-0000-0B00-000003000000}"/>
    <dataValidation type="decimal" allowBlank="1" showInputMessage="1" showErrorMessage="1" sqref="D7:H7" xr:uid="{00000000-0002-0000-0B00-000004000000}">
      <formula1>0</formula1>
      <formula2>0.05</formula2>
    </dataValidation>
  </dataValidations>
  <printOptions horizontalCentered="1"/>
  <pageMargins left="0.56000000000000005" right="0.69" top="0.61" bottom="0.59" header="0.51181102362204722" footer="0.43"/>
  <pageSetup paperSize="9" scale="48" orientation="landscape" horizontalDpi="4294967292" verticalDpi="300" r:id="rId1"/>
  <headerFooter alignWithMargins="0">
    <oddFooter>&amp;C&amp;"Tahoma,Normal"&amp;10&amp;A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57">
    <tabColor indexed="42"/>
    <pageSetUpPr fitToPage="1"/>
  </sheetPr>
  <dimension ref="A1:N63"/>
  <sheetViews>
    <sheetView workbookViewId="0"/>
  </sheetViews>
  <sheetFormatPr baseColWidth="10" defaultColWidth="11" defaultRowHeight="15"/>
  <cols>
    <col min="1" max="1" width="20.25" style="161" customWidth="1"/>
    <col min="2" max="8" width="14.375" style="161" customWidth="1"/>
    <col min="9" max="9" width="11.875" style="161" customWidth="1"/>
    <col min="10" max="13" width="14.625" style="161" bestFit="1" customWidth="1"/>
    <col min="14" max="14" width="12.875" style="161" customWidth="1"/>
    <col min="15" max="16384" width="11" style="161"/>
  </cols>
  <sheetData>
    <row r="1" spans="1:10" ht="25.5">
      <c r="A1" s="164" t="s">
        <v>670</v>
      </c>
      <c r="E1" s="165"/>
      <c r="F1" s="166"/>
    </row>
    <row r="2" spans="1:10" ht="25.5">
      <c r="A2" s="164" t="str">
        <f>'Datos Básicos'!B9</f>
        <v>nombre empresa</v>
      </c>
      <c r="F2" s="164"/>
    </row>
    <row r="3" spans="1:10" ht="19.5" customHeight="1" thickBot="1">
      <c r="D3" s="162"/>
    </row>
    <row r="4" spans="1:10" s="3" customFormat="1" ht="36" customHeight="1" thickBot="1">
      <c r="A4" s="1722" t="s">
        <v>653</v>
      </c>
      <c r="B4" s="878" t="str">
        <f t="array" ref="B4:H4">Financiación!B56:H56</f>
        <v>Previo al inicio
(Bal. Previo)</v>
      </c>
      <c r="C4" s="878" t="str">
        <v>Leasing 1 Año 0:  2026</v>
      </c>
      <c r="D4" s="878" t="str">
        <v>Leasing 2 Año 0:  2026</v>
      </c>
      <c r="E4" s="878" t="str">
        <v>Año 1:  2027</v>
      </c>
      <c r="F4" s="879" t="str">
        <v>Año 2:  2028</v>
      </c>
      <c r="G4" s="879" t="str">
        <v>Año 3:  2029</v>
      </c>
      <c r="H4" s="879" t="str">
        <v>Año 4:  2030</v>
      </c>
      <c r="J4" s="2850" t="s">
        <v>1111</v>
      </c>
    </row>
    <row r="5" spans="1:10" s="3" customFormat="1" ht="24.75" customHeight="1">
      <c r="A5" s="1717" t="s">
        <v>465</v>
      </c>
      <c r="B5" s="1718">
        <f t="array" ref="B5:H10">Financiación!B57:H62</f>
        <v>0</v>
      </c>
      <c r="C5" s="1718">
        <v>0</v>
      </c>
      <c r="D5" s="1718">
        <v>0</v>
      </c>
      <c r="E5" s="1718">
        <v>0</v>
      </c>
      <c r="F5" s="1718">
        <v>0</v>
      </c>
      <c r="G5" s="1718">
        <v>0</v>
      </c>
      <c r="H5" s="1718">
        <v>0</v>
      </c>
      <c r="J5" s="178">
        <f>IFERROR(CUMPRINC(B6/B10,B9,B5,B16,B16-1+B10,1),0)</f>
        <v>0</v>
      </c>
    </row>
    <row r="6" spans="1:10" ht="18" customHeight="1">
      <c r="A6" s="1316" t="s">
        <v>464</v>
      </c>
      <c r="B6" s="869">
        <v>0.12</v>
      </c>
      <c r="C6" s="869">
        <v>0.15</v>
      </c>
      <c r="D6" s="869">
        <v>0.15</v>
      </c>
      <c r="E6" s="869">
        <v>0.15</v>
      </c>
      <c r="F6" s="869">
        <v>0.15</v>
      </c>
      <c r="G6" s="869">
        <v>0.15</v>
      </c>
      <c r="H6" s="869">
        <v>0.15</v>
      </c>
    </row>
    <row r="7" spans="1:10" ht="18" customHeight="1">
      <c r="A7" s="1316" t="s">
        <v>647</v>
      </c>
      <c r="B7" s="870">
        <v>0</v>
      </c>
      <c r="C7" s="870">
        <v>0</v>
      </c>
      <c r="D7" s="870">
        <v>0</v>
      </c>
      <c r="E7" s="870">
        <v>0</v>
      </c>
      <c r="F7" s="870">
        <v>0</v>
      </c>
      <c r="G7" s="870">
        <v>0</v>
      </c>
      <c r="H7" s="870">
        <v>0</v>
      </c>
    </row>
    <row r="8" spans="1:10" ht="18" customHeight="1">
      <c r="A8" s="1316" t="s">
        <v>168</v>
      </c>
      <c r="B8" s="869">
        <v>0</v>
      </c>
      <c r="C8" s="869">
        <v>5.0000000000000001E-3</v>
      </c>
      <c r="D8" s="869">
        <v>5.0000000000000001E-3</v>
      </c>
      <c r="E8" s="869">
        <v>5.0000000000000001E-3</v>
      </c>
      <c r="F8" s="869">
        <v>5.0000000000000001E-3</v>
      </c>
      <c r="G8" s="869">
        <v>5.0000000000000001E-3</v>
      </c>
      <c r="H8" s="869">
        <v>5.0000000000000001E-3</v>
      </c>
    </row>
    <row r="9" spans="1:10" ht="18" customHeight="1">
      <c r="A9" s="1316" t="s">
        <v>99</v>
      </c>
      <c r="B9" s="870">
        <v>60</v>
      </c>
      <c r="C9" s="870">
        <v>60</v>
      </c>
      <c r="D9" s="870">
        <v>60</v>
      </c>
      <c r="E9" s="870">
        <v>60</v>
      </c>
      <c r="F9" s="870">
        <v>60</v>
      </c>
      <c r="G9" s="870">
        <v>60</v>
      </c>
      <c r="H9" s="870">
        <v>60</v>
      </c>
    </row>
    <row r="10" spans="1:10" ht="18" customHeight="1" thickBot="1">
      <c r="A10" s="1719" t="s">
        <v>98</v>
      </c>
      <c r="B10" s="1720">
        <v>12</v>
      </c>
      <c r="C10" s="1720">
        <v>12</v>
      </c>
      <c r="D10" s="1720">
        <v>12</v>
      </c>
      <c r="E10" s="1720">
        <v>12</v>
      </c>
      <c r="F10" s="1720">
        <v>12</v>
      </c>
      <c r="G10" s="1720">
        <v>12</v>
      </c>
      <c r="H10" s="1720">
        <v>12</v>
      </c>
    </row>
    <row r="11" spans="1:10" ht="19.5" customHeight="1" thickBot="1">
      <c r="F11" s="162"/>
    </row>
    <row r="12" spans="1:10" ht="19.5" customHeight="1" thickBot="1">
      <c r="A12" s="875" t="s">
        <v>661</v>
      </c>
      <c r="B12" s="874">
        <f t="array" ref="B12:H12">IF(ISERR(PMT(B$6:H6/B$10:H10,B$9:H9,-B$5:H5,B$7)),0,PMT(B$6:B6/B$10:H10,B$9:H9,-B$5:H5,B$7:H7))</f>
        <v>0</v>
      </c>
      <c r="C12" s="874">
        <v>0</v>
      </c>
      <c r="D12" s="874">
        <v>0</v>
      </c>
      <c r="E12" s="874">
        <v>0</v>
      </c>
      <c r="F12" s="874">
        <v>0</v>
      </c>
      <c r="G12" s="874">
        <v>0</v>
      </c>
      <c r="H12" s="874">
        <v>0</v>
      </c>
    </row>
    <row r="13" spans="1:10" ht="19.5" customHeight="1" thickBot="1">
      <c r="D13" s="162"/>
      <c r="G13" s="162"/>
    </row>
    <row r="14" spans="1:10" ht="19.5" customHeight="1" thickBot="1">
      <c r="A14" s="1317" t="s">
        <v>657</v>
      </c>
      <c r="B14" s="877">
        <f t="array" ref="B14:H14">B9:H9*12/B10:H10</f>
        <v>60</v>
      </c>
      <c r="C14" s="877">
        <v>60</v>
      </c>
      <c r="D14" s="877">
        <v>60</v>
      </c>
      <c r="E14" s="877">
        <v>60</v>
      </c>
      <c r="F14" s="877">
        <v>60</v>
      </c>
      <c r="G14" s="877">
        <v>60</v>
      </c>
      <c r="H14" s="877">
        <v>60</v>
      </c>
    </row>
    <row r="15" spans="1:10" ht="19.5" customHeight="1" thickBot="1">
      <c r="A15" s="1317" t="s">
        <v>459</v>
      </c>
      <c r="B15" s="877">
        <f t="shared" ref="B15:D16" si="0">mes0</f>
        <v>1</v>
      </c>
      <c r="C15" s="877">
        <f t="shared" si="0"/>
        <v>1</v>
      </c>
      <c r="D15" s="877">
        <f t="shared" si="0"/>
        <v>1</v>
      </c>
      <c r="E15" s="877">
        <v>13</v>
      </c>
      <c r="F15" s="877">
        <v>25</v>
      </c>
      <c r="G15" s="877">
        <v>37</v>
      </c>
      <c r="H15" s="877">
        <v>49</v>
      </c>
    </row>
    <row r="16" spans="1:10" ht="19.5" customHeight="1" thickBot="1">
      <c r="A16" s="1317" t="s">
        <v>658</v>
      </c>
      <c r="B16" s="877">
        <f t="shared" si="0"/>
        <v>1</v>
      </c>
      <c r="C16" s="877">
        <f t="shared" si="0"/>
        <v>1</v>
      </c>
      <c r="D16" s="877">
        <f t="shared" si="0"/>
        <v>1</v>
      </c>
      <c r="E16" s="877">
        <f t="array" ref="E16:H16">E15:H15</f>
        <v>13</v>
      </c>
      <c r="F16" s="877">
        <v>25</v>
      </c>
      <c r="G16" s="877">
        <v>37</v>
      </c>
      <c r="H16" s="877">
        <v>49</v>
      </c>
    </row>
    <row r="17" spans="1:14" ht="19.5" customHeight="1" thickBot="1">
      <c r="A17" s="1317" t="s">
        <v>659</v>
      </c>
      <c r="B17" s="877">
        <f t="array" ref="B17:H17">B16:H16+B14:H14-1</f>
        <v>60</v>
      </c>
      <c r="C17" s="877">
        <v>60</v>
      </c>
      <c r="D17" s="877">
        <v>60</v>
      </c>
      <c r="E17" s="877">
        <v>72</v>
      </c>
      <c r="F17" s="877">
        <v>84</v>
      </c>
      <c r="G17" s="877">
        <v>96</v>
      </c>
      <c r="H17" s="877">
        <v>108</v>
      </c>
    </row>
    <row r="18" spans="1:14" ht="19.5" customHeight="1">
      <c r="C18" s="162"/>
      <c r="F18" s="162"/>
    </row>
    <row r="19" spans="1:14" ht="19.5" customHeight="1" thickBot="1">
      <c r="A19" s="2727" t="str">
        <f>Parametros!$B$77</f>
        <v>Año 0:  2026</v>
      </c>
      <c r="B19" s="163"/>
      <c r="C19" s="162"/>
      <c r="D19" s="162"/>
      <c r="E19" s="162"/>
      <c r="F19" s="162"/>
      <c r="G19" s="162"/>
    </row>
    <row r="20" spans="1:14" s="3" customFormat="1" ht="19.5" customHeight="1" thickBot="1">
      <c r="A20" s="167" t="s">
        <v>391</v>
      </c>
      <c r="B20" s="168">
        <v>1</v>
      </c>
      <c r="C20" s="169">
        <v>2</v>
      </c>
      <c r="D20" s="169">
        <v>3</v>
      </c>
      <c r="E20" s="169">
        <v>4</v>
      </c>
      <c r="F20" s="169">
        <v>5</v>
      </c>
      <c r="G20" s="169">
        <v>6</v>
      </c>
      <c r="H20" s="169">
        <v>7</v>
      </c>
      <c r="I20" s="169">
        <v>8</v>
      </c>
      <c r="J20" s="169">
        <v>9</v>
      </c>
      <c r="K20" s="169">
        <v>10</v>
      </c>
      <c r="L20" s="169">
        <v>11</v>
      </c>
      <c r="M20" s="170">
        <v>12</v>
      </c>
      <c r="N20" s="171" t="s">
        <v>15</v>
      </c>
    </row>
    <row r="21" spans="1:14" s="3" customFormat="1" ht="19.5" customHeight="1">
      <c r="A21" s="172" t="s">
        <v>100</v>
      </c>
      <c r="B21" s="173">
        <f t="array" ref="B21:M21">B22:M22+B23:M23</f>
        <v>0</v>
      </c>
      <c r="C21" s="174">
        <v>0</v>
      </c>
      <c r="D21" s="174">
        <v>0</v>
      </c>
      <c r="E21" s="174">
        <v>0</v>
      </c>
      <c r="F21" s="174">
        <v>0</v>
      </c>
      <c r="G21" s="174">
        <v>0</v>
      </c>
      <c r="H21" s="174">
        <v>0</v>
      </c>
      <c r="I21" s="174">
        <v>0</v>
      </c>
      <c r="J21" s="174">
        <v>0</v>
      </c>
      <c r="K21" s="174">
        <v>0</v>
      </c>
      <c r="L21" s="174">
        <v>0</v>
      </c>
      <c r="M21" s="175">
        <v>0</v>
      </c>
      <c r="N21" s="176">
        <f>SUM(B21:M21)</f>
        <v>0</v>
      </c>
    </row>
    <row r="22" spans="1:14" s="3" customFormat="1" ht="19.5" customHeight="1">
      <c r="A22" s="177" t="s">
        <v>13</v>
      </c>
      <c r="B22" s="880">
        <f t="array" ref="B22:M22">IF(B20:M20=$B$15,$B$5*$B$8,0)+IF(B20:M20=$C$15,$C$5*$C$8,0)+IF(B20:M20=$D$15,$D$5*$D$8,0)
+IF(MOD((B20:M20-$B$15)*$B$10,12),0,IF(B20:M20&lt;$B$15,0,IF(B20:M20&lt;$B$16,$B$5*$B$6/$B$10,IF(B20:M20&lt;=$B$17,IPMT($B$6/$B$10,(B20:M20-$B$15)*$B$10/12+1,$B$9,-$B$5,$B$7),0))))
+IF(MOD((B20:M20-$C$15)*$C$10,12),0,IF(B20:M20&lt;$C$15,0,IF(B20:M20&lt;$C$16,$C$5*$C$6/$C$10,IF(B20:M20&lt;=$C$17,IPMT($C$6/$C$10,(B20:M20-$C$15)*$C$10/12+1,$C$9,-$C$5,$C$7),0))))
+IF(MOD((B20:M20-$D$15)*$D$10,12),0,IF(B20:M20&lt;$D$15,0,IF(B20:M20&lt;$D$16,$D$5*$D$6/$D$10,IF(B20:M20&lt;=$D$17,IPMT($D$6/$D$10,(B20:M20-$D$15)*$D$10/12+1,$D$9,-$D$5,$D$7),0))))</f>
        <v>0</v>
      </c>
      <c r="C22" s="178">
        <v>0</v>
      </c>
      <c r="D22" s="178">
        <v>0</v>
      </c>
      <c r="E22" s="178">
        <v>0</v>
      </c>
      <c r="F22" s="178">
        <v>0</v>
      </c>
      <c r="G22" s="178">
        <v>0</v>
      </c>
      <c r="H22" s="178">
        <v>0</v>
      </c>
      <c r="I22" s="178">
        <v>0</v>
      </c>
      <c r="J22" s="178">
        <v>0</v>
      </c>
      <c r="K22" s="178">
        <v>0</v>
      </c>
      <c r="L22" s="178">
        <v>0</v>
      </c>
      <c r="M22" s="179">
        <v>0</v>
      </c>
      <c r="N22" s="180">
        <f>SUM(B22:M22)</f>
        <v>0</v>
      </c>
    </row>
    <row r="23" spans="1:14" s="3" customFormat="1" ht="19.5" customHeight="1" thickBot="1">
      <c r="A23" s="182" t="s">
        <v>92</v>
      </c>
      <c r="B23" s="881">
        <f>IF(AND(B20&gt;=$B$16,B20&lt;=$B$17,MOD((B20-$B$15)*$B$10,12)=0),PPMT($B$6/$B$10,(B20-$B$15)*$B$10/12+1,$B$9,-$B$5,$B$7),0)
+IF(AND(B20&gt;=$C$16,B20&lt;=$C$17,MOD((B20-$C$15)*$C$10,12)=0),PPMT($C$6/$C$10,(B20-$C$15)*$C$10/12+1,$C$9,-$C$5,$C$7),0)
+IF(AND(B20&gt;=$D$16,B20&lt;=$D$17,MOD((B20-$D$15)*$D$10,12)=0),PPMT($D$6/$D$10,(B20-$D$15)*$D$10/12+1,$D$9,-$D$5,$D$7),0)</f>
        <v>0</v>
      </c>
      <c r="C23" s="882">
        <f t="shared" ref="C23:M23" si="1">IF(AND(C20&gt;=$B$16,C20&lt;=$B$17,MOD((C20-$B$15)*$B$10,12)=0),PPMT($B$6/$B$10,(C20-$B$15)*$B$10/12+1,$B$9,-$B$5,$B$7),0)
+IF(AND(C20&gt;=$C$16,C20&lt;=$C$17,MOD((C20-$C$15)*$C$10,12)=0),PPMT($C$6/$C$10,(C20-$C$15)*$C$10/12+1,$C$9,-$C$5,$C$7),0)
+IF(AND(C20&gt;=$D$16,C20&lt;=$D$17,MOD((C20-$D$15)*$D$10,12)=0),PPMT($D$6/$D$10,(C20-$D$15)*$D$10/12+1,$D$9,-$D$5,$D$7),0)</f>
        <v>0</v>
      </c>
      <c r="D23" s="882">
        <f t="shared" si="1"/>
        <v>0</v>
      </c>
      <c r="E23" s="882">
        <f t="shared" si="1"/>
        <v>0</v>
      </c>
      <c r="F23" s="882">
        <f t="shared" si="1"/>
        <v>0</v>
      </c>
      <c r="G23" s="882">
        <f t="shared" si="1"/>
        <v>0</v>
      </c>
      <c r="H23" s="882">
        <f t="shared" si="1"/>
        <v>0</v>
      </c>
      <c r="I23" s="882">
        <f t="shared" si="1"/>
        <v>0</v>
      </c>
      <c r="J23" s="882">
        <f t="shared" si="1"/>
        <v>0</v>
      </c>
      <c r="K23" s="882">
        <f t="shared" si="1"/>
        <v>0</v>
      </c>
      <c r="L23" s="882">
        <f t="shared" si="1"/>
        <v>0</v>
      </c>
      <c r="M23" s="883">
        <f t="shared" si="1"/>
        <v>0</v>
      </c>
      <c r="N23" s="181">
        <f>SUM(B23:M23)</f>
        <v>0</v>
      </c>
    </row>
    <row r="24" spans="1:14" ht="19.5" customHeight="1" thickBot="1">
      <c r="A24" s="182" t="str">
        <f>'Datos Básicos'!$A$28&amp;" soportado"</f>
        <v>IVA soportado</v>
      </c>
      <c r="B24" s="881">
        <f t="array" ref="B24:M24">B21:M21*Parametros!$F$33</f>
        <v>0</v>
      </c>
      <c r="C24" s="882">
        <v>0</v>
      </c>
      <c r="D24" s="882">
        <v>0</v>
      </c>
      <c r="E24" s="882">
        <v>0</v>
      </c>
      <c r="F24" s="882">
        <v>0</v>
      </c>
      <c r="G24" s="882">
        <v>0</v>
      </c>
      <c r="H24" s="882">
        <v>0</v>
      </c>
      <c r="I24" s="882">
        <v>0</v>
      </c>
      <c r="J24" s="882">
        <v>0</v>
      </c>
      <c r="K24" s="882">
        <v>0</v>
      </c>
      <c r="L24" s="882">
        <v>0</v>
      </c>
      <c r="M24" s="883">
        <v>0</v>
      </c>
      <c r="N24" s="181">
        <f>SUM(B24:M24)</f>
        <v>0</v>
      </c>
    </row>
    <row r="25" spans="1:14" ht="19.5" customHeight="1">
      <c r="C25" s="162"/>
    </row>
    <row r="26" spans="1:14" ht="19.5" customHeight="1" thickBot="1">
      <c r="A26" s="2727" t="str">
        <f>Parametros!$B$78</f>
        <v>Año 1:  2027</v>
      </c>
      <c r="B26" s="163"/>
      <c r="C26" s="162"/>
    </row>
    <row r="27" spans="1:14" s="3" customFormat="1" ht="19.5" customHeight="1" thickBot="1">
      <c r="A27" s="167" t="str">
        <f t="array" ref="A27:A29">A20:A22</f>
        <v>meses</v>
      </c>
      <c r="B27" s="168">
        <v>13</v>
      </c>
      <c r="C27" s="169">
        <v>14</v>
      </c>
      <c r="D27" s="169">
        <v>15</v>
      </c>
      <c r="E27" s="169">
        <v>16</v>
      </c>
      <c r="F27" s="169">
        <v>17</v>
      </c>
      <c r="G27" s="169">
        <v>18</v>
      </c>
      <c r="H27" s="169">
        <v>19</v>
      </c>
      <c r="I27" s="169">
        <v>20</v>
      </c>
      <c r="J27" s="169">
        <v>21</v>
      </c>
      <c r="K27" s="169">
        <v>22</v>
      </c>
      <c r="L27" s="169">
        <v>23</v>
      </c>
      <c r="M27" s="170">
        <v>24</v>
      </c>
      <c r="N27" s="171" t="s">
        <v>15</v>
      </c>
    </row>
    <row r="28" spans="1:14" s="3" customFormat="1" ht="19.5" customHeight="1">
      <c r="A28" s="172" t="str">
        <v>Pagos</v>
      </c>
      <c r="B28" s="173">
        <f t="array" ref="B28:M28">B29:M29+B31:M31</f>
        <v>0</v>
      </c>
      <c r="C28" s="174">
        <v>0</v>
      </c>
      <c r="D28" s="174">
        <v>0</v>
      </c>
      <c r="E28" s="174">
        <v>0</v>
      </c>
      <c r="F28" s="174">
        <v>0</v>
      </c>
      <c r="G28" s="174">
        <v>0</v>
      </c>
      <c r="H28" s="174">
        <v>0</v>
      </c>
      <c r="I28" s="174">
        <v>0</v>
      </c>
      <c r="J28" s="174">
        <v>0</v>
      </c>
      <c r="K28" s="174">
        <v>0</v>
      </c>
      <c r="L28" s="174">
        <v>0</v>
      </c>
      <c r="M28" s="175">
        <v>0</v>
      </c>
      <c r="N28" s="176">
        <f>SUM(B28:M28)</f>
        <v>0</v>
      </c>
    </row>
    <row r="29" spans="1:14" s="3" customFormat="1" ht="19.5" customHeight="1">
      <c r="A29" s="177" t="str">
        <v>Intereses</v>
      </c>
      <c r="B29" s="880">
        <f t="array" ref="B29:M29">IF(B27:M27=$E$15,$E$8*$E$5,0)
+IF(MOD((B27:M27-$B$15)*$B$10,12),0,IF(B27:M27&lt;$B$15,0,IF(B27:M27&lt;$B$16,$B$5*$B$6/$B$10,IF(B27:M27&lt;=$B$17,IPMT($B$6/$B$10,(B27:M27-$B$15)*$B$10/12+1,$B$9,-$B$5,$B$7),0))))
+IF(MOD((B27:M27-$C$15)*$C$10,12),0,IF(B27:M27&lt;$C$15,0,IF(B27:M27&lt;$C$16,$C$5*$C$6/$C$10,IF(B27:M27&lt;=$C$17,IPMT($C$6/$C$10,(B27:M27-$C$15)*$C$10/12+1,$C$9,-$C$5,$C$7),0))))
+IF(MOD((B27:M27-$D$15)*$D$10,12),0,IF(B27:M27&lt;$D$15,0,IF(B27:M27&lt;$D$16,$D$5*$D$6/$D$10,IF(B27:M27&lt;=$D$17,IPMT($D$6/$D$10,(B27:M27-$D$15)*$D$10/12+1,$D$9,-$D$5,$D$7),0))))
+IF(MOD((B27:M27-$E$15)*$E$10,12),0,IF(B27:M27&lt;$E$16,$E$5*$E$6/$E$10,IF(B27:M27&lt;=$E$17,IPMT($E$6/$E$10,(B27:M27-$E$15)*$E$10/12+1,$E$9,-$E$5,$E$7),0)))</f>
        <v>0</v>
      </c>
      <c r="C29" s="178">
        <v>0</v>
      </c>
      <c r="D29" s="178">
        <v>0</v>
      </c>
      <c r="E29" s="178">
        <v>0</v>
      </c>
      <c r="F29" s="178">
        <v>0</v>
      </c>
      <c r="G29" s="178">
        <v>0</v>
      </c>
      <c r="H29" s="178">
        <v>0</v>
      </c>
      <c r="I29" s="178">
        <v>0</v>
      </c>
      <c r="J29" s="178">
        <v>0</v>
      </c>
      <c r="K29" s="178">
        <v>0</v>
      </c>
      <c r="L29" s="178">
        <v>0</v>
      </c>
      <c r="M29" s="179">
        <v>0</v>
      </c>
      <c r="N29" s="180">
        <f>SUM(B29:M29)</f>
        <v>0</v>
      </c>
    </row>
    <row r="30" spans="1:14" s="3" customFormat="1" ht="19.5" customHeight="1">
      <c r="A30" s="2006" t="s">
        <v>898</v>
      </c>
      <c r="B30" s="2007">
        <f t="shared" ref="B30:M30" si="2">+IF(AND(B27&gt;=$E$16,B27&lt;=$E$17,MOD((B27-$E$15)*$E$10,12)=0),PPMT($E$6/$E$10,(B27-$E$15)*$E$10/12+1,$E$9,-$E$5,$E$7),0)</f>
        <v>0</v>
      </c>
      <c r="C30" s="2008">
        <f t="shared" si="2"/>
        <v>0</v>
      </c>
      <c r="D30" s="2008">
        <f t="shared" si="2"/>
        <v>0</v>
      </c>
      <c r="E30" s="2008">
        <f t="shared" si="2"/>
        <v>0</v>
      </c>
      <c r="F30" s="2008">
        <f t="shared" si="2"/>
        <v>0</v>
      </c>
      <c r="G30" s="2008">
        <f t="shared" si="2"/>
        <v>0</v>
      </c>
      <c r="H30" s="2008">
        <f t="shared" si="2"/>
        <v>0</v>
      </c>
      <c r="I30" s="2008">
        <f t="shared" si="2"/>
        <v>0</v>
      </c>
      <c r="J30" s="2008">
        <f t="shared" si="2"/>
        <v>0</v>
      </c>
      <c r="K30" s="2008">
        <f t="shared" si="2"/>
        <v>0</v>
      </c>
      <c r="L30" s="2008">
        <f t="shared" si="2"/>
        <v>0</v>
      </c>
      <c r="M30" s="2009">
        <f t="shared" si="2"/>
        <v>0</v>
      </c>
      <c r="N30" s="180">
        <f>SUM(B30:M30)</f>
        <v>0</v>
      </c>
    </row>
    <row r="31" spans="1:14" s="3" customFormat="1" ht="19.5" customHeight="1" thickBot="1">
      <c r="A31" s="182" t="str">
        <f t="array" ref="A31:A32">A23:A24</f>
        <v>Amortizaciones</v>
      </c>
      <c r="B31" s="881">
        <f t="shared" ref="B31:M31" si="3">IF(AND(B27&gt;=$B$16,B27&lt;=$B$17,MOD((B27-$B$15)*$B$10,12)=0),PPMT($B$6/$B$10,(B27-$B$15)*$B$10/12+1,$B$9,-$B$5,$B$7),0)
+IF(AND(B27&gt;=$C$16,B27&lt;=$C$17,MOD((B27-$C$15)*$C$10,12)=0),PPMT($C$6/$C$10,(B27-$C$15)*$C$10/12+1,$C$9,-$C$5,$C$7),0)
+IF(AND(B27&gt;=$D$16,B27&lt;=$D$17,MOD((B27-$D$15)*$D$10,12)=0),PPMT($D$6/$D$10,(B27-$D$15)*$D$10/12+1,$D$9,-$D$5,$D$7),0)
+IF(AND(B27&gt;=$E$16,B27&lt;=$E$17,MOD((B27-$E$15)*$E$10,12)=0),PPMT($E$6/$E$10,(B27-$E$15)*$E$10/12+1,$E$9,-$E$5,$E$7),0)</f>
        <v>0</v>
      </c>
      <c r="C31" s="882">
        <f t="shared" si="3"/>
        <v>0</v>
      </c>
      <c r="D31" s="882">
        <f t="shared" si="3"/>
        <v>0</v>
      </c>
      <c r="E31" s="882">
        <f t="shared" si="3"/>
        <v>0</v>
      </c>
      <c r="F31" s="882">
        <f t="shared" si="3"/>
        <v>0</v>
      </c>
      <c r="G31" s="882">
        <f t="shared" si="3"/>
        <v>0</v>
      </c>
      <c r="H31" s="882">
        <f t="shared" si="3"/>
        <v>0</v>
      </c>
      <c r="I31" s="882">
        <f t="shared" si="3"/>
        <v>0</v>
      </c>
      <c r="J31" s="882">
        <f t="shared" si="3"/>
        <v>0</v>
      </c>
      <c r="K31" s="882">
        <f t="shared" si="3"/>
        <v>0</v>
      </c>
      <c r="L31" s="882">
        <f t="shared" si="3"/>
        <v>0</v>
      </c>
      <c r="M31" s="883">
        <f t="shared" si="3"/>
        <v>0</v>
      </c>
      <c r="N31" s="181">
        <f>SUM(B31:M31)</f>
        <v>0</v>
      </c>
    </row>
    <row r="32" spans="1:14" ht="15.75" thickBot="1">
      <c r="A32" s="182" t="str">
        <v>IVA soportado</v>
      </c>
      <c r="B32" s="881">
        <f t="array" ref="B32:M32">B28:M28*Parametros!$F$33</f>
        <v>0</v>
      </c>
      <c r="C32" s="882">
        <v>0</v>
      </c>
      <c r="D32" s="882">
        <v>0</v>
      </c>
      <c r="E32" s="882">
        <v>0</v>
      </c>
      <c r="F32" s="882">
        <v>0</v>
      </c>
      <c r="G32" s="882">
        <v>0</v>
      </c>
      <c r="H32" s="882">
        <v>0</v>
      </c>
      <c r="I32" s="882">
        <v>0</v>
      </c>
      <c r="J32" s="882">
        <v>0</v>
      </c>
      <c r="K32" s="882">
        <v>0</v>
      </c>
      <c r="L32" s="882">
        <v>0</v>
      </c>
      <c r="M32" s="883">
        <v>0</v>
      </c>
      <c r="N32" s="181">
        <f>SUM(B32:M32)</f>
        <v>0</v>
      </c>
    </row>
    <row r="34" spans="1:14" ht="18.75" thickBot="1">
      <c r="A34" s="2727" t="str">
        <f>Parametros!$B$79</f>
        <v>Año 2:  2028</v>
      </c>
      <c r="B34" s="163"/>
    </row>
    <row r="35" spans="1:14" s="3" customFormat="1" ht="19.5" customHeight="1" thickBot="1">
      <c r="A35" s="167" t="str">
        <f t="array" ref="A35:A40">A$27:A$32</f>
        <v>meses</v>
      </c>
      <c r="B35" s="168">
        <v>25</v>
      </c>
      <c r="C35" s="169">
        <v>26</v>
      </c>
      <c r="D35" s="169">
        <v>27</v>
      </c>
      <c r="E35" s="169">
        <v>28</v>
      </c>
      <c r="F35" s="169">
        <v>29</v>
      </c>
      <c r="G35" s="169">
        <v>30</v>
      </c>
      <c r="H35" s="169">
        <v>31</v>
      </c>
      <c r="I35" s="169">
        <v>32</v>
      </c>
      <c r="J35" s="169">
        <v>33</v>
      </c>
      <c r="K35" s="169">
        <v>34</v>
      </c>
      <c r="L35" s="169">
        <v>35</v>
      </c>
      <c r="M35" s="170">
        <v>36</v>
      </c>
      <c r="N35" s="171" t="s">
        <v>15</v>
      </c>
    </row>
    <row r="36" spans="1:14" s="3" customFormat="1" ht="19.5" customHeight="1">
      <c r="A36" s="172" t="str">
        <v>Pagos</v>
      </c>
      <c r="B36" s="173">
        <f t="array" ref="B36:M36">B37:M37+B39:M39</f>
        <v>0</v>
      </c>
      <c r="C36" s="174">
        <v>0</v>
      </c>
      <c r="D36" s="174">
        <v>0</v>
      </c>
      <c r="E36" s="174">
        <v>0</v>
      </c>
      <c r="F36" s="174">
        <v>0</v>
      </c>
      <c r="G36" s="174">
        <v>0</v>
      </c>
      <c r="H36" s="174">
        <v>0</v>
      </c>
      <c r="I36" s="174">
        <v>0</v>
      </c>
      <c r="J36" s="174">
        <v>0</v>
      </c>
      <c r="K36" s="174">
        <v>0</v>
      </c>
      <c r="L36" s="174">
        <v>0</v>
      </c>
      <c r="M36" s="175">
        <v>0</v>
      </c>
      <c r="N36" s="176">
        <f>SUM(B36:M36)</f>
        <v>0</v>
      </c>
    </row>
    <row r="37" spans="1:14" s="3" customFormat="1" ht="19.5" customHeight="1">
      <c r="A37" s="177" t="str">
        <v>Intereses</v>
      </c>
      <c r="B37" s="880">
        <f t="array" ref="B37:M37">IF(B35:M35=$F$15,$F$8*$F$5,0)
+IF(MOD((B35:M35-$B$15)*$B$10,12),0,IF(B35:M35&lt;$B$16,$B$5*$B$6/$B$10,IF(B35:M35&lt;=$B$17,IPMT($B$6/$B$10,(B35:M35-$B$15)*$B$10/12+1,$B$9,-$B$5,$B$7),0)))
+IF(MOD((B35:M35-$C$15)*$C$10,12),0,IF(B35:M35&lt;$C$16,$C$5*$C$6/$C$10,IF(B35:M35&lt;=$C$17,IPMT($C$6/$C$10,(B35:M35-$C$15)*$C$10/12+1,$C$9,-$C$5,$C$7),0)))
+IF(MOD((B35:M35-$D$15)*$D$10,12),0,IF(B35:M35&lt;$D$16,$D$5*$D$6/$D$10,IF(B35:M35&lt;=$D$17,IPMT($D$6/$D$10,(B35:M35-$D$15)*$D$10/12+1,$D$9,-$D$5,$D$7),0)))
+IF(MOD((B35:M35-$E$15)*$E$10,12),0,IF(B35:M35&lt;$E$16,$E$5*$E$6/$E$10,IF(B35:M35&lt;=$E$17,IPMT($E$6/$E$10,(B35:M35-$E$15)*$E$10/12+1,$E$9,-$E$5,$E$7),0)))
+IF(MOD((B35:M35-$F$15)*$F$10,12),0,IF(B35:M35&lt;$F$16,$F$5*$F$6/$F$10,IF(B35:M35&lt;$F$17,IPMT($F$6/$F$10,(B35:M35-$F$15)*$F$10/12+1,$F$9,-$F$5,$F$7),0)))</f>
        <v>0</v>
      </c>
      <c r="C37" s="178">
        <v>0</v>
      </c>
      <c r="D37" s="178">
        <v>0</v>
      </c>
      <c r="E37" s="178">
        <v>0</v>
      </c>
      <c r="F37" s="178">
        <v>0</v>
      </c>
      <c r="G37" s="178">
        <v>0</v>
      </c>
      <c r="H37" s="178">
        <v>0</v>
      </c>
      <c r="I37" s="178">
        <v>0</v>
      </c>
      <c r="J37" s="178">
        <v>0</v>
      </c>
      <c r="K37" s="178">
        <v>0</v>
      </c>
      <c r="L37" s="178">
        <v>0</v>
      </c>
      <c r="M37" s="179">
        <v>0</v>
      </c>
      <c r="N37" s="180">
        <f>SUM(B37:M37)</f>
        <v>0</v>
      </c>
    </row>
    <row r="38" spans="1:14" s="3" customFormat="1" ht="19.5" customHeight="1">
      <c r="A38" s="2006" t="str">
        <v>Amort. Nuevo Leasing</v>
      </c>
      <c r="B38" s="2007">
        <f t="shared" ref="B38:M38" si="4">+IF(AND(B35&gt;=$F$16,B35&lt;=$F$17,MOD((B35-$F$15)*$F$10,12)=0),PPMT($F$6/$F$10,(B35-$F$15)*$F$10/12+1,$F$9,-$F$5,$F$7),0)</f>
        <v>0</v>
      </c>
      <c r="C38" s="2008">
        <f t="shared" si="4"/>
        <v>0</v>
      </c>
      <c r="D38" s="2008">
        <f t="shared" si="4"/>
        <v>0</v>
      </c>
      <c r="E38" s="2008">
        <f t="shared" si="4"/>
        <v>0</v>
      </c>
      <c r="F38" s="2008">
        <f t="shared" si="4"/>
        <v>0</v>
      </c>
      <c r="G38" s="2008">
        <f t="shared" si="4"/>
        <v>0</v>
      </c>
      <c r="H38" s="2008">
        <f t="shared" si="4"/>
        <v>0</v>
      </c>
      <c r="I38" s="2008">
        <f t="shared" si="4"/>
        <v>0</v>
      </c>
      <c r="J38" s="2008">
        <f t="shared" si="4"/>
        <v>0</v>
      </c>
      <c r="K38" s="2008">
        <f t="shared" si="4"/>
        <v>0</v>
      </c>
      <c r="L38" s="2008">
        <f t="shared" si="4"/>
        <v>0</v>
      </c>
      <c r="M38" s="2009">
        <f t="shared" si="4"/>
        <v>0</v>
      </c>
      <c r="N38" s="180">
        <f>SUM(B38:M38)</f>
        <v>0</v>
      </c>
    </row>
    <row r="39" spans="1:14" s="3" customFormat="1" ht="19.5" customHeight="1" thickBot="1">
      <c r="A39" s="182" t="str">
        <v>Amortizaciones</v>
      </c>
      <c r="B39" s="881">
        <f t="shared" ref="B39:M39" si="5">IF(AND(B35&gt;=$B$16,B35&lt;=$B$17,MOD((B35-$B$15)*$B$10,12)=0),PPMT($B$6/$B$10,(B35-$B$15)*$B$10/12+1,$B$9,-$B$5,$B$7),0)
+IF(AND(B35&gt;=$C$16,B35&lt;=$C$17,MOD((B35-$C$15)*$C$10,12)=0),PPMT($C$6/$C$10,(B35-$C$15)*$C$10/12+1,$C$9,-$C$5,$C$7),0)
+IF(AND(B35&gt;=$D$16,B35&lt;=$D$17,MOD((B35-$D$15)*$D$10,12)=0),PPMT($D$6/$D$10,(B35-$D$15)*$D$10/12+1,$D$9,-$D$5,$D$7),0)
+IF(AND(B35&gt;=$E$16,B35&lt;=$E$17,MOD((B35-$E$15)*$E$10,12)=0),PPMT($E$6/$E$10,(B35-$E$15)*$E$10/12+1,$E$9,-$E$5,$E$7),0)
+IF(AND(B35&gt;=$F$16,B35&lt;=$F$17,MOD((B35-$F$15)*$F$10,12)=0),PPMT($F$6/$F$10,(B35-$F$15)*$F$10/12+1,$F$9,-$F$5,$F$7),0)</f>
        <v>0</v>
      </c>
      <c r="C39" s="882">
        <f t="shared" si="5"/>
        <v>0</v>
      </c>
      <c r="D39" s="882">
        <f t="shared" si="5"/>
        <v>0</v>
      </c>
      <c r="E39" s="882">
        <f t="shared" si="5"/>
        <v>0</v>
      </c>
      <c r="F39" s="882">
        <f t="shared" si="5"/>
        <v>0</v>
      </c>
      <c r="G39" s="882">
        <f t="shared" si="5"/>
        <v>0</v>
      </c>
      <c r="H39" s="882">
        <f t="shared" si="5"/>
        <v>0</v>
      </c>
      <c r="I39" s="882">
        <f t="shared" si="5"/>
        <v>0</v>
      </c>
      <c r="J39" s="882">
        <f t="shared" si="5"/>
        <v>0</v>
      </c>
      <c r="K39" s="882">
        <f t="shared" si="5"/>
        <v>0</v>
      </c>
      <c r="L39" s="882">
        <f t="shared" si="5"/>
        <v>0</v>
      </c>
      <c r="M39" s="883">
        <f t="shared" si="5"/>
        <v>0</v>
      </c>
      <c r="N39" s="181">
        <f>SUM(B39:M39)</f>
        <v>0</v>
      </c>
    </row>
    <row r="40" spans="1:14" ht="15.75" thickBot="1">
      <c r="A40" s="182" t="str">
        <v>IVA soportado</v>
      </c>
      <c r="B40" s="881">
        <f t="array" ref="B40:M40">B36:M36*Parametros!$F$33</f>
        <v>0</v>
      </c>
      <c r="C40" s="882">
        <v>0</v>
      </c>
      <c r="D40" s="882">
        <v>0</v>
      </c>
      <c r="E40" s="882">
        <v>0</v>
      </c>
      <c r="F40" s="882">
        <v>0</v>
      </c>
      <c r="G40" s="882">
        <v>0</v>
      </c>
      <c r="H40" s="882">
        <v>0</v>
      </c>
      <c r="I40" s="882">
        <v>0</v>
      </c>
      <c r="J40" s="882">
        <v>0</v>
      </c>
      <c r="K40" s="882">
        <v>0</v>
      </c>
      <c r="L40" s="882">
        <v>0</v>
      </c>
      <c r="M40" s="883">
        <v>0</v>
      </c>
      <c r="N40" s="181">
        <f>SUM(B40:M40)</f>
        <v>0</v>
      </c>
    </row>
    <row r="42" spans="1:14" ht="18.75" thickBot="1">
      <c r="A42" s="2727" t="str">
        <f>Parametros!$B$80</f>
        <v>Año 3:  2029</v>
      </c>
      <c r="B42" s="163"/>
    </row>
    <row r="43" spans="1:14" s="3" customFormat="1" ht="19.5" customHeight="1" thickBot="1">
      <c r="A43" s="167" t="str">
        <f t="array" ref="A43:A48">A$27:A$32</f>
        <v>meses</v>
      </c>
      <c r="B43" s="168">
        <v>37</v>
      </c>
      <c r="C43" s="169">
        <v>38</v>
      </c>
      <c r="D43" s="169">
        <v>39</v>
      </c>
      <c r="E43" s="169">
        <v>40</v>
      </c>
      <c r="F43" s="169">
        <v>41</v>
      </c>
      <c r="G43" s="169">
        <v>42</v>
      </c>
      <c r="H43" s="169">
        <v>43</v>
      </c>
      <c r="I43" s="169">
        <v>44</v>
      </c>
      <c r="J43" s="169">
        <v>45</v>
      </c>
      <c r="K43" s="169">
        <v>46</v>
      </c>
      <c r="L43" s="169">
        <v>47</v>
      </c>
      <c r="M43" s="170">
        <v>48</v>
      </c>
      <c r="N43" s="171" t="s">
        <v>15</v>
      </c>
    </row>
    <row r="44" spans="1:14" s="3" customFormat="1" ht="19.5" customHeight="1">
      <c r="A44" s="172" t="str">
        <v>Pagos</v>
      </c>
      <c r="B44" s="173">
        <f t="array" ref="B44:M44">B45:M45+B47:M47</f>
        <v>0</v>
      </c>
      <c r="C44" s="174">
        <v>0</v>
      </c>
      <c r="D44" s="174">
        <v>0</v>
      </c>
      <c r="E44" s="174">
        <v>0</v>
      </c>
      <c r="F44" s="174">
        <v>0</v>
      </c>
      <c r="G44" s="174">
        <v>0</v>
      </c>
      <c r="H44" s="174">
        <v>0</v>
      </c>
      <c r="I44" s="174">
        <v>0</v>
      </c>
      <c r="J44" s="174">
        <v>0</v>
      </c>
      <c r="K44" s="174">
        <v>0</v>
      </c>
      <c r="L44" s="174">
        <v>0</v>
      </c>
      <c r="M44" s="175">
        <v>0</v>
      </c>
      <c r="N44" s="176">
        <f>SUM(B44:M44)</f>
        <v>0</v>
      </c>
    </row>
    <row r="45" spans="1:14" s="3" customFormat="1" ht="19.5" customHeight="1">
      <c r="A45" s="177" t="str">
        <v>Intereses</v>
      </c>
      <c r="B45" s="880">
        <f t="array" ref="B45:M45">IF(B43:M43=37,$G$8*$G$5,0)
+IF(MOD((B43:M43-$B$15)*$B$10,12),0,IF(B43:M43&lt;$B$16,$B$5*$B$6/$B$10,IF(B43:M43&lt;=$B$17,IPMT($B$6/$B$10,(B43:M43-$B$15)*$B$10/12+1,$B$9,-$B$5,$B$7),0)))
+IF(MOD((B43:M43-$C$15)*$C$10,12),0,IF(B43:M43&lt;$C$16,$C$5*$C$6/$C$10,IF(B43:M43&lt;=$C$17,IPMT($C$6/$C$10,(B43:M43-$C$15)*$C$10/12+1,$C$9,-$C$5,$C$7),0)))
+IF(MOD((B43:M43-$D$15)*$D$10,12),0,IF(B43:M43&lt;$D$16,$D$5*$D$6/$D$10,IF(B43:M43&lt;=$D$17,IPMT($D$6/$D$10,(B43:M43-$D$15)*$D$10/12+1,$D$9,-$D$5,$D$7),0)))
+IF(MOD((B43:M43-$E$15)*$E$10,12),0,IF(B43:M43&lt;$E$16,$E$5*$E$6/$E$10,IF(B43:M43&lt;=$E$17,IPMT($E$6/$E$10,(B43:M43-$E$15)*$E$10/12+1,$E$9,-$E$5,$E$7),0)))
+IF(MOD((B43:M43-$F$15)*$F$10,12),0,IF(B43:M43&lt;$F$16,$F$5*$F$6/$F$10,IF(B43:M43&lt;=$F$17,IPMT($F$6/$F$10,(B43:M43-$F$15)*$F$10/12+1,$F$9,-$F$5,$F$7),0)))
+IF(MOD((B43:M43-$G$15)*$G$10,12),0,IF(B43:M43&lt;$G$16,$G$5*$G$6/$G$10,IF(B43:M43&lt;=$G$17,IPMT($G$6/$G$10,(B43:M43-$G$15)*$G$10/12+1,$G$9,-$G$5,$G$7),0)))</f>
        <v>0</v>
      </c>
      <c r="C45" s="178">
        <v>0</v>
      </c>
      <c r="D45" s="178">
        <v>0</v>
      </c>
      <c r="E45" s="178">
        <v>0</v>
      </c>
      <c r="F45" s="178">
        <v>0</v>
      </c>
      <c r="G45" s="178">
        <v>0</v>
      </c>
      <c r="H45" s="178">
        <v>0</v>
      </c>
      <c r="I45" s="178">
        <v>0</v>
      </c>
      <c r="J45" s="178">
        <v>0</v>
      </c>
      <c r="K45" s="178">
        <v>0</v>
      </c>
      <c r="L45" s="178">
        <v>0</v>
      </c>
      <c r="M45" s="179">
        <v>0</v>
      </c>
      <c r="N45" s="180">
        <f>SUM(B45:M45)</f>
        <v>0</v>
      </c>
    </row>
    <row r="46" spans="1:14" s="3" customFormat="1" ht="19.5" customHeight="1">
      <c r="A46" s="2006" t="str">
        <v>Amort. Nuevo Leasing</v>
      </c>
      <c r="B46" s="2007">
        <f t="shared" ref="B46:M46" si="6">+IF(AND(B43&gt;=$G$16,B43&lt;=$G$17,MOD((B43-$G$15)*$G$10,12)=0),PPMT($G$6/$G$10,(B43-$G$15)*$G$10/12+1,$G$9,-$G$5,$G$7),0)</f>
        <v>0</v>
      </c>
      <c r="C46" s="2008">
        <f t="shared" si="6"/>
        <v>0</v>
      </c>
      <c r="D46" s="2008">
        <f t="shared" si="6"/>
        <v>0</v>
      </c>
      <c r="E46" s="2008">
        <f t="shared" si="6"/>
        <v>0</v>
      </c>
      <c r="F46" s="2008">
        <f t="shared" si="6"/>
        <v>0</v>
      </c>
      <c r="G46" s="2008">
        <f t="shared" si="6"/>
        <v>0</v>
      </c>
      <c r="H46" s="2008">
        <f t="shared" si="6"/>
        <v>0</v>
      </c>
      <c r="I46" s="2008">
        <f t="shared" si="6"/>
        <v>0</v>
      </c>
      <c r="J46" s="2008">
        <f t="shared" si="6"/>
        <v>0</v>
      </c>
      <c r="K46" s="2008">
        <f t="shared" si="6"/>
        <v>0</v>
      </c>
      <c r="L46" s="2008">
        <f t="shared" si="6"/>
        <v>0</v>
      </c>
      <c r="M46" s="2009">
        <f t="shared" si="6"/>
        <v>0</v>
      </c>
      <c r="N46" s="180">
        <f>SUM(B46:M46)</f>
        <v>0</v>
      </c>
    </row>
    <row r="47" spans="1:14" s="3" customFormat="1" ht="19.5" customHeight="1" thickBot="1">
      <c r="A47" s="182" t="str">
        <v>Amortizaciones</v>
      </c>
      <c r="B47" s="881">
        <f t="shared" ref="B47:M47" si="7">IF(AND(B43&gt;=$B$16,B43&lt;=$B$17,MOD((B43-$B$15)*$B$10,12)=0),PPMT($B$6/$B$10,(B43-$B$15)*$B$10/12+1,$B$9,-$B$5,$B$7),0)
+IF(AND(B43&gt;=$C$16,B43&lt;=$C$17,MOD((B43-$C$15)*$C$10,12)=0),PPMT($C$6/$C$10,(B43-$C$15)*$C$10/12+1,$C$9,-$C$5,$C$7),0)
+IF(AND(B43&gt;=$D$16,B43&lt;=$D$17,MOD((B43-$D$15)*$D$10,12)=0),PPMT($D$6/$D$10,(B43-$D$15)*$D$10/12+1,$D$9,-$D$5,$D$7),0)
+IF(AND(B43&gt;=$E$16,B43&lt;=$E$17,MOD((B43-$E$15)*$E$10,12)=0),PPMT($E$6/$E$10,(B43-$E$15)*$E$10/12+1,$E$9,-$E$5,$E$7),0)
+IF(AND(B43&gt;=$F$16,B43&lt;=$F$17,MOD((B43-$F$15)*$F$10,12)=0),PPMT($F$6/$F$10,(B43-$F$15)*$F$10/12+1,$F$9,-$F$5,$F$7),0)
+IF(AND(B43&gt;=$G$16,B43&lt;=$G$17,MOD((B43-$G$15)*$G$10,12)=0),PPMT($G$6/$G$10,(B43-$G$15)*$G$10/12+1,$G$9,-$G$5,$G$7),0)</f>
        <v>0</v>
      </c>
      <c r="C47" s="882">
        <f t="shared" si="7"/>
        <v>0</v>
      </c>
      <c r="D47" s="882">
        <f t="shared" si="7"/>
        <v>0</v>
      </c>
      <c r="E47" s="882">
        <f t="shared" si="7"/>
        <v>0</v>
      </c>
      <c r="F47" s="882">
        <f t="shared" si="7"/>
        <v>0</v>
      </c>
      <c r="G47" s="882">
        <f t="shared" si="7"/>
        <v>0</v>
      </c>
      <c r="H47" s="882">
        <f t="shared" si="7"/>
        <v>0</v>
      </c>
      <c r="I47" s="882">
        <f t="shared" si="7"/>
        <v>0</v>
      </c>
      <c r="J47" s="882">
        <f t="shared" si="7"/>
        <v>0</v>
      </c>
      <c r="K47" s="882">
        <f t="shared" si="7"/>
        <v>0</v>
      </c>
      <c r="L47" s="882">
        <f t="shared" si="7"/>
        <v>0</v>
      </c>
      <c r="M47" s="883">
        <f t="shared" si="7"/>
        <v>0</v>
      </c>
      <c r="N47" s="181">
        <f>SUM(B47:M47)</f>
        <v>0</v>
      </c>
    </row>
    <row r="48" spans="1:14" ht="15.75" thickBot="1">
      <c r="A48" s="182" t="str">
        <v>IVA soportado</v>
      </c>
      <c r="B48" s="881">
        <f t="array" ref="B48:M48">B44:M44*Parametros!$F$33</f>
        <v>0</v>
      </c>
      <c r="C48" s="882">
        <v>0</v>
      </c>
      <c r="D48" s="882">
        <v>0</v>
      </c>
      <c r="E48" s="882">
        <v>0</v>
      </c>
      <c r="F48" s="882">
        <v>0</v>
      </c>
      <c r="G48" s="882">
        <v>0</v>
      </c>
      <c r="H48" s="882">
        <v>0</v>
      </c>
      <c r="I48" s="882">
        <v>0</v>
      </c>
      <c r="J48" s="882">
        <v>0</v>
      </c>
      <c r="K48" s="882">
        <v>0</v>
      </c>
      <c r="L48" s="882">
        <v>0</v>
      </c>
      <c r="M48" s="883">
        <v>0</v>
      </c>
      <c r="N48" s="181">
        <f>SUM(B48:M48)</f>
        <v>0</v>
      </c>
    </row>
    <row r="50" spans="1:14" ht="18.75" thickBot="1">
      <c r="A50" s="2727" t="str">
        <f>Parametros!$B$81</f>
        <v>Año 4:  2030</v>
      </c>
      <c r="B50" s="163"/>
    </row>
    <row r="51" spans="1:14" s="3" customFormat="1" ht="19.5" customHeight="1" thickBot="1">
      <c r="A51" s="167" t="str">
        <f t="array" ref="A51:A56">A$27:A$32</f>
        <v>meses</v>
      </c>
      <c r="B51" s="168">
        <v>49</v>
      </c>
      <c r="C51" s="169">
        <v>50</v>
      </c>
      <c r="D51" s="169">
        <v>51</v>
      </c>
      <c r="E51" s="169">
        <v>52</v>
      </c>
      <c r="F51" s="169">
        <v>53</v>
      </c>
      <c r="G51" s="169">
        <v>54</v>
      </c>
      <c r="H51" s="169">
        <v>55</v>
      </c>
      <c r="I51" s="169">
        <v>56</v>
      </c>
      <c r="J51" s="169">
        <v>57</v>
      </c>
      <c r="K51" s="169">
        <v>58</v>
      </c>
      <c r="L51" s="169">
        <v>59</v>
      </c>
      <c r="M51" s="170">
        <v>60</v>
      </c>
      <c r="N51" s="171" t="s">
        <v>15</v>
      </c>
    </row>
    <row r="52" spans="1:14" s="3" customFormat="1" ht="19.5" customHeight="1">
      <c r="A52" s="172" t="str">
        <v>Pagos</v>
      </c>
      <c r="B52" s="173">
        <f t="array" ref="B52:M52">B53:M53+B55:M55</f>
        <v>0</v>
      </c>
      <c r="C52" s="174">
        <v>0</v>
      </c>
      <c r="D52" s="174">
        <v>0</v>
      </c>
      <c r="E52" s="174">
        <v>0</v>
      </c>
      <c r="F52" s="174">
        <v>0</v>
      </c>
      <c r="G52" s="174">
        <v>0</v>
      </c>
      <c r="H52" s="174">
        <v>0</v>
      </c>
      <c r="I52" s="174">
        <v>0</v>
      </c>
      <c r="J52" s="174">
        <v>0</v>
      </c>
      <c r="K52" s="174">
        <v>0</v>
      </c>
      <c r="L52" s="174">
        <v>0</v>
      </c>
      <c r="M52" s="175">
        <v>0</v>
      </c>
      <c r="N52" s="176">
        <f>SUM(B52:M52)</f>
        <v>0</v>
      </c>
    </row>
    <row r="53" spans="1:14" s="3" customFormat="1" ht="19.5" customHeight="1">
      <c r="A53" s="177" t="str">
        <v>Intereses</v>
      </c>
      <c r="B53" s="880">
        <f t="array" ref="B53:M53">IF(B51:M51=$H$15,$H$8*$H$5,0)
+IF(MOD((B51:M51-$B$15)*$B$10,12),0,IF(B51:M51&lt;$B$16,$B$5*$B$6/$B$10,IF(B51:M51&lt;=$B$17,IPMT($B$6/$B$10,(B51:M51-$B$15)*$B$10/12+1,$B$9,-$B$5,$B$7),0)))
+IF(MOD((B51:M51-$C$15)*$C$10,12),0,IF(B51:M51&lt;$C$16,$C$5*$C$6/$C$10,IF(B51:M51&lt;=$C$17,IPMT($C$6/$C$10,(B51:M51-$C$15)*$C$10/12+1,$C$9,-$C$5,$C$7),0)))
+IF(MOD((B51:M51-$D$15)*$D$10,12),0,IF(B51:M51&lt;$D$16,$D$5*$D$6/$D$10,IF(B51:M51&lt;=$D$17,IPMT($D$6/$D$10,(B51:M51-$D$15)*$D$10/12+1,$D$9,-$D$5,$D$7),0)))
+IF(MOD((B51:M51-$E$15)*$E$10,12),0,IF(B51:M51&lt;$E$16,$E$5*$E$6/$E$10,IF(B51:M51&lt;=$E$17,IPMT($E$6/$E$10,(B51:M51-$E$15)*$E$10/12+1,$E$9,-$E$5,$E$7),0)))
+IF(MOD((B51:M51-$F$15)*$F$10,12),0,IF(B51:M51&lt;$F$16,$F$5*$F$6/$F$10,IF(B51:M51&lt;=$F$17,IPMT($F$6/$F$10,(B51:M51-$F$15)*$F$10/12+1,$F$9,-$F$5,$F$7),0)))
+IF(MOD((B51:M51-$G$15)*$G$10,12),0,IF(B51:M51&lt;$G$16,$G$5*$G$6/$G$10,IF(B51:M51&lt;=$G$17,IPMT($G$6/$G$10,(B51:M51-$G$15)*$G$10/12+1,$G$9,-$G$5,$G$7),0)))
+IF(MOD((B51:M51-$H$15)*$H$10,12),0,IF(B51:M51&lt;$H$16,$H$5*$H$6/$H$10,IF(B51:M51&lt;=$H$17,IPMT($H$6/$H$10,(B51:M51-$H$15)*$H$10/12+1,$H$9,-$H$5,$H$7),0)))</f>
        <v>0</v>
      </c>
      <c r="C53" s="178">
        <v>0</v>
      </c>
      <c r="D53" s="178">
        <v>0</v>
      </c>
      <c r="E53" s="178">
        <v>0</v>
      </c>
      <c r="F53" s="178">
        <v>0</v>
      </c>
      <c r="G53" s="178">
        <v>0</v>
      </c>
      <c r="H53" s="178">
        <v>0</v>
      </c>
      <c r="I53" s="178">
        <v>0</v>
      </c>
      <c r="J53" s="178">
        <v>0</v>
      </c>
      <c r="K53" s="178">
        <v>0</v>
      </c>
      <c r="L53" s="178">
        <v>0</v>
      </c>
      <c r="M53" s="179">
        <v>0</v>
      </c>
      <c r="N53" s="180">
        <f>SUM(B53:M53)</f>
        <v>0</v>
      </c>
    </row>
    <row r="54" spans="1:14" s="3" customFormat="1" ht="19.5" customHeight="1">
      <c r="A54" s="2006" t="str">
        <v>Amort. Nuevo Leasing</v>
      </c>
      <c r="B54" s="2007">
        <f t="shared" ref="B54:M54" si="8">+IF(AND(B51&gt;=$H$16,B51&lt;=$H$17,MOD((B51-$H$15)*$H$10,12)=0),PPMT($H$6/$H$10,(B51-$H$15)*$H$10/12+1,$H$9,-$H$5,$H$7),0)</f>
        <v>0</v>
      </c>
      <c r="C54" s="2008">
        <f t="shared" si="8"/>
        <v>0</v>
      </c>
      <c r="D54" s="2008">
        <f t="shared" si="8"/>
        <v>0</v>
      </c>
      <c r="E54" s="2008">
        <f t="shared" si="8"/>
        <v>0</v>
      </c>
      <c r="F54" s="2008">
        <f t="shared" si="8"/>
        <v>0</v>
      </c>
      <c r="G54" s="2008">
        <f t="shared" si="8"/>
        <v>0</v>
      </c>
      <c r="H54" s="2008">
        <f t="shared" si="8"/>
        <v>0</v>
      </c>
      <c r="I54" s="2008">
        <f t="shared" si="8"/>
        <v>0</v>
      </c>
      <c r="J54" s="2008">
        <f t="shared" si="8"/>
        <v>0</v>
      </c>
      <c r="K54" s="2008">
        <f t="shared" si="8"/>
        <v>0</v>
      </c>
      <c r="L54" s="2008">
        <f t="shared" si="8"/>
        <v>0</v>
      </c>
      <c r="M54" s="2009">
        <f t="shared" si="8"/>
        <v>0</v>
      </c>
      <c r="N54" s="180">
        <f>SUM(B54:M54)</f>
        <v>0</v>
      </c>
    </row>
    <row r="55" spans="1:14" s="3" customFormat="1" ht="19.5" customHeight="1" thickBot="1">
      <c r="A55" s="182" t="str">
        <v>Amortizaciones</v>
      </c>
      <c r="B55" s="881">
        <f t="shared" ref="B55:M55" si="9">IF(AND(B51&gt;=$B$16,B51&lt;=$B$17,MOD((B51-$B$15)*$B$10,12)=0),PPMT($B$6/$B$10,(B51-$B$15)*$B$10/12+1,$B$9,-$B$5,$B$7),0)
+IF(AND(B51&gt;=$C$16,B51&lt;=$C$17,MOD((B51-$C$15)*$C$10,12)=0),PPMT($C$6/$C$10,(B51-$C$15)*$C$10/12+1,$C$9,-$C$5,$C$7),0)
+IF(AND(B51&gt;=$D$16,B51&lt;=$D$17,MOD((B51-$D$15)*$D$10,12)=0),PPMT($D$6/$D$10,(B51-$D$15)*$D$10/12+1,$D$9,-$D$5,$D$7),0)
+IF(AND(B51&gt;=$E$16,B51&lt;=$E$17,MOD((B51-$E$15)*$E$10,12)=0),PPMT($E$6/$E$10,(B51-$E$15)*$E$10/12+1,$E$9,-$E$5,$E$7),0)
+IF(AND(B51&gt;=$F$16,B51&lt;=$F$17,MOD((B51-$F$15)*$F$10,12)=0),PPMT($F$6/$F$10,(B51-$F$15)*$F$10/12+1,$F$9,-$F$5,$F$7),0)
+IF(AND(B51&gt;=$G$16,B51&lt;=$G$17,MOD((B51-$G$15)*$G$10,12)=0),PPMT($G$6/$G$10,(B51-$G$15)*$G$10/12+1,$G$9,-$G$5,$G$7),0)
+IF(AND(B51&gt;=$H$16,B51&lt;=$H$17,MOD((B51-$H$15)*$H$10,12)=0),PPMT($H$6/$H$10,(B51-$H$15)*$H$10/12+1,$H$9,-$H$5,$H$7),0)</f>
        <v>0</v>
      </c>
      <c r="C55" s="882">
        <f t="shared" si="9"/>
        <v>0</v>
      </c>
      <c r="D55" s="882">
        <f t="shared" si="9"/>
        <v>0</v>
      </c>
      <c r="E55" s="882">
        <f t="shared" si="9"/>
        <v>0</v>
      </c>
      <c r="F55" s="882">
        <f t="shared" si="9"/>
        <v>0</v>
      </c>
      <c r="G55" s="882">
        <f t="shared" si="9"/>
        <v>0</v>
      </c>
      <c r="H55" s="882">
        <f t="shared" si="9"/>
        <v>0</v>
      </c>
      <c r="I55" s="882">
        <f t="shared" si="9"/>
        <v>0</v>
      </c>
      <c r="J55" s="882">
        <f t="shared" si="9"/>
        <v>0</v>
      </c>
      <c r="K55" s="882">
        <f t="shared" si="9"/>
        <v>0</v>
      </c>
      <c r="L55" s="882">
        <f t="shared" si="9"/>
        <v>0</v>
      </c>
      <c r="M55" s="883">
        <f t="shared" si="9"/>
        <v>0</v>
      </c>
      <c r="N55" s="181">
        <f>SUM(B55:M55)</f>
        <v>0</v>
      </c>
    </row>
    <row r="56" spans="1:14" ht="15.75" thickBot="1">
      <c r="A56" s="182" t="str">
        <v>IVA soportado</v>
      </c>
      <c r="B56" s="881">
        <f t="array" ref="B56:M56">B52:M52*Parametros!$F$33</f>
        <v>0</v>
      </c>
      <c r="C56" s="882">
        <v>0</v>
      </c>
      <c r="D56" s="882">
        <v>0</v>
      </c>
      <c r="E56" s="882">
        <v>0</v>
      </c>
      <c r="F56" s="882">
        <v>0</v>
      </c>
      <c r="G56" s="882">
        <v>0</v>
      </c>
      <c r="H56" s="882">
        <v>0</v>
      </c>
      <c r="I56" s="882">
        <v>0</v>
      </c>
      <c r="J56" s="882">
        <v>0</v>
      </c>
      <c r="K56" s="882">
        <v>0</v>
      </c>
      <c r="L56" s="882">
        <v>0</v>
      </c>
      <c r="M56" s="883">
        <v>0</v>
      </c>
      <c r="N56" s="181">
        <f>SUM(B56:M56)</f>
        <v>0</v>
      </c>
    </row>
    <row r="58" spans="1:14" ht="18.75" thickBot="1">
      <c r="A58" s="2727" t="str">
        <f>Parametros!$G$77</f>
        <v>Año 5 :   2031</v>
      </c>
      <c r="B58" s="163"/>
    </row>
    <row r="59" spans="1:14" s="3" customFormat="1" ht="19.5" customHeight="1" thickBot="1">
      <c r="A59" s="167" t="str">
        <f t="array" ref="A59:A63">A$20:A$24</f>
        <v>meses</v>
      </c>
      <c r="B59" s="168">
        <v>61</v>
      </c>
      <c r="C59" s="169">
        <v>62</v>
      </c>
      <c r="D59" s="169">
        <v>63</v>
      </c>
      <c r="E59" s="169">
        <v>64</v>
      </c>
      <c r="F59" s="169">
        <v>65</v>
      </c>
      <c r="G59" s="169">
        <v>66</v>
      </c>
      <c r="H59" s="169">
        <v>67</v>
      </c>
      <c r="I59" s="169">
        <v>68</v>
      </c>
      <c r="J59" s="169">
        <v>69</v>
      </c>
      <c r="K59" s="169">
        <v>70</v>
      </c>
      <c r="L59" s="169">
        <v>71</v>
      </c>
      <c r="M59" s="170">
        <v>72</v>
      </c>
      <c r="N59" s="171" t="s">
        <v>15</v>
      </c>
    </row>
    <row r="60" spans="1:14" s="3" customFormat="1" ht="19.5" customHeight="1">
      <c r="A60" s="172" t="str">
        <v>Pagos</v>
      </c>
      <c r="B60" s="173">
        <f t="array" ref="B60:M60">B61:M61+B62:M62</f>
        <v>0</v>
      </c>
      <c r="C60" s="174">
        <v>0</v>
      </c>
      <c r="D60" s="174">
        <v>0</v>
      </c>
      <c r="E60" s="174">
        <v>0</v>
      </c>
      <c r="F60" s="174">
        <v>0</v>
      </c>
      <c r="G60" s="174">
        <v>0</v>
      </c>
      <c r="H60" s="174">
        <v>0</v>
      </c>
      <c r="I60" s="174">
        <v>0</v>
      </c>
      <c r="J60" s="174">
        <v>0</v>
      </c>
      <c r="K60" s="174">
        <v>0</v>
      </c>
      <c r="L60" s="174">
        <v>0</v>
      </c>
      <c r="M60" s="175">
        <v>0</v>
      </c>
      <c r="N60" s="176">
        <f>SUM(B60:M60)</f>
        <v>0</v>
      </c>
    </row>
    <row r="61" spans="1:14" s="3" customFormat="1" ht="19.5" customHeight="1">
      <c r="A61" s="177" t="str">
        <v>Intereses</v>
      </c>
      <c r="B61" s="880">
        <f t="array" ref="B61:M61">IF(MOD((B59:M59-$B$15)*$B$10,12),0,IF(B59:M59&lt;$B$16,$B$5*$B$6/$B$10,IF(B59:M59&lt;=$B$17,IPMT($B$6/$B$10,(B59:M59-$B$15)*$B$10/12+1,$B$9,-$B$5,$B$7),0)))
+IF(MOD((B59:M59-$C$15)*$C$10,12),0,IF(B59:M59&lt;$C$16,$C$5*$C$6/$C$10,IF(B59:M59&lt;=$C$17,IPMT($C$6/$C$10,(B59:M59-$C$15)*$C$10/12+1,$C$9,-$C$5,$C$7),0)))
+IF(MOD((B59:M59-$D$15)*$D$10,12),0,IF(B59:M59&lt;$D$16,$D$5*$D$6/$D$10,IF(B59:M59&lt;=$D$17,IPMT($D$6/$D$10,(B59:M59-$D$15)*$D$10/12+1,$D$9,-$D$5,$D$7),0)))
+IF(MOD((B59:M59-$E$15)*$E$10,12),0,IF(B59:M59&lt;$E$16,$E$5*$E$6/$E$10,IF(B59:M59&lt;=$E$17,IPMT($E$6/$E$10,(B59:M59-$E$15)*$E$10/12+1,$E$9,-$E$5,$E$7),0)))
+IF(MOD((B59:M59-$F$15)*$F$10,12),0,IF(B59:M59&lt;$F$16,$F$5*$F$6/$F$10,IF(B59:M59&lt;=$F$17,IPMT($F$6/$F$10,(B59:M59-$F$15)*$F$10/12+1,$F$9,-$F$5,$F$7),0)))
+IF(MOD((B59:M59-$G$15)*$G$10,12),0,IF(B59:M59&lt;$G$16,$G$5*$G$6/$G$10,IF(B59:M59&lt;=$G$17,IPMT($G$6/$G$10,(B59:M59-$G$15)*$G$10/12+1,$G$9,-$G$5,$G$7),0)))
+IF(MOD((B59:M59-$H$15)*$H$10,12),0,IF(B59:M59&lt;$H$16,$H$5*$H$6/$H$10,IF(B59:M59&lt;=$H$17,IPMT($H$6/$H$10,(B59:M59-$H$15)*$H$10/12+1,$H$9,-$H$5,$H$7),0)))</f>
        <v>0</v>
      </c>
      <c r="C61" s="178">
        <v>0</v>
      </c>
      <c r="D61" s="178">
        <v>0</v>
      </c>
      <c r="E61" s="178">
        <v>0</v>
      </c>
      <c r="F61" s="178">
        <v>0</v>
      </c>
      <c r="G61" s="178">
        <v>0</v>
      </c>
      <c r="H61" s="178">
        <v>0</v>
      </c>
      <c r="I61" s="178">
        <v>0</v>
      </c>
      <c r="J61" s="178">
        <v>0</v>
      </c>
      <c r="K61" s="178">
        <v>0</v>
      </c>
      <c r="L61" s="178">
        <v>0</v>
      </c>
      <c r="M61" s="179">
        <v>0</v>
      </c>
      <c r="N61" s="180">
        <f>SUM(B61:M61)</f>
        <v>0</v>
      </c>
    </row>
    <row r="62" spans="1:14" s="3" customFormat="1" ht="19.5" customHeight="1" thickBot="1">
      <c r="A62" s="182" t="str">
        <v>Amortizaciones</v>
      </c>
      <c r="B62" s="881">
        <f t="shared" ref="B62:M62" si="10">IF(AND(B59&gt;=$B$16,B59&lt;=$B$17,MOD((B59-$B$15)*$B$10,12)=0),PPMT($B$6/$B$10,(B59-$B$15)*$B$10/12+1,$B$9,-$B$5,$B$7),0)
+IF(AND(B59&gt;=$C$16,B59&lt;=$C$17,MOD((B59-$C$15)*$C$10,12)=0),PPMT($C$6/$C$10,(B59-$C$15)*$C$10/12+1,$C$9,-$C$5,$C$7),0)
+IF(AND(B59&gt;=$D$16,B59&lt;=$D$17,MOD((B59-$D$15)*$D$10,12)=0),PPMT($D$6/$D$10,(B59-$D$15)*$D$10/12+1,$D$9,-$D$5,$D$7),0)
+IF(AND(B59&gt;=$E$16,B59&lt;=$E$17,MOD((B59-$E$15)*$E$10,12)=0),PPMT($E$6/$E$10,(B59-$E$15)*$E$10/12+1,$E$9,-$E$5,$E$7),0)
+IF(AND(B59&gt;=$F$16,B59&lt;=$F$17,MOD((B59-$F$15)*$F$10,12)=0),PPMT($F$6/$F$10,(B59-$F$15)*$F$10/12+1,$F$9,-$F$5,$F$7),0)
+IF(AND(B59&gt;=$G$16,B59&lt;=$G$17,MOD((B59-$G$15)*$G$10,12)=0),PPMT($G$6/$G$10,(B59-$G$15)*$G$10/12+1,$G$9,-$G$5,$G$7),0)
+IF(AND(B59&gt;=$H$16,B59&lt;=$H$17,MOD((B59-$H$15)*$H$10,12)=0),PPMT($H$6/$H$10,(B59-$H$15)*$H$10/12+1,$H$9,-$H$5,$H$7),0)</f>
        <v>0</v>
      </c>
      <c r="C62" s="882">
        <f t="shared" si="10"/>
        <v>0</v>
      </c>
      <c r="D62" s="882">
        <f t="shared" si="10"/>
        <v>0</v>
      </c>
      <c r="E62" s="882">
        <f t="shared" si="10"/>
        <v>0</v>
      </c>
      <c r="F62" s="882">
        <f t="shared" si="10"/>
        <v>0</v>
      </c>
      <c r="G62" s="882">
        <f t="shared" si="10"/>
        <v>0</v>
      </c>
      <c r="H62" s="882">
        <f t="shared" si="10"/>
        <v>0</v>
      </c>
      <c r="I62" s="882">
        <f t="shared" si="10"/>
        <v>0</v>
      </c>
      <c r="J62" s="882">
        <f t="shared" si="10"/>
        <v>0</v>
      </c>
      <c r="K62" s="882">
        <f t="shared" si="10"/>
        <v>0</v>
      </c>
      <c r="L62" s="882">
        <f t="shared" si="10"/>
        <v>0</v>
      </c>
      <c r="M62" s="883">
        <f t="shared" si="10"/>
        <v>0</v>
      </c>
      <c r="N62" s="181">
        <f>SUM(B62:M62)</f>
        <v>0</v>
      </c>
    </row>
    <row r="63" spans="1:14" ht="15.75" thickBot="1">
      <c r="A63" s="182" t="str">
        <v>IVA soportado</v>
      </c>
      <c r="B63" s="881">
        <f t="array" ref="B63:M63">B60:M60*Parametros!$F$33</f>
        <v>0</v>
      </c>
      <c r="C63" s="882">
        <v>0</v>
      </c>
      <c r="D63" s="882">
        <v>0</v>
      </c>
      <c r="E63" s="882">
        <v>0</v>
      </c>
      <c r="F63" s="882">
        <v>0</v>
      </c>
      <c r="G63" s="882">
        <v>0</v>
      </c>
      <c r="H63" s="882">
        <v>0</v>
      </c>
      <c r="I63" s="882">
        <v>0</v>
      </c>
      <c r="J63" s="882">
        <v>0</v>
      </c>
      <c r="K63" s="882">
        <v>0</v>
      </c>
      <c r="L63" s="882">
        <v>0</v>
      </c>
      <c r="M63" s="883">
        <v>0</v>
      </c>
      <c r="N63" s="181">
        <f>SUM(B63:M63)</f>
        <v>0</v>
      </c>
    </row>
  </sheetData>
  <sheetProtection sheet="1" objects="1" scenarios="1"/>
  <phoneticPr fontId="6" type="noConversion"/>
  <dataValidations disablePrompts="1" xWindow="106" yWindow="209" count="4">
    <dataValidation type="list" allowBlank="1" showInputMessage="1" showErrorMessage="1" prompt="  1 = 1 solo pago anual_x000a_  2 = pagos semestrales_x000a_  3 = pagos cuatrimestrales_x000a_  4 = pagos trimestrales_x000a_  6 = pagos bimensuales_x000a_12 = pagos mensuales" sqref="D10:H10" xr:uid="{00000000-0002-0000-0C00-000000000000}">
      <formula1>"1,2,3,4,6,12"</formula1>
    </dataValidation>
    <dataValidation type="whole" allowBlank="1" showInputMessage="1" showErrorMessage="1" sqref="D9:H9" xr:uid="{00000000-0002-0000-0C00-000001000000}">
      <formula1>0</formula1>
      <formula2>400</formula2>
    </dataValidation>
    <dataValidation allowBlank="1" showInputMessage="1" showErrorMessage="1" prompt="Tipo nominal anual" sqref="D6:H7" xr:uid="{00000000-0002-0000-0C00-000002000000}"/>
    <dataValidation type="decimal" allowBlank="1" showInputMessage="1" showErrorMessage="1" sqref="D8:H8" xr:uid="{00000000-0002-0000-0C00-000003000000}">
      <formula1>0</formula1>
      <formula2>0.05</formula2>
    </dataValidation>
  </dataValidations>
  <printOptions horizontalCentered="1"/>
  <pageMargins left="0.56000000000000005" right="0.69" top="0.66" bottom="0.55000000000000004" header="0.51181102362204722" footer="0.43"/>
  <pageSetup paperSize="9" scale="48" orientation="landscape" horizontalDpi="4294967292" verticalDpi="300" r:id="rId1"/>
  <headerFooter alignWithMargins="0">
    <oddFooter>&amp;C&amp;"Tahoma,Normal"&amp;10&amp;A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62">
    <tabColor indexed="42"/>
    <pageSetUpPr fitToPage="1"/>
  </sheetPr>
  <dimension ref="A1:N59"/>
  <sheetViews>
    <sheetView workbookViewId="0"/>
  </sheetViews>
  <sheetFormatPr baseColWidth="10" defaultColWidth="11" defaultRowHeight="15"/>
  <cols>
    <col min="1" max="1" width="20.25" style="161" customWidth="1"/>
    <col min="2" max="7" width="14.375" style="161" customWidth="1"/>
    <col min="8" max="8" width="11.75" style="161" customWidth="1"/>
    <col min="9" max="9" width="11.875" style="161" customWidth="1"/>
    <col min="10" max="13" width="14.625" style="161" bestFit="1" customWidth="1"/>
    <col min="14" max="14" width="12.875" style="161" customWidth="1"/>
    <col min="15" max="16384" width="11" style="161"/>
  </cols>
  <sheetData>
    <row r="1" spans="1:8" ht="25.5">
      <c r="A1" s="164" t="s">
        <v>671</v>
      </c>
      <c r="E1" s="165"/>
      <c r="F1" s="166"/>
    </row>
    <row r="2" spans="1:8" ht="25.5">
      <c r="A2" s="164" t="str">
        <f>'Datos Básicos'!B9</f>
        <v>nombre empresa</v>
      </c>
      <c r="F2" s="164"/>
    </row>
    <row r="3" spans="1:8" ht="19.5" customHeight="1">
      <c r="D3" s="162"/>
    </row>
    <row r="4" spans="1:8" ht="19.5" customHeight="1" thickBot="1">
      <c r="D4" s="162"/>
    </row>
    <row r="5" spans="1:8" s="3" customFormat="1" ht="36" customHeight="1" thickBot="1">
      <c r="A5" s="1722" t="s">
        <v>652</v>
      </c>
      <c r="B5" s="878" t="str">
        <f t="array" ref="B5:H5">Financiación!B67:H67</f>
        <v>Previo al inicio
(Bal. Previo)</v>
      </c>
      <c r="C5" s="878" t="str">
        <v>Renting 1 Año 0:  2026</v>
      </c>
      <c r="D5" s="878" t="str">
        <v>Renting 2 Año 0:  2026</v>
      </c>
      <c r="E5" s="878" t="str">
        <v>Año 1:  2027</v>
      </c>
      <c r="F5" s="879" t="str">
        <v>Año 2:  2028</v>
      </c>
      <c r="G5" s="879" t="str">
        <v>Año 3:  2029</v>
      </c>
      <c r="H5" s="879" t="str">
        <v>Año 4:  2030</v>
      </c>
    </row>
    <row r="6" spans="1:8" s="3" customFormat="1" ht="24.75" customHeight="1">
      <c r="A6" s="1717" t="s">
        <v>465</v>
      </c>
      <c r="B6" s="1718">
        <f t="array" ref="B6:H10">Financiación!B68:H72</f>
        <v>0</v>
      </c>
      <c r="C6" s="1718">
        <v>0</v>
      </c>
      <c r="D6" s="1718">
        <v>0</v>
      </c>
      <c r="E6" s="1718">
        <v>0</v>
      </c>
      <c r="F6" s="1718">
        <v>0</v>
      </c>
      <c r="G6" s="1718">
        <v>0</v>
      </c>
      <c r="H6" s="1718">
        <v>0</v>
      </c>
    </row>
    <row r="7" spans="1:8" ht="18" customHeight="1">
      <c r="A7" s="1316" t="s">
        <v>464</v>
      </c>
      <c r="B7" s="869">
        <v>0.18</v>
      </c>
      <c r="C7" s="869">
        <v>0.18</v>
      </c>
      <c r="D7" s="869">
        <v>0.15</v>
      </c>
      <c r="E7" s="869">
        <v>0.15</v>
      </c>
      <c r="F7" s="869">
        <v>0.15</v>
      </c>
      <c r="G7" s="869">
        <v>0.15</v>
      </c>
      <c r="H7" s="869">
        <v>0.15</v>
      </c>
    </row>
    <row r="8" spans="1:8" ht="18" customHeight="1">
      <c r="A8" s="1316" t="s">
        <v>168</v>
      </c>
      <c r="B8" s="869">
        <v>0</v>
      </c>
      <c r="C8" s="869">
        <v>5.0000000000000001E-3</v>
      </c>
      <c r="D8" s="869">
        <v>5.0000000000000001E-3</v>
      </c>
      <c r="E8" s="869">
        <v>5.0000000000000001E-3</v>
      </c>
      <c r="F8" s="869">
        <v>5.0000000000000001E-3</v>
      </c>
      <c r="G8" s="869">
        <v>5.0000000000000001E-3</v>
      </c>
      <c r="H8" s="869">
        <v>5.0000000000000001E-3</v>
      </c>
    </row>
    <row r="9" spans="1:8" ht="18" customHeight="1">
      <c r="A9" s="1316" t="s">
        <v>99</v>
      </c>
      <c r="B9" s="870">
        <v>60</v>
      </c>
      <c r="C9" s="870">
        <v>36</v>
      </c>
      <c r="D9" s="870">
        <v>36</v>
      </c>
      <c r="E9" s="870">
        <v>36</v>
      </c>
      <c r="F9" s="870">
        <v>36</v>
      </c>
      <c r="G9" s="870">
        <v>36</v>
      </c>
      <c r="H9" s="870">
        <v>36</v>
      </c>
    </row>
    <row r="10" spans="1:8" ht="18" customHeight="1" thickBot="1">
      <c r="A10" s="1719" t="s">
        <v>98</v>
      </c>
      <c r="B10" s="1720">
        <v>12</v>
      </c>
      <c r="C10" s="1720">
        <v>12</v>
      </c>
      <c r="D10" s="1720">
        <v>12</v>
      </c>
      <c r="E10" s="1720">
        <v>12</v>
      </c>
      <c r="F10" s="1720">
        <v>12</v>
      </c>
      <c r="G10" s="1720">
        <v>12</v>
      </c>
      <c r="H10" s="1720">
        <v>12</v>
      </c>
    </row>
    <row r="11" spans="1:8" ht="19.5" customHeight="1" thickBot="1">
      <c r="F11" s="162"/>
    </row>
    <row r="12" spans="1:8" ht="19.5" customHeight="1" thickBot="1">
      <c r="A12" s="875" t="s">
        <v>662</v>
      </c>
      <c r="B12" s="874">
        <f t="array" ref="B12:H12">IF(ISERR(PMT(B$7:H7/B$10:H10,B$9:H9,-B$6:H6)),0,PMT(B$7:H7/B$10:H10,B$9:H9,-B$6:H6))</f>
        <v>0</v>
      </c>
      <c r="C12" s="874">
        <v>0</v>
      </c>
      <c r="D12" s="874">
        <v>0</v>
      </c>
      <c r="E12" s="874">
        <v>0</v>
      </c>
      <c r="F12" s="874">
        <v>0</v>
      </c>
      <c r="G12" s="874">
        <v>0</v>
      </c>
      <c r="H12" s="874">
        <v>0</v>
      </c>
    </row>
    <row r="13" spans="1:8" ht="19.5" customHeight="1" thickBot="1">
      <c r="D13" s="162"/>
      <c r="G13" s="162"/>
    </row>
    <row r="14" spans="1:8" ht="19.5" customHeight="1" thickBot="1">
      <c r="A14" s="1317" t="s">
        <v>650</v>
      </c>
      <c r="B14" s="877">
        <f t="array" ref="B14:H14">B9:H9*12/B10:H11</f>
        <v>60</v>
      </c>
      <c r="C14" s="877">
        <v>36</v>
      </c>
      <c r="D14" s="877">
        <v>36</v>
      </c>
      <c r="E14" s="877">
        <v>36</v>
      </c>
      <c r="F14" s="877">
        <v>36</v>
      </c>
      <c r="G14" s="877">
        <v>36</v>
      </c>
      <c r="H14" s="877">
        <v>36</v>
      </c>
    </row>
    <row r="15" spans="1:8" ht="19.5" customHeight="1" thickBot="1">
      <c r="A15" s="1317" t="s">
        <v>459</v>
      </c>
      <c r="B15" s="877">
        <f t="shared" ref="B15:D16" si="0">mes0</f>
        <v>1</v>
      </c>
      <c r="C15" s="877">
        <f t="shared" si="0"/>
        <v>1</v>
      </c>
      <c r="D15" s="877">
        <f t="shared" si="0"/>
        <v>1</v>
      </c>
      <c r="E15" s="877">
        <v>13</v>
      </c>
      <c r="F15" s="877">
        <v>25</v>
      </c>
      <c r="G15" s="877">
        <v>37</v>
      </c>
      <c r="H15" s="877">
        <v>49</v>
      </c>
    </row>
    <row r="16" spans="1:8" ht="19.5" customHeight="1" thickBot="1">
      <c r="A16" s="1317" t="s">
        <v>651</v>
      </c>
      <c r="B16" s="877">
        <f t="shared" si="0"/>
        <v>1</v>
      </c>
      <c r="C16" s="877">
        <f t="shared" si="0"/>
        <v>1</v>
      </c>
      <c r="D16" s="877">
        <f t="shared" si="0"/>
        <v>1</v>
      </c>
      <c r="E16" s="877">
        <f t="array" ref="E16:H16">E15:H15</f>
        <v>13</v>
      </c>
      <c r="F16" s="877">
        <v>25</v>
      </c>
      <c r="G16" s="877">
        <v>37</v>
      </c>
      <c r="H16" s="877">
        <v>49</v>
      </c>
    </row>
    <row r="17" spans="1:14" ht="19.5" customHeight="1" thickBot="1">
      <c r="A17" s="1317" t="s">
        <v>660</v>
      </c>
      <c r="B17" s="877">
        <f t="array" ref="B17:H17">B16:H16+B14:H14-1</f>
        <v>60</v>
      </c>
      <c r="C17" s="877">
        <v>36</v>
      </c>
      <c r="D17" s="877">
        <v>36</v>
      </c>
      <c r="E17" s="877">
        <v>48</v>
      </c>
      <c r="F17" s="877">
        <v>60</v>
      </c>
      <c r="G17" s="877">
        <v>72</v>
      </c>
      <c r="H17" s="877">
        <v>84</v>
      </c>
    </row>
    <row r="18" spans="1:14" ht="19.5" customHeight="1">
      <c r="C18" s="162"/>
      <c r="F18" s="162"/>
    </row>
    <row r="19" spans="1:14" ht="19.5" customHeight="1" thickBot="1">
      <c r="A19" s="2727" t="str">
        <f>Parametros!$B$77</f>
        <v>Año 0:  2026</v>
      </c>
      <c r="B19" s="163"/>
      <c r="C19" s="162"/>
      <c r="D19" s="162"/>
      <c r="E19" s="162"/>
      <c r="F19" s="162"/>
      <c r="G19" s="162"/>
    </row>
    <row r="20" spans="1:14" s="3" customFormat="1" ht="19.5" customHeight="1" thickBot="1">
      <c r="A20" s="167" t="s">
        <v>391</v>
      </c>
      <c r="B20" s="168">
        <v>1</v>
      </c>
      <c r="C20" s="169">
        <v>2</v>
      </c>
      <c r="D20" s="169">
        <v>3</v>
      </c>
      <c r="E20" s="169">
        <v>4</v>
      </c>
      <c r="F20" s="169">
        <v>5</v>
      </c>
      <c r="G20" s="169">
        <v>6</v>
      </c>
      <c r="H20" s="169">
        <v>7</v>
      </c>
      <c r="I20" s="169">
        <v>8</v>
      </c>
      <c r="J20" s="169">
        <v>9</v>
      </c>
      <c r="K20" s="169">
        <v>10</v>
      </c>
      <c r="L20" s="169">
        <v>11</v>
      </c>
      <c r="M20" s="170">
        <v>12</v>
      </c>
      <c r="N20" s="171" t="s">
        <v>15</v>
      </c>
    </row>
    <row r="21" spans="1:14" s="3" customFormat="1" ht="19.5" customHeight="1">
      <c r="A21" s="172" t="s">
        <v>100</v>
      </c>
      <c r="B21" s="173">
        <f t="array" ref="B21:M21">B22:M22+B23:M23</f>
        <v>0</v>
      </c>
      <c r="C21" s="174">
        <v>0</v>
      </c>
      <c r="D21" s="174">
        <v>0</v>
      </c>
      <c r="E21" s="174">
        <v>0</v>
      </c>
      <c r="F21" s="174">
        <v>0</v>
      </c>
      <c r="G21" s="174">
        <v>0</v>
      </c>
      <c r="H21" s="174">
        <v>0</v>
      </c>
      <c r="I21" s="174">
        <v>0</v>
      </c>
      <c r="J21" s="174">
        <v>0</v>
      </c>
      <c r="K21" s="174">
        <v>0</v>
      </c>
      <c r="L21" s="174">
        <v>0</v>
      </c>
      <c r="M21" s="175">
        <v>0</v>
      </c>
      <c r="N21" s="176">
        <f>SUM(B21:M21)</f>
        <v>0</v>
      </c>
    </row>
    <row r="22" spans="1:14" s="3" customFormat="1" ht="19.5" customHeight="1">
      <c r="A22" s="177" t="s">
        <v>13</v>
      </c>
      <c r="B22" s="880">
        <f t="array" ref="B22:M22">IF(B20:M20=$B$15,$B$6*$B$8,0)+IF(B20:M20=$C$15,$C$6*$C$8,0)+IF(B20:M20=$D$15,$D$6*$D$8,0)
+IF(MOD((B20:M20-$B$15)*$B$10,12),0,IF(B20:M20&lt;$B$15,0,IF(B20:M20&lt;$B$16,$B$6*$B$7/$B$10,IF(B20:M20&lt;=$B$17,IPMT($B$7/$B$10,(B20:M20-$B$15)*$B$10/12+1,$B$9,-$B$6),0))))
+IF(MOD((B20:M20-$C$15)*$C$10,12),0,IF(B20:M20&lt;$C$15,0,IF(B20:M20&lt;$C$16,$C$6*$C$7/$C$10,IF(B20:M20&lt;=$C$17,IPMT($C$7/$C$10,(B20:M20-$C$15)*$C$10/12+1,$C$9,-$C$6),0))))
+IF(MOD((B20:M20-$D$15)*$D$10,12),0,IF(B20:M20&lt;$D$15,0,IF(B20:M20&lt;$D$16,$D$6*$D$7/$D$10,IF(B20:M20&lt;=$D$17,IPMT($D$7/$D$10,(B20:M20-$D$15)*$D$10/12+1,$D$9,-$D$6),0))))</f>
        <v>0</v>
      </c>
      <c r="C22" s="178">
        <v>0</v>
      </c>
      <c r="D22" s="178">
        <v>0</v>
      </c>
      <c r="E22" s="178">
        <v>0</v>
      </c>
      <c r="F22" s="178">
        <v>0</v>
      </c>
      <c r="G22" s="178">
        <v>0</v>
      </c>
      <c r="H22" s="178">
        <v>0</v>
      </c>
      <c r="I22" s="178">
        <v>0</v>
      </c>
      <c r="J22" s="178">
        <v>0</v>
      </c>
      <c r="K22" s="178">
        <v>0</v>
      </c>
      <c r="L22" s="178">
        <v>0</v>
      </c>
      <c r="M22" s="179">
        <v>0</v>
      </c>
      <c r="N22" s="180">
        <f>SUM(B22:M22)</f>
        <v>0</v>
      </c>
    </row>
    <row r="23" spans="1:14" s="3" customFormat="1" ht="19.5" customHeight="1" thickBot="1">
      <c r="A23" s="182" t="s">
        <v>92</v>
      </c>
      <c r="B23" s="881">
        <f t="shared" ref="B23:M23" si="1">IF(AND(B20&gt;=$B$16,B20&lt;=$B$17,MOD((B20-$B$15)*$B$10,12)=0),PPMT($B$7/$B$10,(B20-$B$15)*$B$10/12+1,$B$9,-$B$6),0)
+IF(AND(B20&gt;=$C$16,B20&lt;=$C$17,MOD((B20-$C$15)*$C$10,12)=0),PPMT($C$7/$C$10,(B20-$C$15)*$C$10/12+1,$C$9,-$C$6),0)
+IF(AND(B20&gt;=$D$16,B20&lt;=$D$17,MOD((B20-$D$15)*$D$10,12)=0),PPMT($D$7/$D$10,(B20-$D$15)*$D$10/12+1,$D$9,-$D$6),0)</f>
        <v>0</v>
      </c>
      <c r="C23" s="882">
        <f t="shared" si="1"/>
        <v>0</v>
      </c>
      <c r="D23" s="882">
        <f t="shared" si="1"/>
        <v>0</v>
      </c>
      <c r="E23" s="882">
        <f t="shared" si="1"/>
        <v>0</v>
      </c>
      <c r="F23" s="882">
        <f t="shared" si="1"/>
        <v>0</v>
      </c>
      <c r="G23" s="882">
        <f t="shared" si="1"/>
        <v>0</v>
      </c>
      <c r="H23" s="882">
        <f t="shared" si="1"/>
        <v>0</v>
      </c>
      <c r="I23" s="882">
        <f t="shared" si="1"/>
        <v>0</v>
      </c>
      <c r="J23" s="882">
        <f t="shared" si="1"/>
        <v>0</v>
      </c>
      <c r="K23" s="882">
        <f t="shared" si="1"/>
        <v>0</v>
      </c>
      <c r="L23" s="882">
        <f t="shared" si="1"/>
        <v>0</v>
      </c>
      <c r="M23" s="883">
        <f t="shared" si="1"/>
        <v>0</v>
      </c>
      <c r="N23" s="181">
        <f>SUM(B23:M23)</f>
        <v>0</v>
      </c>
    </row>
    <row r="24" spans="1:14" ht="19.5" customHeight="1" thickBot="1">
      <c r="A24" s="182" t="str">
        <f>'Datos Básicos'!$A$28&amp;" soportado"</f>
        <v>IVA soportado</v>
      </c>
      <c r="B24" s="881">
        <f t="array" ref="B24:M24">B21:M21*Parametros!$F$33</f>
        <v>0</v>
      </c>
      <c r="C24" s="882">
        <v>0</v>
      </c>
      <c r="D24" s="882">
        <v>0</v>
      </c>
      <c r="E24" s="882">
        <v>0</v>
      </c>
      <c r="F24" s="882">
        <v>0</v>
      </c>
      <c r="G24" s="882">
        <v>0</v>
      </c>
      <c r="H24" s="882">
        <v>0</v>
      </c>
      <c r="I24" s="882">
        <v>0</v>
      </c>
      <c r="J24" s="882">
        <v>0</v>
      </c>
      <c r="K24" s="882">
        <v>0</v>
      </c>
      <c r="L24" s="882">
        <v>0</v>
      </c>
      <c r="M24" s="883">
        <v>0</v>
      </c>
      <c r="N24" s="181">
        <f>SUM(B24:M24)</f>
        <v>0</v>
      </c>
    </row>
    <row r="25" spans="1:14" ht="19.5" customHeight="1">
      <c r="C25" s="162"/>
    </row>
    <row r="26" spans="1:14" ht="19.5" customHeight="1" thickBot="1">
      <c r="A26" s="2727" t="str">
        <f>Parametros!$B$78</f>
        <v>Año 1:  2027</v>
      </c>
      <c r="B26" s="163"/>
      <c r="C26" s="162"/>
    </row>
    <row r="27" spans="1:14" s="3" customFormat="1" ht="19.5" customHeight="1" thickBot="1">
      <c r="A27" s="167" t="str">
        <f t="array" ref="A27:A31">A$20:A$24</f>
        <v>meses</v>
      </c>
      <c r="B27" s="168">
        <v>13</v>
      </c>
      <c r="C27" s="169">
        <v>14</v>
      </c>
      <c r="D27" s="169">
        <v>15</v>
      </c>
      <c r="E27" s="169">
        <v>16</v>
      </c>
      <c r="F27" s="169">
        <v>17</v>
      </c>
      <c r="G27" s="169">
        <v>18</v>
      </c>
      <c r="H27" s="169">
        <v>19</v>
      </c>
      <c r="I27" s="169">
        <v>20</v>
      </c>
      <c r="J27" s="169">
        <v>21</v>
      </c>
      <c r="K27" s="169">
        <v>22</v>
      </c>
      <c r="L27" s="169">
        <v>23</v>
      </c>
      <c r="M27" s="170">
        <v>24</v>
      </c>
      <c r="N27" s="171" t="s">
        <v>15</v>
      </c>
    </row>
    <row r="28" spans="1:14" s="3" customFormat="1" ht="19.5" customHeight="1">
      <c r="A28" s="172" t="str">
        <v>Pagos</v>
      </c>
      <c r="B28" s="173">
        <f t="array" ref="B28:M28">B29:M29+B30:M30</f>
        <v>0</v>
      </c>
      <c r="C28" s="174">
        <v>0</v>
      </c>
      <c r="D28" s="174">
        <v>0</v>
      </c>
      <c r="E28" s="174">
        <v>0</v>
      </c>
      <c r="F28" s="174">
        <v>0</v>
      </c>
      <c r="G28" s="174">
        <v>0</v>
      </c>
      <c r="H28" s="174">
        <v>0</v>
      </c>
      <c r="I28" s="174">
        <v>0</v>
      </c>
      <c r="J28" s="174">
        <v>0</v>
      </c>
      <c r="K28" s="174">
        <v>0</v>
      </c>
      <c r="L28" s="174">
        <v>0</v>
      </c>
      <c r="M28" s="175">
        <v>0</v>
      </c>
      <c r="N28" s="176">
        <f>SUM(B28:M28)</f>
        <v>0</v>
      </c>
    </row>
    <row r="29" spans="1:14" s="3" customFormat="1" ht="19.5" customHeight="1">
      <c r="A29" s="177" t="str">
        <v>Intereses</v>
      </c>
      <c r="B29" s="880">
        <f t="array" ref="B29:M29">IF(B27:M27=$E$15,$E$8*$E$6,0)
+IF(MOD((B27:M27-$B$15)*$B$10,12),0,IF(B27:M27&lt;$B$15,0,IF(B27:M27&lt;$B$16,$B$6*$B$7/$B$10,IF(B27:M27&lt;=$B$17,IPMT($B$7/$B$10,(B27:M27-$B$15)*$B$10/12+1,$B$9,-$B$6),0))))
+IF(MOD((B27:M27-$C$15)*$C$10,12),0,IF(B27:M27&lt;$C$15,0,IF(B27:M27&lt;$C$16,$C$6*$C$7/$C$10,IF(B27:M27&lt;=$C$17,IPMT($C$7/$C$10,(B27:M27-$C$15)*$C$10/12+1,$C$9,-$C$6),0))))
+IF(MOD((B27:M27-$D$15)*$D$10,12),0,IF(B27:M27&lt;$D$15,0,IF(B27:M27&lt;$D$16,$D$6*$D$7/$D$10,IF(B27:M27&lt;=$D$17,IPMT($D$7/$D$10,(B27:M27-$D$15)*$D$10/12+1,$D$9,-$D$6),0))))
+IF(MOD((B27:M27-$E$15)*$E$10,12),0,IF(B27:M27&lt;$E$16,$E$6*$E$7/$E$10,IF(B27:M27&lt;=$E$17,IPMT($E$7/$E$10,(B27:M27-$E$15)*$E$10/12+1,$E$9,-$E$6),0)))</f>
        <v>0</v>
      </c>
      <c r="C29" s="178">
        <v>0</v>
      </c>
      <c r="D29" s="178">
        <v>0</v>
      </c>
      <c r="E29" s="178">
        <v>0</v>
      </c>
      <c r="F29" s="178">
        <v>0</v>
      </c>
      <c r="G29" s="178">
        <v>0</v>
      </c>
      <c r="H29" s="178">
        <v>0</v>
      </c>
      <c r="I29" s="178">
        <v>0</v>
      </c>
      <c r="J29" s="178">
        <v>0</v>
      </c>
      <c r="K29" s="178">
        <v>0</v>
      </c>
      <c r="L29" s="178">
        <v>0</v>
      </c>
      <c r="M29" s="179">
        <v>0</v>
      </c>
      <c r="N29" s="180">
        <f>SUM(B29:M29)</f>
        <v>0</v>
      </c>
    </row>
    <row r="30" spans="1:14" s="3" customFormat="1" ht="19.5" customHeight="1" thickBot="1">
      <c r="A30" s="182" t="str">
        <v>Amortizaciones</v>
      </c>
      <c r="B30" s="881">
        <f t="shared" ref="B30:M30" si="2">IF(AND(B27&gt;=$B$16,B27&lt;=$B$17,MOD((B27-$B$15)*$B$10,12)=0),PPMT($B$7/$B$10,(B27-$B$15)*$B$10/12+1,$B$9,-$B$6),0)
+IF(AND(B27&gt;=$C$16,B27&lt;=$C$17,MOD((B27-$C$15)*$C$10,12)=0),PPMT($C$7/$C$10,(B27-$C$15)*$C$10/12+1,$C$9,-$C$6),0)
+IF(AND(B27&gt;=$D$16,B27&lt;=$D$17,MOD((B27-$D$15)*$D$10,12)=0),PPMT($D$7/$D$10,(B27-$D$15)*$D$10/12+1,$D$9,-$D$6),0)
+IF(AND(B27&gt;=$E$16,B27&lt;=$E$17,MOD((B27-$E$15)*$E$10,12)=0),PPMT($E$7/$E$10,(B27-$E$15)*$E$10/12+1,$E$9,-$E$6),0)</f>
        <v>0</v>
      </c>
      <c r="C30" s="882">
        <f t="shared" si="2"/>
        <v>0</v>
      </c>
      <c r="D30" s="882">
        <f t="shared" si="2"/>
        <v>0</v>
      </c>
      <c r="E30" s="882">
        <f t="shared" si="2"/>
        <v>0</v>
      </c>
      <c r="F30" s="882">
        <f t="shared" si="2"/>
        <v>0</v>
      </c>
      <c r="G30" s="882">
        <f t="shared" si="2"/>
        <v>0</v>
      </c>
      <c r="H30" s="882">
        <f t="shared" si="2"/>
        <v>0</v>
      </c>
      <c r="I30" s="882">
        <f t="shared" si="2"/>
        <v>0</v>
      </c>
      <c r="J30" s="882">
        <f t="shared" si="2"/>
        <v>0</v>
      </c>
      <c r="K30" s="882">
        <f t="shared" si="2"/>
        <v>0</v>
      </c>
      <c r="L30" s="882">
        <f t="shared" si="2"/>
        <v>0</v>
      </c>
      <c r="M30" s="883">
        <f t="shared" si="2"/>
        <v>0</v>
      </c>
      <c r="N30" s="181">
        <f>SUM(B30:M30)</f>
        <v>0</v>
      </c>
    </row>
    <row r="31" spans="1:14" ht="15.75" thickBot="1">
      <c r="A31" s="182" t="str">
        <v>IVA soportado</v>
      </c>
      <c r="B31" s="881">
        <f t="array" ref="B31:M31">B28:M28*Parametros!$F$33</f>
        <v>0</v>
      </c>
      <c r="C31" s="882">
        <v>0</v>
      </c>
      <c r="D31" s="882">
        <v>0</v>
      </c>
      <c r="E31" s="882">
        <v>0</v>
      </c>
      <c r="F31" s="882">
        <v>0</v>
      </c>
      <c r="G31" s="882">
        <v>0</v>
      </c>
      <c r="H31" s="882">
        <v>0</v>
      </c>
      <c r="I31" s="882">
        <v>0</v>
      </c>
      <c r="J31" s="882">
        <v>0</v>
      </c>
      <c r="K31" s="882">
        <v>0</v>
      </c>
      <c r="L31" s="882">
        <v>0</v>
      </c>
      <c r="M31" s="883">
        <v>0</v>
      </c>
      <c r="N31" s="181">
        <f>SUM(B31:M31)</f>
        <v>0</v>
      </c>
    </row>
    <row r="33" spans="1:14" ht="18.75" thickBot="1">
      <c r="A33" s="2727" t="str">
        <f>Parametros!$B$79</f>
        <v>Año 2:  2028</v>
      </c>
      <c r="B33" s="163"/>
    </row>
    <row r="34" spans="1:14" s="3" customFormat="1" ht="19.5" customHeight="1" thickBot="1">
      <c r="A34" s="167" t="str">
        <f t="array" ref="A34:A38">A$20:A$24</f>
        <v>meses</v>
      </c>
      <c r="B34" s="168">
        <v>25</v>
      </c>
      <c r="C34" s="169">
        <v>26</v>
      </c>
      <c r="D34" s="169">
        <v>27</v>
      </c>
      <c r="E34" s="169">
        <v>28</v>
      </c>
      <c r="F34" s="169">
        <v>29</v>
      </c>
      <c r="G34" s="169">
        <v>30</v>
      </c>
      <c r="H34" s="169">
        <v>31</v>
      </c>
      <c r="I34" s="169">
        <v>32</v>
      </c>
      <c r="J34" s="169">
        <v>33</v>
      </c>
      <c r="K34" s="169">
        <v>34</v>
      </c>
      <c r="L34" s="169">
        <v>35</v>
      </c>
      <c r="M34" s="170">
        <v>36</v>
      </c>
      <c r="N34" s="171" t="s">
        <v>15</v>
      </c>
    </row>
    <row r="35" spans="1:14" s="3" customFormat="1" ht="19.5" customHeight="1">
      <c r="A35" s="172" t="str">
        <v>Pagos</v>
      </c>
      <c r="B35" s="173">
        <f t="array" ref="B35:M35">B36:M36+B37:M37</f>
        <v>0</v>
      </c>
      <c r="C35" s="174">
        <v>0</v>
      </c>
      <c r="D35" s="174">
        <v>0</v>
      </c>
      <c r="E35" s="174">
        <v>0</v>
      </c>
      <c r="F35" s="174">
        <v>0</v>
      </c>
      <c r="G35" s="174">
        <v>0</v>
      </c>
      <c r="H35" s="174">
        <v>0</v>
      </c>
      <c r="I35" s="174">
        <v>0</v>
      </c>
      <c r="J35" s="174">
        <v>0</v>
      </c>
      <c r="K35" s="174">
        <v>0</v>
      </c>
      <c r="L35" s="174">
        <v>0</v>
      </c>
      <c r="M35" s="175">
        <v>0</v>
      </c>
      <c r="N35" s="176">
        <f>SUM(B35:M35)</f>
        <v>0</v>
      </c>
    </row>
    <row r="36" spans="1:14" s="3" customFormat="1" ht="19.5" customHeight="1">
      <c r="A36" s="177" t="str">
        <v>Intereses</v>
      </c>
      <c r="B36" s="880">
        <f t="array" ref="B36:M36">IF(B34:M34=$F$15,$F$8*$F$6,0)
+IF(MOD((B34:M34-$B$15)*$B$10,12),0,IF(B34:M34&lt;$B$16,$B$6*$B$7/$B$10,IF(B34:M34&lt;=$B$17,IPMT($B$7/$B$10,(B34:M34-$B$15)*$B$10/12+1,$B$9,-$B$6),0)))
+IF(MOD((B34:M34-$C$15)*$C$10,12),0,IF(B34:M34&lt;$C$16,$C$6*$C$7/$C$10,IF(B34:M34&lt;=$C$17,IPMT($C$7/$C$10,(B34:M34-$C$15)*$C$10/12+1,$C$9,-$C$6),0)))
+IF(MOD((B34:M34-$D$15)*$D$10,12),0,IF(B34:M34&lt;$D$16,$D$6*$D$7/$D$10,IF(B34:M34&lt;=$D$17,IPMT($D$7/$D$10,(B34:M34-$D$15)*$D$10/12+1,$D$9,-$D$6),0)))
+IF(MOD((B34:M34-$E$15)*$E$10,12),0,IF(B34:M34&lt;$E$16,$E$6*$E$7/$E$10,IF(B34:M34&lt;=$E$17,IPMT($E$7/$E$10,(B34:M34-$E$15)*$E$10/12+1,$E$9,-$E$6),0)))
+IF(MOD((B34:M34-$F$15)*$F$10,12),0,IF(B34:M34&lt;$F$16,$F$6*$F$7/$F$10,IF(B34:M34&lt;$F$17,IPMT($F$7/$F$10,(B34:M34-$F$15)*$F$10/12+1,$F$9,-$F$6),0)))</f>
        <v>0</v>
      </c>
      <c r="C36" s="178">
        <v>0</v>
      </c>
      <c r="D36" s="178">
        <v>0</v>
      </c>
      <c r="E36" s="178">
        <v>0</v>
      </c>
      <c r="F36" s="178">
        <v>0</v>
      </c>
      <c r="G36" s="178">
        <v>0</v>
      </c>
      <c r="H36" s="178">
        <v>0</v>
      </c>
      <c r="I36" s="178">
        <v>0</v>
      </c>
      <c r="J36" s="178">
        <v>0</v>
      </c>
      <c r="K36" s="178">
        <v>0</v>
      </c>
      <c r="L36" s="178">
        <v>0</v>
      </c>
      <c r="M36" s="179">
        <v>0</v>
      </c>
      <c r="N36" s="180">
        <f>SUM(B36:M36)</f>
        <v>0</v>
      </c>
    </row>
    <row r="37" spans="1:14" s="3" customFormat="1" ht="19.5" customHeight="1" thickBot="1">
      <c r="A37" s="182" t="str">
        <v>Amortizaciones</v>
      </c>
      <c r="B37" s="881">
        <f t="shared" ref="B37:M37" si="3">IF(AND(B34&gt;=$B$16,B34&lt;=$B$17,MOD((B34-$B$15)*$B$10,12)=0),PPMT($B$7/$B$10,(B34-$B$15)*$B$10/12+1,$B$9,-$B$6),0)
+IF(AND(B34&gt;=$C$16,B34&lt;=$C$17,MOD((B34-$C$15)*$C$10,12)=0),PPMT($C$7/$C$10,(B34-$C$15)*$C$10/12+1,$C$9,-$C$6),0)
+IF(AND(B34&gt;=$D$16,B34&lt;=$D$17,MOD((B34-$D$15)*$D$10,12)=0),PPMT($D$7/$D$10,(B34-$D$15)*$D$10/12+1,$D$9,-$D$6),0)
+IF(AND(B34&gt;=$E$16,B34&lt;=$E$17,MOD((B34-$E$15)*$E$10,12)=0),PPMT($E$7/$E$10,(B34-$E$15)*$E$10/12+1,$E$9,-$E$6),0)
+IF(AND(B34&gt;=$F$16,B34&lt;=$F$17,MOD((B34-$F$15)*$F$10,12)=0),PPMT($F$7/$F$10,(B34-$F$15)*$F$10/12+1,$F$9,-$F$6),0)</f>
        <v>0</v>
      </c>
      <c r="C37" s="882">
        <f t="shared" si="3"/>
        <v>0</v>
      </c>
      <c r="D37" s="882">
        <f t="shared" si="3"/>
        <v>0</v>
      </c>
      <c r="E37" s="882">
        <f t="shared" si="3"/>
        <v>0</v>
      </c>
      <c r="F37" s="882">
        <f t="shared" si="3"/>
        <v>0</v>
      </c>
      <c r="G37" s="882">
        <f t="shared" si="3"/>
        <v>0</v>
      </c>
      <c r="H37" s="882">
        <f t="shared" si="3"/>
        <v>0</v>
      </c>
      <c r="I37" s="882">
        <f t="shared" si="3"/>
        <v>0</v>
      </c>
      <c r="J37" s="882">
        <f t="shared" si="3"/>
        <v>0</v>
      </c>
      <c r="K37" s="882">
        <f t="shared" si="3"/>
        <v>0</v>
      </c>
      <c r="L37" s="882">
        <f t="shared" si="3"/>
        <v>0</v>
      </c>
      <c r="M37" s="883">
        <f t="shared" si="3"/>
        <v>0</v>
      </c>
      <c r="N37" s="181">
        <f>SUM(B37:M37)</f>
        <v>0</v>
      </c>
    </row>
    <row r="38" spans="1:14" ht="15.75" thickBot="1">
      <c r="A38" s="182" t="str">
        <v>IVA soportado</v>
      </c>
      <c r="B38" s="881">
        <f t="array" ref="B38:M38">B35:M35*Parametros!$F$33</f>
        <v>0</v>
      </c>
      <c r="C38" s="882">
        <v>0</v>
      </c>
      <c r="D38" s="882">
        <v>0</v>
      </c>
      <c r="E38" s="882">
        <v>0</v>
      </c>
      <c r="F38" s="882">
        <v>0</v>
      </c>
      <c r="G38" s="882">
        <v>0</v>
      </c>
      <c r="H38" s="882">
        <v>0</v>
      </c>
      <c r="I38" s="882">
        <v>0</v>
      </c>
      <c r="J38" s="882">
        <v>0</v>
      </c>
      <c r="K38" s="882">
        <v>0</v>
      </c>
      <c r="L38" s="882">
        <v>0</v>
      </c>
      <c r="M38" s="883">
        <v>0</v>
      </c>
      <c r="N38" s="181">
        <f>SUM(B38:M38)</f>
        <v>0</v>
      </c>
    </row>
    <row r="40" spans="1:14" ht="18.75" thickBot="1">
      <c r="A40" s="2727" t="str">
        <f>Parametros!$B$80</f>
        <v>Año 3:  2029</v>
      </c>
      <c r="B40" s="163"/>
    </row>
    <row r="41" spans="1:14" s="3" customFormat="1" ht="19.5" customHeight="1" thickBot="1">
      <c r="A41" s="167" t="str">
        <f t="array" ref="A41:A45">A$20:A$24</f>
        <v>meses</v>
      </c>
      <c r="B41" s="168">
        <v>37</v>
      </c>
      <c r="C41" s="169">
        <v>38</v>
      </c>
      <c r="D41" s="169">
        <v>39</v>
      </c>
      <c r="E41" s="169">
        <v>40</v>
      </c>
      <c r="F41" s="169">
        <v>41</v>
      </c>
      <c r="G41" s="169">
        <v>42</v>
      </c>
      <c r="H41" s="169">
        <v>43</v>
      </c>
      <c r="I41" s="169">
        <v>44</v>
      </c>
      <c r="J41" s="169">
        <v>45</v>
      </c>
      <c r="K41" s="169">
        <v>46</v>
      </c>
      <c r="L41" s="169">
        <v>47</v>
      </c>
      <c r="M41" s="170">
        <v>48</v>
      </c>
      <c r="N41" s="171" t="s">
        <v>15</v>
      </c>
    </row>
    <row r="42" spans="1:14" s="3" customFormat="1" ht="19.5" customHeight="1">
      <c r="A42" s="172" t="str">
        <v>Pagos</v>
      </c>
      <c r="B42" s="173">
        <f t="array" ref="B42:M42">B43:M43+B44:M44</f>
        <v>0</v>
      </c>
      <c r="C42" s="174">
        <v>0</v>
      </c>
      <c r="D42" s="174">
        <v>0</v>
      </c>
      <c r="E42" s="174">
        <v>0</v>
      </c>
      <c r="F42" s="174">
        <v>0</v>
      </c>
      <c r="G42" s="174">
        <v>0</v>
      </c>
      <c r="H42" s="174">
        <v>0</v>
      </c>
      <c r="I42" s="174">
        <v>0</v>
      </c>
      <c r="J42" s="174">
        <v>0</v>
      </c>
      <c r="K42" s="174">
        <v>0</v>
      </c>
      <c r="L42" s="174">
        <v>0</v>
      </c>
      <c r="M42" s="175">
        <v>0</v>
      </c>
      <c r="N42" s="176">
        <f>SUM(B42:M42)</f>
        <v>0</v>
      </c>
    </row>
    <row r="43" spans="1:14" s="3" customFormat="1" ht="19.5" customHeight="1">
      <c r="A43" s="177" t="str">
        <v>Intereses</v>
      </c>
      <c r="B43" s="880">
        <f t="array" ref="B43:M43">IF(B41:M41=37,$G$8*$G$6,0)
+IF(MOD((B41:M41-$B$15)*$B$10,12),0,IF(B41:M41&lt;$B$16,$B$6*$B$7/$B$10,IF(B41:M41&lt;=$B$17,IPMT($B$7/$B$10,(B41:M41-$B$15)*$B$10/12+1,$B$9,-$B$6),0)))
+IF(MOD((B41:M41-$C$15)*$C$10,12),0,IF(B41:M41&lt;$C$16,$C$6*$C$7/$C$10,IF(B41:M41&lt;=$C$17,IPMT($C$7/$C$10,(B41:M41-$C$15)*$C$10/12+1,$C$9,-$C$6),0)))
+IF(MOD((B41:M41-$D$15)*$D$10,12),0,IF(B41:M41&lt;$D$16,$D$6*$D$7/$D$10,IF(B41:M41&lt;=$D$17,IPMT($D$7/$D$10,(B41:M41-$D$15)*$D$10/12+1,$D$9,-$D$6),0)))
+IF(MOD((B41:M41-$E$15)*$E$10,12),0,IF(B41:M41&lt;$E$16,$E$6*$E$7/$E$10,IF(B41:M41&lt;=$E$17,IPMT($E$7/$E$10,(B41:M41-$E$15)*$E$10/12+1,$E$9,-$E$6),0)))
+IF(MOD((B41:M41-$F$15)*$F$10,12),0,IF(B41:M41&lt;$F$16,$F$6*$F$7/$F$10,IF(B41:M41&lt;=$F$17,IPMT($F$7/$F$10,(B41:M41-$F$15)*$F$10/12+1,$F$9,-$F$6),0)))
+IF(MOD((B41:M41-$G$15)*$G$10,12),0,IF(B41:M41&lt;$G$16,$G$6*$G$7/$G$10,IF(B41:M41&lt;=$G$17,IPMT($G$7/$G$10,(B41:M41-$G$15)*$G$10/12+1,$G$9,-$G$6),0)))</f>
        <v>0</v>
      </c>
      <c r="C43" s="178">
        <v>0</v>
      </c>
      <c r="D43" s="178">
        <v>0</v>
      </c>
      <c r="E43" s="178">
        <v>0</v>
      </c>
      <c r="F43" s="178">
        <v>0</v>
      </c>
      <c r="G43" s="178">
        <v>0</v>
      </c>
      <c r="H43" s="178">
        <v>0</v>
      </c>
      <c r="I43" s="178">
        <v>0</v>
      </c>
      <c r="J43" s="178">
        <v>0</v>
      </c>
      <c r="K43" s="178">
        <v>0</v>
      </c>
      <c r="L43" s="178">
        <v>0</v>
      </c>
      <c r="M43" s="179">
        <v>0</v>
      </c>
      <c r="N43" s="180">
        <f>SUM(B43:M43)</f>
        <v>0</v>
      </c>
    </row>
    <row r="44" spans="1:14" s="3" customFormat="1" ht="19.5" customHeight="1" thickBot="1">
      <c r="A44" s="182" t="str">
        <v>Amortizaciones</v>
      </c>
      <c r="B44" s="881">
        <f t="shared" ref="B44:M44" si="4">IF(AND(B41&gt;=$B$16,B41&lt;=$B$17,MOD((B41-$B$15)*$B$10,12)=0),PPMT($B$7/$B$10,(B41-$B$15)*$B$10/12+1,$B$9,-$B$6),0)
+IF(AND(B41&gt;=$C$16,B41&lt;=$C$17,MOD((B41-$C$15)*$C$10,12)=0),PPMT($C$7/$C$10,(B41-$C$15)*$C$10/12+1,$C$9,-$C$6),0)
+IF(AND(B41&gt;=$D$16,B41&lt;=$D$17,MOD((B41-$D$15)*$D$10,12)=0),PPMT($D$7/$D$10,(B41-$D$15)*$D$10/12+1,$D$9,-$D$6),0)
+IF(AND(B41&gt;=$E$16,B41&lt;=$E$17,MOD((B41-$E$15)*$E$10,12)=0),PPMT($E$7/$E$10,(B41-$E$15)*$E$10/12+1,$E$9,-$E$6),0)
+IF(AND(B41&gt;=$F$16,B41&lt;=$F$17,MOD((B41-$F$15)*$F$10,12)=0),PPMT($F$7/$F$10,(B41-$F$15)*$F$10/12+1,$F$9,-$F$6),0)
+IF(AND(B41&gt;=$G$16,B41&lt;=$G$17,MOD((B41-$G$15)*$G$10,12)=0),PPMT($G$7/$G$10,(B41-$G$15)*$G$10/12+1,$G$9,-$G$6),0)</f>
        <v>0</v>
      </c>
      <c r="C44" s="882">
        <f t="shared" si="4"/>
        <v>0</v>
      </c>
      <c r="D44" s="882">
        <f t="shared" si="4"/>
        <v>0</v>
      </c>
      <c r="E44" s="882">
        <f t="shared" si="4"/>
        <v>0</v>
      </c>
      <c r="F44" s="882">
        <f t="shared" si="4"/>
        <v>0</v>
      </c>
      <c r="G44" s="882">
        <f t="shared" si="4"/>
        <v>0</v>
      </c>
      <c r="H44" s="882">
        <f t="shared" si="4"/>
        <v>0</v>
      </c>
      <c r="I44" s="882">
        <f t="shared" si="4"/>
        <v>0</v>
      </c>
      <c r="J44" s="882">
        <f t="shared" si="4"/>
        <v>0</v>
      </c>
      <c r="K44" s="882">
        <f t="shared" si="4"/>
        <v>0</v>
      </c>
      <c r="L44" s="882">
        <f t="shared" si="4"/>
        <v>0</v>
      </c>
      <c r="M44" s="883">
        <f t="shared" si="4"/>
        <v>0</v>
      </c>
      <c r="N44" s="181">
        <f>SUM(B44:M44)</f>
        <v>0</v>
      </c>
    </row>
    <row r="45" spans="1:14" ht="15.75" thickBot="1">
      <c r="A45" s="182" t="str">
        <v>IVA soportado</v>
      </c>
      <c r="B45" s="881">
        <f t="array" ref="B45:M45">B42:M42*Parametros!$F$33</f>
        <v>0</v>
      </c>
      <c r="C45" s="882">
        <v>0</v>
      </c>
      <c r="D45" s="882">
        <v>0</v>
      </c>
      <c r="E45" s="882">
        <v>0</v>
      </c>
      <c r="F45" s="882">
        <v>0</v>
      </c>
      <c r="G45" s="882">
        <v>0</v>
      </c>
      <c r="H45" s="882">
        <v>0</v>
      </c>
      <c r="I45" s="882">
        <v>0</v>
      </c>
      <c r="J45" s="882">
        <v>0</v>
      </c>
      <c r="K45" s="882">
        <v>0</v>
      </c>
      <c r="L45" s="882">
        <v>0</v>
      </c>
      <c r="M45" s="883">
        <v>0</v>
      </c>
      <c r="N45" s="181">
        <f>SUM(B45:M45)</f>
        <v>0</v>
      </c>
    </row>
    <row r="47" spans="1:14" ht="18.75" thickBot="1">
      <c r="A47" s="2727" t="str">
        <f>Parametros!$B$81</f>
        <v>Año 4:  2030</v>
      </c>
      <c r="B47" s="163"/>
    </row>
    <row r="48" spans="1:14" s="3" customFormat="1" ht="19.5" customHeight="1" thickBot="1">
      <c r="A48" s="167" t="str">
        <f t="array" ref="A48:A52">A$20:A$24</f>
        <v>meses</v>
      </c>
      <c r="B48" s="168">
        <v>49</v>
      </c>
      <c r="C48" s="169">
        <v>50</v>
      </c>
      <c r="D48" s="169">
        <v>51</v>
      </c>
      <c r="E48" s="169">
        <v>52</v>
      </c>
      <c r="F48" s="169">
        <v>53</v>
      </c>
      <c r="G48" s="169">
        <v>54</v>
      </c>
      <c r="H48" s="169">
        <v>55</v>
      </c>
      <c r="I48" s="169">
        <v>56</v>
      </c>
      <c r="J48" s="169">
        <v>57</v>
      </c>
      <c r="K48" s="169">
        <v>58</v>
      </c>
      <c r="L48" s="169">
        <v>59</v>
      </c>
      <c r="M48" s="170">
        <v>60</v>
      </c>
      <c r="N48" s="171" t="s">
        <v>15</v>
      </c>
    </row>
    <row r="49" spans="1:14" s="3" customFormat="1" ht="19.5" customHeight="1">
      <c r="A49" s="172" t="str">
        <v>Pagos</v>
      </c>
      <c r="B49" s="173">
        <f t="array" ref="B49:M49">B50:M50+B51:M51</f>
        <v>0</v>
      </c>
      <c r="C49" s="174">
        <v>0</v>
      </c>
      <c r="D49" s="174">
        <v>0</v>
      </c>
      <c r="E49" s="174">
        <v>0</v>
      </c>
      <c r="F49" s="174">
        <v>0</v>
      </c>
      <c r="G49" s="174">
        <v>0</v>
      </c>
      <c r="H49" s="174">
        <v>0</v>
      </c>
      <c r="I49" s="174">
        <v>0</v>
      </c>
      <c r="J49" s="174">
        <v>0</v>
      </c>
      <c r="K49" s="174">
        <v>0</v>
      </c>
      <c r="L49" s="174">
        <v>0</v>
      </c>
      <c r="M49" s="175">
        <v>0</v>
      </c>
      <c r="N49" s="176">
        <f>SUM(B49:M49)</f>
        <v>0</v>
      </c>
    </row>
    <row r="50" spans="1:14" s="3" customFormat="1" ht="19.5" customHeight="1">
      <c r="A50" s="177" t="str">
        <v>Intereses</v>
      </c>
      <c r="B50" s="880">
        <f t="array" ref="B50:M50">IF(B48:M48=$H$15,$H$8*$H$6,0)
+IF(MOD((B48:M48-$B$15)*$B$10,12),0,IF(B48:M48&lt;$B$16,$B$6*$B$7/$B$10,IF(B48:M48&lt;=$B$17,IPMT($B$7/$B$10,(B48:M48-$B$15)*$B$10/12+1,$B$9,-$B$6),0)))
+IF(MOD((B48:M48-$C$15)*$C$10,12),0,IF(B48:M48&lt;$C$16,$C$6*$C$7/$C$10,IF(B48:M48&lt;=$C$17,IPMT($C$7/$C$10,(B48:M48-$C$15)*$C$10/12+1,$C$9,-$C$6),0)))
+IF(MOD((B48:M48-$D$15)*$D$10,12),0,IF(B48:M48&lt;$D$16,$D$6*$D$7/$D$10,IF(B48:M48&lt;=$D$17,IPMT($D$7/$D$10,(B48:M48-$D$15)*$D$10/12+1,$D$9,-$D$6),0)))
+IF(MOD((B48:M48-$E$15)*$E$10,12),0,IF(B48:M48&lt;$E$16,$E$6*$E$7/$E$10,IF(B48:M48&lt;=$E$17,IPMT($E$7/$E$10,(B48:M48-$E$15)*$E$10/12+1,$E$9,-$E$6),0)))
+IF(MOD((B48:M48-$F$15)*$F$10,12),0,IF(B48:M48&lt;$F$16,$F$6*$F$7/$F$10,IF(B48:M48&lt;=$F$17,IPMT($F$7/$F$10,(B48:M48-$F$15)*$F$10/12+1,$F$9,-$F$6),0)))
+IF(MOD((B48:M48-$G$15)*$G$10,12),0,IF(B48:M48&lt;$G$16,$G$6*$G$7/$G$10,IF(B48:M48&lt;=$G$17,IPMT($G$7/$G$10,(B48:M48-$G$15)*$G$10/12+1,$G$9,-$G$6),0)))
+IF(MOD((B48:M48-$H$15)*$H$10,12),0,IF(B48:M48&lt;$H$16,$H$6*$H$7/$H$10,IF(B48:M48&lt;=$H$17,IPMT($H$7/$H$10,(B48:M48-$H$15)*$H$10/12+1,$H$9,-$H$6),0)))</f>
        <v>0</v>
      </c>
      <c r="C50" s="178">
        <v>0</v>
      </c>
      <c r="D50" s="178">
        <v>0</v>
      </c>
      <c r="E50" s="178">
        <v>0</v>
      </c>
      <c r="F50" s="178">
        <v>0</v>
      </c>
      <c r="G50" s="178">
        <v>0</v>
      </c>
      <c r="H50" s="178">
        <v>0</v>
      </c>
      <c r="I50" s="178">
        <v>0</v>
      </c>
      <c r="J50" s="178">
        <v>0</v>
      </c>
      <c r="K50" s="178">
        <v>0</v>
      </c>
      <c r="L50" s="178">
        <v>0</v>
      </c>
      <c r="M50" s="179">
        <v>0</v>
      </c>
      <c r="N50" s="180">
        <f>SUM(B50:M50)</f>
        <v>0</v>
      </c>
    </row>
    <row r="51" spans="1:14" s="3" customFormat="1" ht="19.5" customHeight="1" thickBot="1">
      <c r="A51" s="182" t="str">
        <v>Amortizaciones</v>
      </c>
      <c r="B51" s="881">
        <f t="shared" ref="B51:M51" si="5">IF(AND(B48&gt;=$B$16,B48&lt;=$B$17,MOD((B48-$B$15)*$B$10,12)=0),PPMT($B$7/$B$10,(B48-$B$15)*$B$10/12+1,$B$9,-$B$6),0)
+IF(AND(B48&gt;=$C$16,B48&lt;=$C$17,MOD((B48-$C$15)*$C$10,12)=0),PPMT($C$7/$C$10,(B48-$C$15)*$C$10/12+1,$C$9,-$C$6),0)
+IF(AND(B48&gt;=$D$16,B48&lt;=$D$17,MOD((B48-$D$15)*$D$10,12)=0),PPMT($D$7/$D$10,(B48-$D$15)*$D$10/12+1,$D$9,-$D$6),0)
+IF(AND(B48&gt;=$E$16,B48&lt;=$E$17,MOD((B48-$E$15)*$E$10,12)=0),PPMT($E$7/$E$10,(B48-$E$15)*$E$10/12+1,$E$9,-$E$6),0)
+IF(AND(B48&gt;=$F$16,B48&lt;=$F$17,MOD((B48-$F$15)*$F$10,12)=0),PPMT($F$7/$F$10,(B48-$F$15)*$F$10/12+1,$F$9,-$F$6),0)
+IF(AND(B48&gt;=$G$16,B48&lt;=$G$17,MOD((B48-$G$15)*$G$10,12)=0),PPMT($G$7/$G$10,(B48-$G$15)*$G$10/12+1,$G$9,-$G$6),0)
+IF(AND(B48&gt;=$H$16,B48&lt;=$H$17,MOD((B48-$H$15)*$H$10,12)=0),PPMT($H$7/$H$10,(B48-$H$15)*$H$10/12+1,$H$9,-$H$6),0)</f>
        <v>0</v>
      </c>
      <c r="C51" s="882">
        <f t="shared" si="5"/>
        <v>0</v>
      </c>
      <c r="D51" s="882">
        <f t="shared" si="5"/>
        <v>0</v>
      </c>
      <c r="E51" s="882">
        <f t="shared" si="5"/>
        <v>0</v>
      </c>
      <c r="F51" s="882">
        <f t="shared" si="5"/>
        <v>0</v>
      </c>
      <c r="G51" s="882">
        <f t="shared" si="5"/>
        <v>0</v>
      </c>
      <c r="H51" s="882">
        <f t="shared" si="5"/>
        <v>0</v>
      </c>
      <c r="I51" s="882">
        <f t="shared" si="5"/>
        <v>0</v>
      </c>
      <c r="J51" s="882">
        <f t="shared" si="5"/>
        <v>0</v>
      </c>
      <c r="K51" s="882">
        <f t="shared" si="5"/>
        <v>0</v>
      </c>
      <c r="L51" s="882">
        <f t="shared" si="5"/>
        <v>0</v>
      </c>
      <c r="M51" s="883">
        <f t="shared" si="5"/>
        <v>0</v>
      </c>
      <c r="N51" s="181">
        <f>SUM(B51:M51)</f>
        <v>0</v>
      </c>
    </row>
    <row r="52" spans="1:14" ht="15.75" thickBot="1">
      <c r="A52" s="182" t="str">
        <v>IVA soportado</v>
      </c>
      <c r="B52" s="881">
        <f t="array" ref="B52:M52">B49:M49*Parametros!$F$33</f>
        <v>0</v>
      </c>
      <c r="C52" s="882">
        <v>0</v>
      </c>
      <c r="D52" s="882">
        <v>0</v>
      </c>
      <c r="E52" s="882">
        <v>0</v>
      </c>
      <c r="F52" s="882">
        <v>0</v>
      </c>
      <c r="G52" s="882">
        <v>0</v>
      </c>
      <c r="H52" s="882">
        <v>0</v>
      </c>
      <c r="I52" s="882">
        <v>0</v>
      </c>
      <c r="J52" s="882">
        <v>0</v>
      </c>
      <c r="K52" s="882">
        <v>0</v>
      </c>
      <c r="L52" s="882">
        <v>0</v>
      </c>
      <c r="M52" s="883">
        <v>0</v>
      </c>
      <c r="N52" s="181">
        <f>SUM(B52:M52)</f>
        <v>0</v>
      </c>
    </row>
    <row r="54" spans="1:14" ht="18.75" thickBot="1">
      <c r="A54" s="2727" t="str">
        <f>Parametros!$G$77</f>
        <v>Año 5 :   2031</v>
      </c>
      <c r="B54" s="163"/>
    </row>
    <row r="55" spans="1:14" s="3" customFormat="1" ht="19.5" customHeight="1" thickBot="1">
      <c r="A55" s="167" t="str">
        <f t="array" ref="A55:A59">A$20:A$24</f>
        <v>meses</v>
      </c>
      <c r="B55" s="168">
        <v>61</v>
      </c>
      <c r="C55" s="169">
        <v>62</v>
      </c>
      <c r="D55" s="169">
        <v>63</v>
      </c>
      <c r="E55" s="169">
        <v>64</v>
      </c>
      <c r="F55" s="169">
        <v>65</v>
      </c>
      <c r="G55" s="169">
        <v>66</v>
      </c>
      <c r="H55" s="169">
        <v>67</v>
      </c>
      <c r="I55" s="169">
        <v>68</v>
      </c>
      <c r="J55" s="169">
        <v>69</v>
      </c>
      <c r="K55" s="169">
        <v>70</v>
      </c>
      <c r="L55" s="169">
        <v>71</v>
      </c>
      <c r="M55" s="170">
        <v>72</v>
      </c>
      <c r="N55" s="171" t="s">
        <v>15</v>
      </c>
    </row>
    <row r="56" spans="1:14" s="3" customFormat="1" ht="19.5" customHeight="1">
      <c r="A56" s="172" t="str">
        <v>Pagos</v>
      </c>
      <c r="B56" s="173">
        <f t="array" ref="B56:M56">B57:M57+B58:M58</f>
        <v>0</v>
      </c>
      <c r="C56" s="174">
        <v>0</v>
      </c>
      <c r="D56" s="174">
        <v>0</v>
      </c>
      <c r="E56" s="174">
        <v>0</v>
      </c>
      <c r="F56" s="174">
        <v>0</v>
      </c>
      <c r="G56" s="174">
        <v>0</v>
      </c>
      <c r="H56" s="174">
        <v>0</v>
      </c>
      <c r="I56" s="174">
        <v>0</v>
      </c>
      <c r="J56" s="174">
        <v>0</v>
      </c>
      <c r="K56" s="174">
        <v>0</v>
      </c>
      <c r="L56" s="174">
        <v>0</v>
      </c>
      <c r="M56" s="175">
        <v>0</v>
      </c>
      <c r="N56" s="176">
        <f>SUM(B56:M56)</f>
        <v>0</v>
      </c>
    </row>
    <row r="57" spans="1:14" s="3" customFormat="1" ht="19.5" customHeight="1">
      <c r="A57" s="177" t="str">
        <v>Intereses</v>
      </c>
      <c r="B57" s="880">
        <f t="array" ref="B57:M57">+IF(MOD((B55:M55-$B$15)*$B$10,12),0,IF(B55:M55&lt;$B$16,$B$6*$B$7/$B$10,IF(B55:M55&lt;=$B$17,IPMT($B$7/$B$10,(B55:M55-$B$15)*$B$10/12+1,$B$9,-$B$6),0)))
+IF(MOD((B55:M55-$C$15)*$C$10,12),0,IF(B55:M55&lt;$C$16,$C$6*$C$7/$C$10,IF(B55:M55&lt;=$C$17,IPMT($C$7/$C$10,(B55:M55-$C$15)*$C$10/12+1,$C$9,-$C$6),0)))
+IF(MOD((B55:M55-$D$15)*$D$10,12),0,IF(B55:M55&lt;$D$16,$D$6*$D$7/$D$10,IF(B55:M55&lt;=$D$17,IPMT($D$7/$D$10,(B55:M55-$D$15)*$D$10/12+1,$D$9,-$D$6),0)))
+IF(MOD((B55:M55-$E$15)*$E$10,12),0,IF(B55:M55&lt;$E$16,$E$6*$E$7/$E$10,IF(B55:M55&lt;=$E$17,IPMT($E$7/$E$10,(B55:M55-$E$15)*$E$10/12+1,$E$9,-$E$6),0)))
+IF(MOD((B55:M55-$F$15)*$F$10,12),0,IF(B55:M55&lt;$F$16,$F$6*$F$7/$F$10,IF(B55:M55&lt;=$F$17,IPMT($F$7/$F$10,(B55:M55-$F$15)*$F$10/12+1,$F$9,-$F$6),0)))
+IF(MOD((B55:M55-$G$15)*$G$10,12),0,IF(B55:M55&lt;$G$16,$G$6*$G$7/$G$10,IF(B55:M55&lt;=$G$17,IPMT($G$7/$G$10,(B55:M55-$G$15)*$G$10/12+1,$G$9,-$G$6),0)))
+IF(MOD((B55:M55-$H$15)*$H$10,12),0,IF(B55:M55&lt;$H$16,$H$6*$H$7/$H$10,IF(B55:M55&lt;=$H$17,IPMT($H$7/$H$10,(B55:M55-$H$15)*$H$10/12+1,$H$9,-$H$6),0)))</f>
        <v>0</v>
      </c>
      <c r="C57" s="178">
        <v>0</v>
      </c>
      <c r="D57" s="178">
        <v>0</v>
      </c>
      <c r="E57" s="178">
        <v>0</v>
      </c>
      <c r="F57" s="178">
        <v>0</v>
      </c>
      <c r="G57" s="178">
        <v>0</v>
      </c>
      <c r="H57" s="178">
        <v>0</v>
      </c>
      <c r="I57" s="178">
        <v>0</v>
      </c>
      <c r="J57" s="178">
        <v>0</v>
      </c>
      <c r="K57" s="178">
        <v>0</v>
      </c>
      <c r="L57" s="178">
        <v>0</v>
      </c>
      <c r="M57" s="179">
        <v>0</v>
      </c>
      <c r="N57" s="180">
        <f>SUM(B57:M57)</f>
        <v>0</v>
      </c>
    </row>
    <row r="58" spans="1:14" s="3" customFormat="1" ht="19.5" customHeight="1" thickBot="1">
      <c r="A58" s="182" t="str">
        <v>Amortizaciones</v>
      </c>
      <c r="B58" s="881">
        <f t="shared" ref="B58:M58" si="6">IF(AND(B55&gt;=$B$16,B55&lt;=$B$17,MOD((B55-$B$15)*$B$10,12)=0),PPMT($B$7/$B$10,(B55-$B$15)*$B$10/12+1,$B$9,-$B$6),0)
+IF(AND(B55&gt;=$C$16,B55&lt;=$C$17,MOD((B55-$C$15)*$C$10,12)=0),PPMT($C$7/$C$10,(B55-$C$15)*$C$10/12+1,$C$9,-$C$6),0)
+IF(AND(B55&gt;=$D$16,B55&lt;=$D$17,MOD((B55-$D$15)*$D$10,12)=0),PPMT($D$7/$D$10,(B55-$D$15)*$D$10/12+1,$D$9,-$D$6),0)
+IF(AND(B55&gt;=$E$16,B55&lt;=$E$17,MOD((B55-$E$15)*$E$10,12)=0),PPMT($E$7/$E$10,(B55-$E$15)*$E$10/12+1,$E$9,-$E$6),0)
+IF(AND(B55&gt;=$F$16,B55&lt;=$F$17,MOD((B55-$F$15)*$F$10,12)=0),PPMT($F$7/$F$10,(B55-$F$15)*$F$10/12+1,$F$9,-$F$6),0)
+IF(AND(B55&gt;=$G$16,B55&lt;=$G$17,MOD((B55-$G$15)*$G$10,12)=0),PPMT($G$7/$G$10,(B55-$G$15)*$G$10/12+1,$G$9,-$G$6),0)
+IF(AND(B55&gt;=$H$16,B55&lt;=$H$17,MOD((B55-$H$15)*$H$10,12)=0),PPMT($H$7/$H$10,(B55-$H$15)*$H$10/12+1,$H$9,-$H$6),0)</f>
        <v>0</v>
      </c>
      <c r="C58" s="882">
        <f t="shared" si="6"/>
        <v>0</v>
      </c>
      <c r="D58" s="882">
        <f t="shared" si="6"/>
        <v>0</v>
      </c>
      <c r="E58" s="882">
        <f t="shared" si="6"/>
        <v>0</v>
      </c>
      <c r="F58" s="882">
        <f t="shared" si="6"/>
        <v>0</v>
      </c>
      <c r="G58" s="882">
        <f t="shared" si="6"/>
        <v>0</v>
      </c>
      <c r="H58" s="882">
        <f t="shared" si="6"/>
        <v>0</v>
      </c>
      <c r="I58" s="882">
        <f t="shared" si="6"/>
        <v>0</v>
      </c>
      <c r="J58" s="882">
        <f t="shared" si="6"/>
        <v>0</v>
      </c>
      <c r="K58" s="882">
        <f t="shared" si="6"/>
        <v>0</v>
      </c>
      <c r="L58" s="882">
        <f t="shared" si="6"/>
        <v>0</v>
      </c>
      <c r="M58" s="883">
        <f t="shared" si="6"/>
        <v>0</v>
      </c>
      <c r="N58" s="181">
        <f>SUM(B58:M58)</f>
        <v>0</v>
      </c>
    </row>
    <row r="59" spans="1:14" ht="15.75" thickBot="1">
      <c r="A59" s="182" t="str">
        <v>IVA soportado</v>
      </c>
      <c r="B59" s="881">
        <f t="array" ref="B59:M59">B56:M56*Parametros!$F$33</f>
        <v>0</v>
      </c>
      <c r="C59" s="882">
        <v>0</v>
      </c>
      <c r="D59" s="882">
        <v>0</v>
      </c>
      <c r="E59" s="882">
        <v>0</v>
      </c>
      <c r="F59" s="882">
        <v>0</v>
      </c>
      <c r="G59" s="882">
        <v>0</v>
      </c>
      <c r="H59" s="882">
        <v>0</v>
      </c>
      <c r="I59" s="882">
        <v>0</v>
      </c>
      <c r="J59" s="882">
        <v>0</v>
      </c>
      <c r="K59" s="882">
        <v>0</v>
      </c>
      <c r="L59" s="882">
        <v>0</v>
      </c>
      <c r="M59" s="883">
        <v>0</v>
      </c>
      <c r="N59" s="181">
        <f>SUM(B59:M59)</f>
        <v>0</v>
      </c>
    </row>
  </sheetData>
  <sheetProtection sheet="1" objects="1" scenarios="1"/>
  <phoneticPr fontId="6" type="noConversion"/>
  <printOptions horizontalCentered="1"/>
  <pageMargins left="0.56000000000000005" right="0.69" top="0.56999999999999995" bottom="0.57999999999999996" header="0.51181102362204722" footer="0.43"/>
  <pageSetup paperSize="9" scale="52" orientation="landscape" horizontalDpi="4294967292" verticalDpi="300" r:id="rId1"/>
  <headerFooter alignWithMargins="0">
    <oddFooter>&amp;C&amp;"Tahoma,Normal"&amp;10&amp;A</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59">
    <tabColor indexed="43"/>
    <pageSetUpPr fitToPage="1"/>
  </sheetPr>
  <dimension ref="A1:O99"/>
  <sheetViews>
    <sheetView workbookViewId="0"/>
  </sheetViews>
  <sheetFormatPr baseColWidth="10" defaultColWidth="11" defaultRowHeight="15"/>
  <cols>
    <col min="1" max="1" width="31.25" style="35" customWidth="1"/>
    <col min="2" max="2" width="10.375" style="35" customWidth="1"/>
    <col min="3" max="3" width="10.5" style="35" customWidth="1"/>
    <col min="4" max="4" width="11" style="35"/>
    <col min="5" max="5" width="10.125" style="35" customWidth="1"/>
    <col min="6" max="6" width="10.75" style="35" customWidth="1"/>
    <col min="7" max="10" width="9.5" style="35" customWidth="1"/>
    <col min="11" max="11" width="11.25" style="35" customWidth="1"/>
    <col min="12" max="17" width="9.5" style="35" customWidth="1"/>
    <col min="18" max="16384" width="11" style="35"/>
  </cols>
  <sheetData>
    <row r="1" spans="1:15" ht="25.5">
      <c r="A1" s="67" t="s">
        <v>477</v>
      </c>
      <c r="B1" s="59"/>
      <c r="C1" s="59"/>
      <c r="D1" s="59"/>
      <c r="E1" s="59"/>
    </row>
    <row r="2" spans="1:15" ht="25.5">
      <c r="A2" s="67" t="str">
        <f>'Datos Básicos'!B9</f>
        <v>nombre empresa</v>
      </c>
      <c r="B2" s="59"/>
      <c r="C2" s="59"/>
      <c r="D2" s="59"/>
      <c r="E2" s="59"/>
    </row>
    <row r="3" spans="1:15" ht="12" customHeight="1" thickBot="1">
      <c r="A3" s="59"/>
      <c r="B3" s="59"/>
      <c r="C3" s="59"/>
      <c r="D3" s="59"/>
      <c r="E3" s="59"/>
    </row>
    <row r="4" spans="1:15" ht="15.75" thickBot="1">
      <c r="A4" s="183"/>
      <c r="B4" s="184" t="s">
        <v>165</v>
      </c>
      <c r="C4" s="185" t="str">
        <f>CONCATENATE("=  mes ",mes0," del ",'Datos Básicos'!B18)</f>
        <v>=  mes 1 del Año 0</v>
      </c>
      <c r="D4" s="186"/>
      <c r="E4" s="187" t="str">
        <f>'Datos Básicos'!F21</f>
        <v>= mes de enero de 2026</v>
      </c>
      <c r="F4" s="1359"/>
      <c r="G4" s="382"/>
      <c r="I4" s="2025" t="str">
        <f>'Datos Evaluación'!B53</f>
        <v/>
      </c>
    </row>
    <row r="5" spans="1:15">
      <c r="C5" s="2058">
        <v>1</v>
      </c>
      <c r="D5" s="2058">
        <v>2</v>
      </c>
      <c r="E5" s="2058">
        <v>3</v>
      </c>
      <c r="F5" s="2058">
        <v>4</v>
      </c>
      <c r="G5" s="2058">
        <v>5</v>
      </c>
      <c r="H5" s="2058">
        <v>6</v>
      </c>
      <c r="I5" s="2058">
        <v>7</v>
      </c>
      <c r="J5" s="2058">
        <v>8</v>
      </c>
      <c r="K5" s="2058">
        <v>9</v>
      </c>
      <c r="L5" s="2058">
        <v>10</v>
      </c>
      <c r="M5" s="2058">
        <v>11</v>
      </c>
      <c r="N5" s="2058">
        <v>12</v>
      </c>
    </row>
    <row r="6" spans="1:15" s="542" customFormat="1" ht="19.5">
      <c r="A6" s="398" t="s">
        <v>172</v>
      </c>
      <c r="B6" s="398"/>
      <c r="C6" s="398"/>
      <c r="D6" s="398"/>
      <c r="E6" s="237" t="str">
        <f>Parametros!B$77</f>
        <v>Año 0:  2026</v>
      </c>
      <c r="F6" s="541"/>
    </row>
    <row r="7" spans="1:15" ht="4.5" customHeight="1" thickBot="1"/>
    <row r="8" spans="1:15" s="221" customFormat="1" ht="21.75" customHeight="1" thickBot="1">
      <c r="A8" s="215" t="s">
        <v>171</v>
      </c>
      <c r="B8" s="216" t="s">
        <v>82</v>
      </c>
      <c r="C8" s="217" t="str">
        <f t="array" ref="C8:N8">meses</f>
        <v>enero</v>
      </c>
      <c r="D8" s="218" t="str">
        <v>febrero</v>
      </c>
      <c r="E8" s="218" t="str">
        <v>marzo</v>
      </c>
      <c r="F8" s="218" t="str">
        <v>abril</v>
      </c>
      <c r="G8" s="218" t="str">
        <v>mayo</v>
      </c>
      <c r="H8" s="218" t="str">
        <v>junio</v>
      </c>
      <c r="I8" s="218" t="str">
        <v>julio</v>
      </c>
      <c r="J8" s="218" t="str">
        <v>agosto</v>
      </c>
      <c r="K8" s="218" t="str">
        <v>septiembre</v>
      </c>
      <c r="L8" s="218" t="str">
        <v>octubre</v>
      </c>
      <c r="M8" s="218" t="str">
        <v>noviembre</v>
      </c>
      <c r="N8" s="219" t="str">
        <v>diciembre</v>
      </c>
      <c r="O8" s="220" t="s">
        <v>164</v>
      </c>
    </row>
    <row r="9" spans="1:15">
      <c r="A9" s="222" t="str">
        <f t="array" ref="A9:A16">catlaborales</f>
        <v>Socios/as gestores/as</v>
      </c>
      <c r="B9" s="188">
        <f t="array" ref="B9:B16">'RR.HH.'!B6:B13</f>
        <v>1</v>
      </c>
      <c r="C9" s="189">
        <f>$B9    *IF(OR('RR.HH.'!$H6="No",C$18),1,0)</f>
        <v>1</v>
      </c>
      <c r="D9" s="190">
        <f>$B9    *IF(OR('RR.HH.'!$H6="No",D$18),1,0)</f>
        <v>1</v>
      </c>
      <c r="E9" s="190">
        <f>$B9    *IF(OR('RR.HH.'!$H6="No",E$18),1,0)</f>
        <v>1</v>
      </c>
      <c r="F9" s="190">
        <f>$B9    *IF(OR('RR.HH.'!$H6="No",F$18),1,0)</f>
        <v>1</v>
      </c>
      <c r="G9" s="190">
        <f>$B9    *IF(OR('RR.HH.'!$H6="No",G$18),1,0)</f>
        <v>1</v>
      </c>
      <c r="H9" s="190">
        <f>$B9    *IF(OR('RR.HH.'!$H6="No",H$18),1,0)</f>
        <v>1</v>
      </c>
      <c r="I9" s="190">
        <f>$B9    *IF(OR('RR.HH.'!$H6="No",I$18),1,0)</f>
        <v>1</v>
      </c>
      <c r="J9" s="190">
        <f>$B9    *IF(OR('RR.HH.'!$H6="No",J$18),1,0)</f>
        <v>1</v>
      </c>
      <c r="K9" s="190">
        <f>$B9    *IF(OR('RR.HH.'!$H6="No",K$18),1,0)</f>
        <v>1</v>
      </c>
      <c r="L9" s="190">
        <f>$B9    *IF(OR('RR.HH.'!$H6="No",L$18),1,0)</f>
        <v>1</v>
      </c>
      <c r="M9" s="190">
        <f>$B9    *IF(OR('RR.HH.'!$H6="No",M$18),1,0)</f>
        <v>1</v>
      </c>
      <c r="N9" s="191">
        <f>$B9    *IF(OR('RR.HH.'!$H6="No",N$18),1,0)</f>
        <v>1</v>
      </c>
      <c r="O9" s="192">
        <f t="shared" ref="O9:O17" si="0">AVERAGE(C9:N9)</f>
        <v>1</v>
      </c>
    </row>
    <row r="10" spans="1:15">
      <c r="A10" s="223" t="str">
        <v>Otros personas en RETA</v>
      </c>
      <c r="B10" s="193">
        <v>0</v>
      </c>
      <c r="C10" s="194">
        <f>$B10    *IF(OR('RR.HH.'!$H7="No",C$18),1,0)</f>
        <v>0</v>
      </c>
      <c r="D10" s="195">
        <f>$B10    *IF(OR('RR.HH.'!$H7="No",D$18),1,0)</f>
        <v>0</v>
      </c>
      <c r="E10" s="195">
        <f>$B10    *IF(OR('RR.HH.'!$H7="No",E$18),1,0)</f>
        <v>0</v>
      </c>
      <c r="F10" s="195">
        <f>$B10    *IF(OR('RR.HH.'!$H7="No",F$18),1,0)</f>
        <v>0</v>
      </c>
      <c r="G10" s="195">
        <f>$B10    *IF(OR('RR.HH.'!$H7="No",G$18),1,0)</f>
        <v>0</v>
      </c>
      <c r="H10" s="195">
        <f>$B10    *IF(OR('RR.HH.'!$H7="No",H$18),1,0)</f>
        <v>0</v>
      </c>
      <c r="I10" s="195">
        <f>$B10    *IF(OR('RR.HH.'!$H7="No",I$18),1,0)</f>
        <v>0</v>
      </c>
      <c r="J10" s="195">
        <f>$B10    *IF(OR('RR.HH.'!$H7="No",J$18),1,0)</f>
        <v>0</v>
      </c>
      <c r="K10" s="195">
        <f>$B10    *IF(OR('RR.HH.'!$H7="No",K$18),1,0)</f>
        <v>0</v>
      </c>
      <c r="L10" s="195">
        <f>$B10    *IF(OR('RR.HH.'!$H7="No",L$18),1,0)</f>
        <v>0</v>
      </c>
      <c r="M10" s="195">
        <f>$B10    *IF(OR('RR.HH.'!$H7="No",M$18),1,0)</f>
        <v>0</v>
      </c>
      <c r="N10" s="196">
        <f>$B10    *IF(OR('RR.HH.'!$H7="No",N$18),1,0)</f>
        <v>0</v>
      </c>
      <c r="O10" s="197">
        <f t="shared" si="0"/>
        <v>0</v>
      </c>
    </row>
    <row r="11" spans="1:15">
      <c r="A11" s="223" t="str">
        <v>empleado</v>
      </c>
      <c r="B11" s="193">
        <v>0</v>
      </c>
      <c r="C11" s="194">
        <f>$B11    *IF(OR('RR.HH.'!$H8="No",C$18),1,0)</f>
        <v>0</v>
      </c>
      <c r="D11" s="195">
        <f>$B11    *IF(OR('RR.HH.'!$H8="No",D$18),1,0)</f>
        <v>0</v>
      </c>
      <c r="E11" s="195">
        <f>$B11    *IF(OR('RR.HH.'!$H8="No",E$18),1,0)</f>
        <v>0</v>
      </c>
      <c r="F11" s="195">
        <f>$B11    *IF(OR('RR.HH.'!$H8="No",F$18),1,0)</f>
        <v>0</v>
      </c>
      <c r="G11" s="195">
        <f>$B11    *IF(OR('RR.HH.'!$H8="No",G$18),1,0)</f>
        <v>0</v>
      </c>
      <c r="H11" s="195">
        <f>$B11    *IF(OR('RR.HH.'!$H8="No",H$18),1,0)</f>
        <v>0</v>
      </c>
      <c r="I11" s="195">
        <f>$B11    *IF(OR('RR.HH.'!$H8="No",I$18),1,0)</f>
        <v>0</v>
      </c>
      <c r="J11" s="195">
        <f>$B11    *IF(OR('RR.HH.'!$H8="No",J$18),1,0)</f>
        <v>0</v>
      </c>
      <c r="K11" s="195">
        <f>$B11    *IF(OR('RR.HH.'!$H8="No",K$18),1,0)</f>
        <v>0</v>
      </c>
      <c r="L11" s="195">
        <f>$B11    *IF(OR('RR.HH.'!$H8="No",L$18),1,0)</f>
        <v>0</v>
      </c>
      <c r="M11" s="195">
        <f>$B11    *IF(OR('RR.HH.'!$H8="No",M$18),1,0)</f>
        <v>0</v>
      </c>
      <c r="N11" s="196">
        <f>$B11    *IF(OR('RR.HH.'!$H8="No",N$18),1,0)</f>
        <v>0</v>
      </c>
      <c r="O11" s="197">
        <f t="shared" si="0"/>
        <v>0</v>
      </c>
    </row>
    <row r="12" spans="1:15">
      <c r="A12" s="223" t="str">
        <v>encargado</v>
      </c>
      <c r="B12" s="193">
        <v>0</v>
      </c>
      <c r="C12" s="194">
        <f>$B12    *IF(OR('RR.HH.'!$H9="No",C$18),1,0)</f>
        <v>0</v>
      </c>
      <c r="D12" s="195">
        <f>$B12    *IF(OR('RR.HH.'!$H9="No",D$18),1,0)</f>
        <v>0</v>
      </c>
      <c r="E12" s="195">
        <f>$B12    *IF(OR('RR.HH.'!$H9="No",E$18),1,0)</f>
        <v>0</v>
      </c>
      <c r="F12" s="195">
        <f>$B12    *IF(OR('RR.HH.'!$H9="No",F$18),1,0)</f>
        <v>0</v>
      </c>
      <c r="G12" s="195">
        <f>$B12    *IF(OR('RR.HH.'!$H9="No",G$18),1,0)</f>
        <v>0</v>
      </c>
      <c r="H12" s="195">
        <f>$B12    *IF(OR('RR.HH.'!$H9="No",H$18),1,0)</f>
        <v>0</v>
      </c>
      <c r="I12" s="195">
        <f>$B12    *IF(OR('RR.HH.'!$H9="No",I$18),1,0)</f>
        <v>0</v>
      </c>
      <c r="J12" s="195">
        <f>$B12    *IF(OR('RR.HH.'!$H9="No",J$18),1,0)</f>
        <v>0</v>
      </c>
      <c r="K12" s="195">
        <f>$B12    *IF(OR('RR.HH.'!$H9="No",K$18),1,0)</f>
        <v>0</v>
      </c>
      <c r="L12" s="195">
        <f>$B12    *IF(OR('RR.HH.'!$H9="No",L$18),1,0)</f>
        <v>0</v>
      </c>
      <c r="M12" s="195">
        <f>$B12    *IF(OR('RR.HH.'!$H9="No",M$18),1,0)</f>
        <v>0</v>
      </c>
      <c r="N12" s="196">
        <f>$B12    *IF(OR('RR.HH.'!$H9="No",N$18),1,0)</f>
        <v>0</v>
      </c>
      <c r="O12" s="197">
        <f t="shared" si="0"/>
        <v>0</v>
      </c>
    </row>
    <row r="13" spans="1:15">
      <c r="A13" s="223" t="str">
        <v/>
      </c>
      <c r="B13" s="193">
        <v>0</v>
      </c>
      <c r="C13" s="194">
        <f>$B13    *IF(OR('RR.HH.'!$H10="No",C$18),1,0)</f>
        <v>0</v>
      </c>
      <c r="D13" s="195">
        <f>$B13    *IF(OR('RR.HH.'!$H10="No",D$18),1,0)</f>
        <v>0</v>
      </c>
      <c r="E13" s="195">
        <f>$B13    *IF(OR('RR.HH.'!$H10="No",E$18),1,0)</f>
        <v>0</v>
      </c>
      <c r="F13" s="195">
        <f>$B13    *IF(OR('RR.HH.'!$H10="No",F$18),1,0)</f>
        <v>0</v>
      </c>
      <c r="G13" s="195">
        <f>$B13    *IF(OR('RR.HH.'!$H10="No",G$18),1,0)</f>
        <v>0</v>
      </c>
      <c r="H13" s="195">
        <f>$B13    *IF(OR('RR.HH.'!$H10="No",H$18),1,0)</f>
        <v>0</v>
      </c>
      <c r="I13" s="195">
        <f>$B13    *IF(OR('RR.HH.'!$H10="No",I$18),1,0)</f>
        <v>0</v>
      </c>
      <c r="J13" s="195">
        <f>$B13    *IF(OR('RR.HH.'!$H10="No",J$18),1,0)</f>
        <v>0</v>
      </c>
      <c r="K13" s="195">
        <f>$B13    *IF(OR('RR.HH.'!$H10="No",K$18),1,0)</f>
        <v>0</v>
      </c>
      <c r="L13" s="195">
        <f>$B13    *IF(OR('RR.HH.'!$H10="No",L$18),1,0)</f>
        <v>0</v>
      </c>
      <c r="M13" s="195">
        <f>$B13    *IF(OR('RR.HH.'!$H10="No",M$18),1,0)</f>
        <v>0</v>
      </c>
      <c r="N13" s="196">
        <f>$B13    *IF(OR('RR.HH.'!$H10="No",N$18),1,0)</f>
        <v>0</v>
      </c>
      <c r="O13" s="197">
        <f t="shared" si="0"/>
        <v>0</v>
      </c>
    </row>
    <row r="14" spans="1:15">
      <c r="A14" s="223" t="str">
        <v/>
      </c>
      <c r="B14" s="193">
        <v>0</v>
      </c>
      <c r="C14" s="194">
        <f>$B14    *IF(OR('RR.HH.'!$H11="No",C$18),1,0)</f>
        <v>0</v>
      </c>
      <c r="D14" s="195">
        <f>$B14    *IF(OR('RR.HH.'!$H11="No",D$18),1,0)</f>
        <v>0</v>
      </c>
      <c r="E14" s="195">
        <f>$B14    *IF(OR('RR.HH.'!$H11="No",E$18),1,0)</f>
        <v>0</v>
      </c>
      <c r="F14" s="195">
        <f>$B14    *IF(OR('RR.HH.'!$H11="No",F$18),1,0)</f>
        <v>0</v>
      </c>
      <c r="G14" s="195">
        <f>$B14    *IF(OR('RR.HH.'!$H11="No",G$18),1,0)</f>
        <v>0</v>
      </c>
      <c r="H14" s="195">
        <f>$B14    *IF(OR('RR.HH.'!$H11="No",H$18),1,0)</f>
        <v>0</v>
      </c>
      <c r="I14" s="195">
        <f>$B14    *IF(OR('RR.HH.'!$H11="No",I$18),1,0)</f>
        <v>0</v>
      </c>
      <c r="J14" s="195">
        <f>$B14    *IF(OR('RR.HH.'!$H11="No",J$18),1,0)</f>
        <v>0</v>
      </c>
      <c r="K14" s="195">
        <f>$B14    *IF(OR('RR.HH.'!$H11="No",K$18),1,0)</f>
        <v>0</v>
      </c>
      <c r="L14" s="195">
        <f>$B14    *IF(OR('RR.HH.'!$H11="No",L$18),1,0)</f>
        <v>0</v>
      </c>
      <c r="M14" s="195">
        <f>$B14    *IF(OR('RR.HH.'!$H11="No",M$18),1,0)</f>
        <v>0</v>
      </c>
      <c r="N14" s="196">
        <f>$B14    *IF(OR('RR.HH.'!$H11="No",N$18),1,0)</f>
        <v>0</v>
      </c>
      <c r="O14" s="197">
        <f t="shared" si="0"/>
        <v>0</v>
      </c>
    </row>
    <row r="15" spans="1:15">
      <c r="A15" s="223" t="str">
        <v/>
      </c>
      <c r="B15" s="193">
        <v>0</v>
      </c>
      <c r="C15" s="194">
        <f>$B15    *IF(OR('RR.HH.'!$H12="No",C$18),1,0)</f>
        <v>0</v>
      </c>
      <c r="D15" s="195">
        <f>$B15    *IF(OR('RR.HH.'!$H12="No",D$18),1,0)</f>
        <v>0</v>
      </c>
      <c r="E15" s="195">
        <f>$B15    *IF(OR('RR.HH.'!$H12="No",E$18),1,0)</f>
        <v>0</v>
      </c>
      <c r="F15" s="195">
        <f>$B15    *IF(OR('RR.HH.'!$H12="No",F$18),1,0)</f>
        <v>0</v>
      </c>
      <c r="G15" s="195">
        <f>$B15    *IF(OR('RR.HH.'!$H12="No",G$18),1,0)</f>
        <v>0</v>
      </c>
      <c r="H15" s="195">
        <f>$B15    *IF(OR('RR.HH.'!$H12="No",H$18),1,0)</f>
        <v>0</v>
      </c>
      <c r="I15" s="195">
        <f>$B15    *IF(OR('RR.HH.'!$H12="No",I$18),1,0)</f>
        <v>0</v>
      </c>
      <c r="J15" s="195">
        <f>$B15    *IF(OR('RR.HH.'!$H12="No",J$18),1,0)</f>
        <v>0</v>
      </c>
      <c r="K15" s="195">
        <f>$B15    *IF(OR('RR.HH.'!$H12="No",K$18),1,0)</f>
        <v>0</v>
      </c>
      <c r="L15" s="195">
        <f>$B15    *IF(OR('RR.HH.'!$H12="No",L$18),1,0)</f>
        <v>0</v>
      </c>
      <c r="M15" s="195">
        <f>$B15    *IF(OR('RR.HH.'!$H12="No",M$18),1,0)</f>
        <v>0</v>
      </c>
      <c r="N15" s="196">
        <f>$B15    *IF(OR('RR.HH.'!$H12="No",N$18),1,0)</f>
        <v>0</v>
      </c>
      <c r="O15" s="197">
        <f t="shared" si="0"/>
        <v>0</v>
      </c>
    </row>
    <row r="16" spans="1:15" ht="15.75" thickBot="1">
      <c r="A16" s="223" t="str">
        <v/>
      </c>
      <c r="B16" s="193">
        <v>0</v>
      </c>
      <c r="C16" s="194">
        <f>$B16    *IF(OR('RR.HH.'!$H13="No",C$18),1,0)</f>
        <v>0</v>
      </c>
      <c r="D16" s="195">
        <f>$B16    *IF(OR('RR.HH.'!$H13="No",D$18),1,0)</f>
        <v>0</v>
      </c>
      <c r="E16" s="195">
        <f>$B16    *IF(OR('RR.HH.'!$H13="No",E$18),1,0)</f>
        <v>0</v>
      </c>
      <c r="F16" s="195">
        <f>$B16    *IF(OR('RR.HH.'!$H13="No",F$18),1,0)</f>
        <v>0</v>
      </c>
      <c r="G16" s="195">
        <f>$B16    *IF(OR('RR.HH.'!$H13="No",G$18),1,0)</f>
        <v>0</v>
      </c>
      <c r="H16" s="195">
        <f>$B16    *IF(OR('RR.HH.'!$H13="No",H$18),1,0)</f>
        <v>0</v>
      </c>
      <c r="I16" s="195">
        <f>$B16    *IF(OR('RR.HH.'!$H13="No",I$18),1,0)</f>
        <v>0</v>
      </c>
      <c r="J16" s="195">
        <f>$B16    *IF(OR('RR.HH.'!$H13="No",J$18),1,0)</f>
        <v>0</v>
      </c>
      <c r="K16" s="195">
        <f>$B16    *IF(OR('RR.HH.'!$H13="No",K$18),1,0)</f>
        <v>0</v>
      </c>
      <c r="L16" s="195">
        <f>$B16    *IF(OR('RR.HH.'!$H13="No",L$18),1,0)</f>
        <v>0</v>
      </c>
      <c r="M16" s="195">
        <f>$B16    *IF(OR('RR.HH.'!$H13="No",M$18),1,0)</f>
        <v>0</v>
      </c>
      <c r="N16" s="196">
        <f>$B16    *IF(OR('RR.HH.'!$H13="No",N$18),1,0)</f>
        <v>0</v>
      </c>
      <c r="O16" s="197">
        <f t="shared" si="0"/>
        <v>0</v>
      </c>
    </row>
    <row r="17" spans="1:15" ht="15.75" thickBot="1">
      <c r="A17" s="2441" t="s">
        <v>378</v>
      </c>
      <c r="B17" s="57">
        <f t="shared" ref="B17:N17" si="1">SUM(B9:B16)</f>
        <v>1</v>
      </c>
      <c r="C17" s="198">
        <f t="shared" si="1"/>
        <v>1</v>
      </c>
      <c r="D17" s="199">
        <f t="shared" si="1"/>
        <v>1</v>
      </c>
      <c r="E17" s="199">
        <f t="shared" si="1"/>
        <v>1</v>
      </c>
      <c r="F17" s="199">
        <f t="shared" si="1"/>
        <v>1</v>
      </c>
      <c r="G17" s="199">
        <f t="shared" si="1"/>
        <v>1</v>
      </c>
      <c r="H17" s="199">
        <f t="shared" si="1"/>
        <v>1</v>
      </c>
      <c r="I17" s="199">
        <f t="shared" si="1"/>
        <v>1</v>
      </c>
      <c r="J17" s="199">
        <f t="shared" si="1"/>
        <v>1</v>
      </c>
      <c r="K17" s="199">
        <f t="shared" si="1"/>
        <v>1</v>
      </c>
      <c r="L17" s="199">
        <f t="shared" si="1"/>
        <v>1</v>
      </c>
      <c r="M17" s="199">
        <f t="shared" si="1"/>
        <v>1</v>
      </c>
      <c r="N17" s="200">
        <f t="shared" si="1"/>
        <v>1</v>
      </c>
      <c r="O17" s="201">
        <f t="shared" si="0"/>
        <v>1</v>
      </c>
    </row>
    <row r="18" spans="1:15" ht="15.75" thickBot="1">
      <c r="C18" s="2283" t="b">
        <f t="shared" ref="C18:N18" si="2">+AND(C$5&gt;=inicioTemporada,C$5&lt;=finTemporada)</f>
        <v>1</v>
      </c>
      <c r="D18" s="2283" t="b">
        <f t="shared" si="2"/>
        <v>1</v>
      </c>
      <c r="E18" s="2283" t="b">
        <f t="shared" si="2"/>
        <v>1</v>
      </c>
      <c r="F18" s="2283" t="b">
        <f t="shared" si="2"/>
        <v>1</v>
      </c>
      <c r="G18" s="2283" t="b">
        <f t="shared" si="2"/>
        <v>1</v>
      </c>
      <c r="H18" s="2283" t="b">
        <f t="shared" si="2"/>
        <v>1</v>
      </c>
      <c r="I18" s="2283" t="b">
        <f t="shared" si="2"/>
        <v>1</v>
      </c>
      <c r="J18" s="2283" t="b">
        <f t="shared" si="2"/>
        <v>1</v>
      </c>
      <c r="K18" s="2283" t="b">
        <f t="shared" si="2"/>
        <v>1</v>
      </c>
      <c r="L18" s="2283" t="b">
        <f t="shared" si="2"/>
        <v>1</v>
      </c>
      <c r="M18" s="2283" t="b">
        <f t="shared" si="2"/>
        <v>1</v>
      </c>
      <c r="N18" s="2283" t="b">
        <f t="shared" si="2"/>
        <v>1</v>
      </c>
    </row>
    <row r="19" spans="1:15" s="221" customFormat="1" ht="15.75" thickBot="1">
      <c r="A19" s="226" t="s">
        <v>170</v>
      </c>
      <c r="B19" s="227"/>
      <c r="C19" s="228" t="str">
        <f t="array" ref="C19:N19">meses</f>
        <v>enero</v>
      </c>
      <c r="D19" s="229" t="str">
        <v>febrero</v>
      </c>
      <c r="E19" s="229" t="str">
        <v>marzo</v>
      </c>
      <c r="F19" s="229" t="str">
        <v>abril</v>
      </c>
      <c r="G19" s="229" t="str">
        <v>mayo</v>
      </c>
      <c r="H19" s="229" t="str">
        <v>junio</v>
      </c>
      <c r="I19" s="229" t="str">
        <v>julio</v>
      </c>
      <c r="J19" s="229" t="str">
        <v>agosto</v>
      </c>
      <c r="K19" s="229" t="str">
        <v>septiembre</v>
      </c>
      <c r="L19" s="229" t="str">
        <v>octubre</v>
      </c>
      <c r="M19" s="229" t="str">
        <v>noviembre</v>
      </c>
      <c r="N19" s="230" t="str">
        <v>diciembre</v>
      </c>
      <c r="O19" s="231" t="s">
        <v>11</v>
      </c>
    </row>
    <row r="20" spans="1:15">
      <c r="A20" s="224" t="s">
        <v>249</v>
      </c>
      <c r="B20" s="202"/>
      <c r="C20" s="203">
        <v>0</v>
      </c>
      <c r="D20" s="204">
        <f t="shared" ref="D20:N20" si="3">ABS(D9+D10-C9-C10)</f>
        <v>0</v>
      </c>
      <c r="E20" s="204">
        <f t="shared" si="3"/>
        <v>0</v>
      </c>
      <c r="F20" s="204">
        <f t="shared" si="3"/>
        <v>0</v>
      </c>
      <c r="G20" s="204">
        <f t="shared" si="3"/>
        <v>0</v>
      </c>
      <c r="H20" s="204">
        <f t="shared" si="3"/>
        <v>0</v>
      </c>
      <c r="I20" s="204">
        <f t="shared" si="3"/>
        <v>0</v>
      </c>
      <c r="J20" s="204">
        <f t="shared" si="3"/>
        <v>0</v>
      </c>
      <c r="K20" s="204">
        <f t="shared" si="3"/>
        <v>0</v>
      </c>
      <c r="L20" s="204">
        <f t="shared" si="3"/>
        <v>0</v>
      </c>
      <c r="M20" s="204">
        <f t="shared" si="3"/>
        <v>0</v>
      </c>
      <c r="N20" s="205">
        <f t="shared" si="3"/>
        <v>0</v>
      </c>
      <c r="O20" s="206">
        <f>SUM(C20:N20)</f>
        <v>0</v>
      </c>
    </row>
    <row r="21" spans="1:15" ht="15.75" thickBot="1">
      <c r="A21" s="225" t="s">
        <v>413</v>
      </c>
      <c r="B21" s="208"/>
      <c r="C21" s="209">
        <v>0</v>
      </c>
      <c r="D21" s="210">
        <f t="shared" ref="D21:N21" si="4">ABS(SUM(D11:D16)-SUM(C11:C16))</f>
        <v>0</v>
      </c>
      <c r="E21" s="210">
        <f t="shared" si="4"/>
        <v>0</v>
      </c>
      <c r="F21" s="210">
        <f t="shared" si="4"/>
        <v>0</v>
      </c>
      <c r="G21" s="210">
        <f t="shared" si="4"/>
        <v>0</v>
      </c>
      <c r="H21" s="210">
        <f t="shared" si="4"/>
        <v>0</v>
      </c>
      <c r="I21" s="210">
        <f t="shared" si="4"/>
        <v>0</v>
      </c>
      <c r="J21" s="210">
        <f t="shared" si="4"/>
        <v>0</v>
      </c>
      <c r="K21" s="210">
        <f t="shared" si="4"/>
        <v>0</v>
      </c>
      <c r="L21" s="210">
        <f t="shared" si="4"/>
        <v>0</v>
      </c>
      <c r="M21" s="210">
        <f t="shared" si="4"/>
        <v>0</v>
      </c>
      <c r="N21" s="211">
        <f t="shared" si="4"/>
        <v>0</v>
      </c>
      <c r="O21" s="212">
        <f>SUM(C21:N21)</f>
        <v>0</v>
      </c>
    </row>
    <row r="22" spans="1:15" ht="6" customHeight="1" thickBot="1"/>
    <row r="23" spans="1:15" ht="15.75" thickBot="1">
      <c r="A23" s="537" t="s">
        <v>412</v>
      </c>
      <c r="B23" s="382"/>
      <c r="C23" s="538">
        <f t="array" ref="C23:N23">C9:N9+C10:N10</f>
        <v>1</v>
      </c>
      <c r="D23" s="539">
        <v>1</v>
      </c>
      <c r="E23" s="539">
        <v>1</v>
      </c>
      <c r="F23" s="539">
        <v>1</v>
      </c>
      <c r="G23" s="539">
        <v>1</v>
      </c>
      <c r="H23" s="539">
        <v>1</v>
      </c>
      <c r="I23" s="539">
        <v>1</v>
      </c>
      <c r="J23" s="539">
        <v>1</v>
      </c>
      <c r="K23" s="539">
        <v>1</v>
      </c>
      <c r="L23" s="539">
        <v>1</v>
      </c>
      <c r="M23" s="539">
        <v>1</v>
      </c>
      <c r="N23" s="540">
        <v>1</v>
      </c>
      <c r="O23" s="536">
        <f>MAX(B23:N23)</f>
        <v>1</v>
      </c>
    </row>
    <row r="24" spans="1:15">
      <c r="B24" s="535"/>
    </row>
    <row r="25" spans="1:15" s="542" customFormat="1" ht="19.5">
      <c r="A25" s="398" t="str">
        <f>A$6</f>
        <v>Recursos Humanos de la empresa</v>
      </c>
      <c r="B25" s="398"/>
      <c r="C25" s="398"/>
      <c r="D25" s="398"/>
      <c r="E25" s="237" t="str">
        <f>Parametros!C$77</f>
        <v>Año 1:  2027</v>
      </c>
      <c r="F25" s="541"/>
    </row>
    <row r="26" spans="1:15" ht="8.25" customHeight="1" thickBot="1">
      <c r="A26" s="213"/>
      <c r="B26" s="213"/>
      <c r="C26" s="213"/>
      <c r="D26" s="213"/>
      <c r="E26" s="214"/>
    </row>
    <row r="27" spans="1:15" s="221" customFormat="1" ht="21.75" customHeight="1" thickBot="1">
      <c r="A27" s="215" t="str">
        <f>A$8</f>
        <v>Plantilla por meses</v>
      </c>
      <c r="B27" s="216" t="s">
        <v>82</v>
      </c>
      <c r="C27" s="217" t="str">
        <f t="array" ref="C27:N27">meses</f>
        <v>enero</v>
      </c>
      <c r="D27" s="218" t="str">
        <v>febrero</v>
      </c>
      <c r="E27" s="218" t="str">
        <v>marzo</v>
      </c>
      <c r="F27" s="218" t="str">
        <v>abril</v>
      </c>
      <c r="G27" s="218" t="str">
        <v>mayo</v>
      </c>
      <c r="H27" s="218" t="str">
        <v>junio</v>
      </c>
      <c r="I27" s="218" t="str">
        <v>julio</v>
      </c>
      <c r="J27" s="218" t="str">
        <v>agosto</v>
      </c>
      <c r="K27" s="218" t="str">
        <v>septiembre</v>
      </c>
      <c r="L27" s="218" t="str">
        <v>octubre</v>
      </c>
      <c r="M27" s="218" t="str">
        <v>noviembre</v>
      </c>
      <c r="N27" s="219" t="str">
        <v>diciembre</v>
      </c>
      <c r="O27" s="220" t="s">
        <v>164</v>
      </c>
    </row>
    <row r="28" spans="1:15">
      <c r="A28" s="222" t="str">
        <f t="array" ref="A28:A35">catlaborales</f>
        <v>Socios/as gestores/as</v>
      </c>
      <c r="B28" s="188">
        <f t="array" ref="B28:B35">'RR.HH.'!C6:C13</f>
        <v>1</v>
      </c>
      <c r="C28" s="189">
        <f>$B28    *IF(OR('RR.HH.'!$H6="No",C$18),1,0)</f>
        <v>1</v>
      </c>
      <c r="D28" s="190">
        <f>$B28    *IF(OR('RR.HH.'!$H6="No",D$18),1,0)</f>
        <v>1</v>
      </c>
      <c r="E28" s="190">
        <f>$B28    *IF(OR('RR.HH.'!$H6="No",E$18),1,0)</f>
        <v>1</v>
      </c>
      <c r="F28" s="190">
        <f>$B28    *IF(OR('RR.HH.'!$H6="No",F$18),1,0)</f>
        <v>1</v>
      </c>
      <c r="G28" s="190">
        <f>$B28    *IF(OR('RR.HH.'!$H6="No",G$18),1,0)</f>
        <v>1</v>
      </c>
      <c r="H28" s="190">
        <f>$B28    *IF(OR('RR.HH.'!$H6="No",H$18),1,0)</f>
        <v>1</v>
      </c>
      <c r="I28" s="190">
        <f>$B28    *IF(OR('RR.HH.'!$H6="No",I$18),1,0)</f>
        <v>1</v>
      </c>
      <c r="J28" s="190">
        <f>$B28    *IF(OR('RR.HH.'!$H6="No",J$18),1,0)</f>
        <v>1</v>
      </c>
      <c r="K28" s="190">
        <f>$B28    *IF(OR('RR.HH.'!$H6="No",K$18),1,0)</f>
        <v>1</v>
      </c>
      <c r="L28" s="190">
        <f>$B28    *IF(OR('RR.HH.'!$H6="No",L$18),1,0)</f>
        <v>1</v>
      </c>
      <c r="M28" s="190">
        <f>$B28    *IF(OR('RR.HH.'!$H6="No",M$18),1,0)</f>
        <v>1</v>
      </c>
      <c r="N28" s="191">
        <f>$B28    *IF(OR('RR.HH.'!$H6="No",N$18),1,0)</f>
        <v>1</v>
      </c>
      <c r="O28" s="192">
        <f t="shared" ref="O28:O36" si="5">AVERAGE(C28:N28)</f>
        <v>1</v>
      </c>
    </row>
    <row r="29" spans="1:15">
      <c r="A29" s="223" t="str">
        <v>Otros personas en RETA</v>
      </c>
      <c r="B29" s="193">
        <v>0</v>
      </c>
      <c r="C29" s="194">
        <f>$B29    *IF(OR('RR.HH.'!$H7="No",C$18),1,0)</f>
        <v>0</v>
      </c>
      <c r="D29" s="195">
        <f>$B29    *IF(OR('RR.HH.'!$H7="No",D$18),1,0)</f>
        <v>0</v>
      </c>
      <c r="E29" s="195">
        <f>$B29    *IF(OR('RR.HH.'!$H7="No",E$18),1,0)</f>
        <v>0</v>
      </c>
      <c r="F29" s="195">
        <f>$B29    *IF(OR('RR.HH.'!$H7="No",F$18),1,0)</f>
        <v>0</v>
      </c>
      <c r="G29" s="195">
        <f>$B29    *IF(OR('RR.HH.'!$H7="No",G$18),1,0)</f>
        <v>0</v>
      </c>
      <c r="H29" s="195">
        <f>$B29    *IF(OR('RR.HH.'!$H7="No",H$18),1,0)</f>
        <v>0</v>
      </c>
      <c r="I29" s="195">
        <f>$B29    *IF(OR('RR.HH.'!$H7="No",I$18),1,0)</f>
        <v>0</v>
      </c>
      <c r="J29" s="195">
        <f>$B29    *IF(OR('RR.HH.'!$H7="No",J$18),1,0)</f>
        <v>0</v>
      </c>
      <c r="K29" s="195">
        <f>$B29    *IF(OR('RR.HH.'!$H7="No",K$18),1,0)</f>
        <v>0</v>
      </c>
      <c r="L29" s="195">
        <f>$B29    *IF(OR('RR.HH.'!$H7="No",L$18),1,0)</f>
        <v>0</v>
      </c>
      <c r="M29" s="195">
        <f>$B29    *IF(OR('RR.HH.'!$H7="No",M$18),1,0)</f>
        <v>0</v>
      </c>
      <c r="N29" s="196">
        <f>$B29    *IF(OR('RR.HH.'!$H7="No",N$18),1,0)</f>
        <v>0</v>
      </c>
      <c r="O29" s="197">
        <f t="shared" si="5"/>
        <v>0</v>
      </c>
    </row>
    <row r="30" spans="1:15">
      <c r="A30" s="223" t="str">
        <v>empleado</v>
      </c>
      <c r="B30" s="193">
        <v>0</v>
      </c>
      <c r="C30" s="194">
        <f>$B30    *IF(OR('RR.HH.'!$H8="No",C$18),1,0)</f>
        <v>0</v>
      </c>
      <c r="D30" s="195">
        <f>$B30    *IF(OR('RR.HH.'!$H8="No",D$18),1,0)</f>
        <v>0</v>
      </c>
      <c r="E30" s="195">
        <f>$B30    *IF(OR('RR.HH.'!$H8="No",E$18),1,0)</f>
        <v>0</v>
      </c>
      <c r="F30" s="195">
        <f>$B30    *IF(OR('RR.HH.'!$H8="No",F$18),1,0)</f>
        <v>0</v>
      </c>
      <c r="G30" s="195">
        <f>$B30    *IF(OR('RR.HH.'!$H8="No",G$18),1,0)</f>
        <v>0</v>
      </c>
      <c r="H30" s="195">
        <f>$B30    *IF(OR('RR.HH.'!$H8="No",H$18),1,0)</f>
        <v>0</v>
      </c>
      <c r="I30" s="195">
        <f>$B30    *IF(OR('RR.HH.'!$H8="No",I$18),1,0)</f>
        <v>0</v>
      </c>
      <c r="J30" s="195">
        <f>$B30    *IF(OR('RR.HH.'!$H8="No",J$18),1,0)</f>
        <v>0</v>
      </c>
      <c r="K30" s="195">
        <f>$B30    *IF(OR('RR.HH.'!$H8="No",K$18),1,0)</f>
        <v>0</v>
      </c>
      <c r="L30" s="195">
        <f>$B30    *IF(OR('RR.HH.'!$H8="No",L$18),1,0)</f>
        <v>0</v>
      </c>
      <c r="M30" s="195">
        <f>$B30    *IF(OR('RR.HH.'!$H8="No",M$18),1,0)</f>
        <v>0</v>
      </c>
      <c r="N30" s="196">
        <f>$B30    *IF(OR('RR.HH.'!$H8="No",N$18),1,0)</f>
        <v>0</v>
      </c>
      <c r="O30" s="197">
        <f t="shared" si="5"/>
        <v>0</v>
      </c>
    </row>
    <row r="31" spans="1:15">
      <c r="A31" s="223" t="str">
        <v>encargado</v>
      </c>
      <c r="B31" s="193">
        <v>0</v>
      </c>
      <c r="C31" s="194">
        <f>$B31    *IF(OR('RR.HH.'!$H9="No",C$18),1,0)</f>
        <v>0</v>
      </c>
      <c r="D31" s="195">
        <f>$B31    *IF(OR('RR.HH.'!$H9="No",D$18),1,0)</f>
        <v>0</v>
      </c>
      <c r="E31" s="195">
        <f>$B31    *IF(OR('RR.HH.'!$H9="No",E$18),1,0)</f>
        <v>0</v>
      </c>
      <c r="F31" s="195">
        <f>$B31    *IF(OR('RR.HH.'!$H9="No",F$18),1,0)</f>
        <v>0</v>
      </c>
      <c r="G31" s="195">
        <f>$B31    *IF(OR('RR.HH.'!$H9="No",G$18),1,0)</f>
        <v>0</v>
      </c>
      <c r="H31" s="195">
        <f>$B31    *IF(OR('RR.HH.'!$H9="No",H$18),1,0)</f>
        <v>0</v>
      </c>
      <c r="I31" s="195">
        <f>$B31    *IF(OR('RR.HH.'!$H9="No",I$18),1,0)</f>
        <v>0</v>
      </c>
      <c r="J31" s="195">
        <f>$B31    *IF(OR('RR.HH.'!$H9="No",J$18),1,0)</f>
        <v>0</v>
      </c>
      <c r="K31" s="195">
        <f>$B31    *IF(OR('RR.HH.'!$H9="No",K$18),1,0)</f>
        <v>0</v>
      </c>
      <c r="L31" s="195">
        <f>$B31    *IF(OR('RR.HH.'!$H9="No",L$18),1,0)</f>
        <v>0</v>
      </c>
      <c r="M31" s="195">
        <f>$B31    *IF(OR('RR.HH.'!$H9="No",M$18),1,0)</f>
        <v>0</v>
      </c>
      <c r="N31" s="196">
        <f>$B31    *IF(OR('RR.HH.'!$H9="No",N$18),1,0)</f>
        <v>0</v>
      </c>
      <c r="O31" s="197">
        <f t="shared" si="5"/>
        <v>0</v>
      </c>
    </row>
    <row r="32" spans="1:15">
      <c r="A32" s="223" t="str">
        <v/>
      </c>
      <c r="B32" s="193">
        <v>0</v>
      </c>
      <c r="C32" s="194">
        <f>$B32    *IF(OR('RR.HH.'!$H10="No",C$18),1,0)</f>
        <v>0</v>
      </c>
      <c r="D32" s="195">
        <f>$B32    *IF(OR('RR.HH.'!$H10="No",D$18),1,0)</f>
        <v>0</v>
      </c>
      <c r="E32" s="195">
        <f>$B32    *IF(OR('RR.HH.'!$H10="No",E$18),1,0)</f>
        <v>0</v>
      </c>
      <c r="F32" s="195">
        <f>$B32    *IF(OR('RR.HH.'!$H10="No",F$18),1,0)</f>
        <v>0</v>
      </c>
      <c r="G32" s="195">
        <f>$B32    *IF(OR('RR.HH.'!$H10="No",G$18),1,0)</f>
        <v>0</v>
      </c>
      <c r="H32" s="195">
        <f>$B32    *IF(OR('RR.HH.'!$H10="No",H$18),1,0)</f>
        <v>0</v>
      </c>
      <c r="I32" s="195">
        <f>$B32    *IF(OR('RR.HH.'!$H10="No",I$18),1,0)</f>
        <v>0</v>
      </c>
      <c r="J32" s="195">
        <f>$B32    *IF(OR('RR.HH.'!$H10="No",J$18),1,0)</f>
        <v>0</v>
      </c>
      <c r="K32" s="195">
        <f>$B32    *IF(OR('RR.HH.'!$H10="No",K$18),1,0)</f>
        <v>0</v>
      </c>
      <c r="L32" s="195">
        <f>$B32    *IF(OR('RR.HH.'!$H10="No",L$18),1,0)</f>
        <v>0</v>
      </c>
      <c r="M32" s="195">
        <f>$B32    *IF(OR('RR.HH.'!$H10="No",M$18),1,0)</f>
        <v>0</v>
      </c>
      <c r="N32" s="196">
        <f>$B32    *IF(OR('RR.HH.'!$H10="No",N$18),1,0)</f>
        <v>0</v>
      </c>
      <c r="O32" s="197">
        <f t="shared" si="5"/>
        <v>0</v>
      </c>
    </row>
    <row r="33" spans="1:15">
      <c r="A33" s="223" t="str">
        <v/>
      </c>
      <c r="B33" s="193">
        <v>0</v>
      </c>
      <c r="C33" s="194">
        <f>$B33    *IF(OR('RR.HH.'!$H11="No",C$18),1,0)</f>
        <v>0</v>
      </c>
      <c r="D33" s="195">
        <f>$B33    *IF(OR('RR.HH.'!$H11="No",D$18),1,0)</f>
        <v>0</v>
      </c>
      <c r="E33" s="195">
        <f>$B33    *IF(OR('RR.HH.'!$H11="No",E$18),1,0)</f>
        <v>0</v>
      </c>
      <c r="F33" s="195">
        <f>$B33    *IF(OR('RR.HH.'!$H11="No",F$18),1,0)</f>
        <v>0</v>
      </c>
      <c r="G33" s="195">
        <f>$B33    *IF(OR('RR.HH.'!$H11="No",G$18),1,0)</f>
        <v>0</v>
      </c>
      <c r="H33" s="195">
        <f>$B33    *IF(OR('RR.HH.'!$H11="No",H$18),1,0)</f>
        <v>0</v>
      </c>
      <c r="I33" s="195">
        <f>$B33    *IF(OR('RR.HH.'!$H11="No",I$18),1,0)</f>
        <v>0</v>
      </c>
      <c r="J33" s="195">
        <f>$B33    *IF(OR('RR.HH.'!$H11="No",J$18),1,0)</f>
        <v>0</v>
      </c>
      <c r="K33" s="195">
        <f>$B33    *IF(OR('RR.HH.'!$H11="No",K$18),1,0)</f>
        <v>0</v>
      </c>
      <c r="L33" s="195">
        <f>$B33    *IF(OR('RR.HH.'!$H11="No",L$18),1,0)</f>
        <v>0</v>
      </c>
      <c r="M33" s="195">
        <f>$B33    *IF(OR('RR.HH.'!$H11="No",M$18),1,0)</f>
        <v>0</v>
      </c>
      <c r="N33" s="196">
        <f>$B33    *IF(OR('RR.HH.'!$H11="No",N$18),1,0)</f>
        <v>0</v>
      </c>
      <c r="O33" s="197">
        <f t="shared" si="5"/>
        <v>0</v>
      </c>
    </row>
    <row r="34" spans="1:15">
      <c r="A34" s="223" t="str">
        <v/>
      </c>
      <c r="B34" s="193">
        <v>0</v>
      </c>
      <c r="C34" s="194">
        <f>$B34    *IF(OR('RR.HH.'!$H12="No",C$18),1,0)</f>
        <v>0</v>
      </c>
      <c r="D34" s="195">
        <f>$B34    *IF(OR('RR.HH.'!$H12="No",D$18),1,0)</f>
        <v>0</v>
      </c>
      <c r="E34" s="195">
        <f>$B34    *IF(OR('RR.HH.'!$H12="No",E$18),1,0)</f>
        <v>0</v>
      </c>
      <c r="F34" s="195">
        <f>$B34    *IF(OR('RR.HH.'!$H12="No",F$18),1,0)</f>
        <v>0</v>
      </c>
      <c r="G34" s="195">
        <f>$B34    *IF(OR('RR.HH.'!$H12="No",G$18),1,0)</f>
        <v>0</v>
      </c>
      <c r="H34" s="195">
        <f>$B34    *IF(OR('RR.HH.'!$H12="No",H$18),1,0)</f>
        <v>0</v>
      </c>
      <c r="I34" s="195">
        <f>$B34    *IF(OR('RR.HH.'!$H12="No",I$18),1,0)</f>
        <v>0</v>
      </c>
      <c r="J34" s="195">
        <f>$B34    *IF(OR('RR.HH.'!$H12="No",J$18),1,0)</f>
        <v>0</v>
      </c>
      <c r="K34" s="195">
        <f>$B34    *IF(OR('RR.HH.'!$H12="No",K$18),1,0)</f>
        <v>0</v>
      </c>
      <c r="L34" s="195">
        <f>$B34    *IF(OR('RR.HH.'!$H12="No",L$18),1,0)</f>
        <v>0</v>
      </c>
      <c r="M34" s="195">
        <f>$B34    *IF(OR('RR.HH.'!$H12="No",M$18),1,0)</f>
        <v>0</v>
      </c>
      <c r="N34" s="196">
        <f>$B34    *IF(OR('RR.HH.'!$H12="No",N$18),1,0)</f>
        <v>0</v>
      </c>
      <c r="O34" s="197">
        <f t="shared" si="5"/>
        <v>0</v>
      </c>
    </row>
    <row r="35" spans="1:15" ht="15.75" thickBot="1">
      <c r="A35" s="223" t="str">
        <v/>
      </c>
      <c r="B35" s="193">
        <v>0</v>
      </c>
      <c r="C35" s="194">
        <f>$B35    *IF(OR('RR.HH.'!$H13="No",C$18),1,0)</f>
        <v>0</v>
      </c>
      <c r="D35" s="195">
        <f>$B35    *IF(OR('RR.HH.'!$H13="No",D$18),1,0)</f>
        <v>0</v>
      </c>
      <c r="E35" s="195">
        <f>$B35    *IF(OR('RR.HH.'!$H13="No",E$18),1,0)</f>
        <v>0</v>
      </c>
      <c r="F35" s="195">
        <f>$B35    *IF(OR('RR.HH.'!$H13="No",F$18),1,0)</f>
        <v>0</v>
      </c>
      <c r="G35" s="195">
        <f>$B35    *IF(OR('RR.HH.'!$H13="No",G$18),1,0)</f>
        <v>0</v>
      </c>
      <c r="H35" s="195">
        <f>$B35    *IF(OR('RR.HH.'!$H13="No",H$18),1,0)</f>
        <v>0</v>
      </c>
      <c r="I35" s="195">
        <f>$B35    *IF(OR('RR.HH.'!$H13="No",I$18),1,0)</f>
        <v>0</v>
      </c>
      <c r="J35" s="195">
        <f>$B35    *IF(OR('RR.HH.'!$H13="No",J$18),1,0)</f>
        <v>0</v>
      </c>
      <c r="K35" s="195">
        <f>$B35    *IF(OR('RR.HH.'!$H13="No",K$18),1,0)</f>
        <v>0</v>
      </c>
      <c r="L35" s="195">
        <f>$B35    *IF(OR('RR.HH.'!$H13="No",L$18),1,0)</f>
        <v>0</v>
      </c>
      <c r="M35" s="195">
        <f>$B35    *IF(OR('RR.HH.'!$H13="No",M$18),1,0)</f>
        <v>0</v>
      </c>
      <c r="N35" s="196">
        <f>$B35    *IF(OR('RR.HH.'!$H13="No",N$18),1,0)</f>
        <v>0</v>
      </c>
      <c r="O35" s="197">
        <f t="shared" si="5"/>
        <v>0</v>
      </c>
    </row>
    <row r="36" spans="1:15" ht="15.75" thickBot="1">
      <c r="A36" s="2441" t="str">
        <f>A$17</f>
        <v>Total Plantilla</v>
      </c>
      <c r="B36" s="57">
        <f t="shared" ref="B36:N36" si="6">SUM(B28:B35)</f>
        <v>1</v>
      </c>
      <c r="C36" s="198">
        <f t="shared" si="6"/>
        <v>1</v>
      </c>
      <c r="D36" s="199">
        <f t="shared" si="6"/>
        <v>1</v>
      </c>
      <c r="E36" s="199">
        <f t="shared" si="6"/>
        <v>1</v>
      </c>
      <c r="F36" s="199">
        <f t="shared" si="6"/>
        <v>1</v>
      </c>
      <c r="G36" s="199">
        <f t="shared" si="6"/>
        <v>1</v>
      </c>
      <c r="H36" s="199">
        <f t="shared" si="6"/>
        <v>1</v>
      </c>
      <c r="I36" s="199">
        <f t="shared" si="6"/>
        <v>1</v>
      </c>
      <c r="J36" s="199">
        <f t="shared" si="6"/>
        <v>1</v>
      </c>
      <c r="K36" s="199">
        <f t="shared" si="6"/>
        <v>1</v>
      </c>
      <c r="L36" s="199">
        <f t="shared" si="6"/>
        <v>1</v>
      </c>
      <c r="M36" s="199">
        <f t="shared" si="6"/>
        <v>1</v>
      </c>
      <c r="N36" s="200">
        <f t="shared" si="6"/>
        <v>1</v>
      </c>
      <c r="O36" s="201">
        <f t="shared" si="5"/>
        <v>1</v>
      </c>
    </row>
    <row r="37" spans="1:15" ht="15.75" thickBot="1"/>
    <row r="38" spans="1:15" s="221" customFormat="1" ht="15.75" thickBot="1">
      <c r="A38" s="226" t="str">
        <f t="array" ref="A38:A42">A$19:A$23</f>
        <v>Altas y Bajas de personal</v>
      </c>
      <c r="B38" s="227"/>
      <c r="C38" s="228" t="str">
        <f t="array" ref="C38:N38">meses</f>
        <v>enero</v>
      </c>
      <c r="D38" s="229" t="str">
        <v>febrero</v>
      </c>
      <c r="E38" s="229" t="str">
        <v>marzo</v>
      </c>
      <c r="F38" s="229" t="str">
        <v>abril</v>
      </c>
      <c r="G38" s="229" t="str">
        <v>mayo</v>
      </c>
      <c r="H38" s="229" t="str">
        <v>junio</v>
      </c>
      <c r="I38" s="229" t="str">
        <v>julio</v>
      </c>
      <c r="J38" s="229" t="str">
        <v>agosto</v>
      </c>
      <c r="K38" s="229" t="str">
        <v>septiembre</v>
      </c>
      <c r="L38" s="229" t="str">
        <v>octubre</v>
      </c>
      <c r="M38" s="229" t="str">
        <v>noviembre</v>
      </c>
      <c r="N38" s="230" t="str">
        <v>diciembre</v>
      </c>
      <c r="O38" s="231" t="s">
        <v>11</v>
      </c>
    </row>
    <row r="39" spans="1:15">
      <c r="A39" s="224" t="str">
        <v>nº socios R.E.T.A. (altas y bajas)</v>
      </c>
      <c r="B39" s="202"/>
      <c r="C39" s="203">
        <f>ABS(C28+C29-N9-N10)</f>
        <v>0</v>
      </c>
      <c r="D39" s="204">
        <f t="shared" ref="D39:N39" si="7">ABS(D28+D29-C28-C29)</f>
        <v>0</v>
      </c>
      <c r="E39" s="204">
        <f t="shared" si="7"/>
        <v>0</v>
      </c>
      <c r="F39" s="204">
        <f t="shared" si="7"/>
        <v>0</v>
      </c>
      <c r="G39" s="204">
        <f t="shared" si="7"/>
        <v>0</v>
      </c>
      <c r="H39" s="204">
        <f t="shared" si="7"/>
        <v>0</v>
      </c>
      <c r="I39" s="204">
        <f t="shared" si="7"/>
        <v>0</v>
      </c>
      <c r="J39" s="204">
        <f t="shared" si="7"/>
        <v>0</v>
      </c>
      <c r="K39" s="204">
        <f t="shared" si="7"/>
        <v>0</v>
      </c>
      <c r="L39" s="204">
        <f t="shared" si="7"/>
        <v>0</v>
      </c>
      <c r="M39" s="204">
        <f t="shared" si="7"/>
        <v>0</v>
      </c>
      <c r="N39" s="205">
        <f t="shared" si="7"/>
        <v>0</v>
      </c>
      <c r="O39" s="206">
        <f>SUM(C39:N39)</f>
        <v>0</v>
      </c>
    </row>
    <row r="40" spans="1:15" ht="15.75" thickBot="1">
      <c r="A40" s="225" t="str">
        <v>altas/bajas de trabajadores</v>
      </c>
      <c r="B40" s="208"/>
      <c r="C40" s="209">
        <f>ABS(SUM(C30:C35)-SUM(N11:N16))</f>
        <v>0</v>
      </c>
      <c r="D40" s="210">
        <f t="shared" ref="D40:N40" si="8">ABS(SUM(D30:D35)-SUM(C30:C35))</f>
        <v>0</v>
      </c>
      <c r="E40" s="210">
        <f t="shared" si="8"/>
        <v>0</v>
      </c>
      <c r="F40" s="210">
        <f t="shared" si="8"/>
        <v>0</v>
      </c>
      <c r="G40" s="210">
        <f t="shared" si="8"/>
        <v>0</v>
      </c>
      <c r="H40" s="210">
        <f t="shared" si="8"/>
        <v>0</v>
      </c>
      <c r="I40" s="210">
        <f t="shared" si="8"/>
        <v>0</v>
      </c>
      <c r="J40" s="210">
        <f t="shared" si="8"/>
        <v>0</v>
      </c>
      <c r="K40" s="210">
        <f t="shared" si="8"/>
        <v>0</v>
      </c>
      <c r="L40" s="210">
        <f t="shared" si="8"/>
        <v>0</v>
      </c>
      <c r="M40" s="210">
        <f t="shared" si="8"/>
        <v>0</v>
      </c>
      <c r="N40" s="211">
        <f t="shared" si="8"/>
        <v>0</v>
      </c>
      <c r="O40" s="212">
        <f>SUM(C40:N40)</f>
        <v>0</v>
      </c>
    </row>
    <row r="41" spans="1:15" ht="6" customHeight="1" thickBot="1">
      <c r="A41" s="2283">
        <v>0</v>
      </c>
    </row>
    <row r="42" spans="1:15" ht="15.75" thickBot="1">
      <c r="A42" s="537" t="str">
        <v>nº socios a efectos de IRPF</v>
      </c>
      <c r="B42" s="382"/>
      <c r="C42" s="538">
        <f t="array" ref="C42:N42">C28:N28+C29:N29</f>
        <v>1</v>
      </c>
      <c r="D42" s="539">
        <v>1</v>
      </c>
      <c r="E42" s="539">
        <v>1</v>
      </c>
      <c r="F42" s="539">
        <v>1</v>
      </c>
      <c r="G42" s="539">
        <v>1</v>
      </c>
      <c r="H42" s="539">
        <v>1</v>
      </c>
      <c r="I42" s="539">
        <v>1</v>
      </c>
      <c r="J42" s="539">
        <v>1</v>
      </c>
      <c r="K42" s="539">
        <v>1</v>
      </c>
      <c r="L42" s="539">
        <v>1</v>
      </c>
      <c r="M42" s="539">
        <v>1</v>
      </c>
      <c r="N42" s="540">
        <v>1</v>
      </c>
      <c r="O42" s="536">
        <f>MAX(B42:N42)</f>
        <v>1</v>
      </c>
    </row>
    <row r="44" spans="1:15" s="542" customFormat="1" ht="19.5">
      <c r="A44" s="398" t="str">
        <f>A$6</f>
        <v>Recursos Humanos de la empresa</v>
      </c>
      <c r="B44" s="398"/>
      <c r="C44" s="398"/>
      <c r="D44" s="398"/>
      <c r="E44" s="237" t="str">
        <f>Parametros!D$77</f>
        <v>Año 2:  2028</v>
      </c>
      <c r="F44" s="541"/>
    </row>
    <row r="45" spans="1:15" ht="8.25" customHeight="1" thickBot="1">
      <c r="A45" s="213"/>
    </row>
    <row r="46" spans="1:15" s="221" customFormat="1" ht="21.75" customHeight="1" thickBot="1">
      <c r="A46" s="215" t="str">
        <f>A$8</f>
        <v>Plantilla por meses</v>
      </c>
      <c r="B46" s="216" t="s">
        <v>82</v>
      </c>
      <c r="C46" s="217" t="str">
        <f t="array" ref="C46:N46">meses</f>
        <v>enero</v>
      </c>
      <c r="D46" s="218" t="str">
        <v>febrero</v>
      </c>
      <c r="E46" s="218" t="str">
        <v>marzo</v>
      </c>
      <c r="F46" s="218" t="str">
        <v>abril</v>
      </c>
      <c r="G46" s="218" t="str">
        <v>mayo</v>
      </c>
      <c r="H46" s="218" t="str">
        <v>junio</v>
      </c>
      <c r="I46" s="218" t="str">
        <v>julio</v>
      </c>
      <c r="J46" s="218" t="str">
        <v>agosto</v>
      </c>
      <c r="K46" s="218" t="str">
        <v>septiembre</v>
      </c>
      <c r="L46" s="218" t="str">
        <v>octubre</v>
      </c>
      <c r="M46" s="218" t="str">
        <v>noviembre</v>
      </c>
      <c r="N46" s="219" t="str">
        <v>diciembre</v>
      </c>
      <c r="O46" s="220" t="s">
        <v>164</v>
      </c>
    </row>
    <row r="47" spans="1:15">
      <c r="A47" s="222" t="str">
        <f t="array" ref="A47:A54">catlaborales</f>
        <v>Socios/as gestores/as</v>
      </c>
      <c r="B47" s="188">
        <f t="array" ref="B47:B54">'RR.HH.'!D6:D13</f>
        <v>1</v>
      </c>
      <c r="C47" s="189">
        <f>$B47    *IF(OR('RR.HH.'!$H6="No",C$18),1,0)</f>
        <v>1</v>
      </c>
      <c r="D47" s="190">
        <f>$B47    *IF(OR('RR.HH.'!$H6="No",D$18),1,0)</f>
        <v>1</v>
      </c>
      <c r="E47" s="190">
        <f>$B47    *IF(OR('RR.HH.'!$H6="No",E$18),1,0)</f>
        <v>1</v>
      </c>
      <c r="F47" s="190">
        <f>$B47    *IF(OR('RR.HH.'!$H6="No",F$18),1,0)</f>
        <v>1</v>
      </c>
      <c r="G47" s="190">
        <f>$B47    *IF(OR('RR.HH.'!$H6="No",G$18),1,0)</f>
        <v>1</v>
      </c>
      <c r="H47" s="190">
        <f>$B47    *IF(OR('RR.HH.'!$H6="No",H$18),1,0)</f>
        <v>1</v>
      </c>
      <c r="I47" s="190">
        <f>$B47    *IF(OR('RR.HH.'!$H6="No",I$18),1,0)</f>
        <v>1</v>
      </c>
      <c r="J47" s="190">
        <f>$B47    *IF(OR('RR.HH.'!$H6="No",J$18),1,0)</f>
        <v>1</v>
      </c>
      <c r="K47" s="190">
        <f>$B47    *IF(OR('RR.HH.'!$H6="No",K$18),1,0)</f>
        <v>1</v>
      </c>
      <c r="L47" s="190">
        <f>$B47    *IF(OR('RR.HH.'!$H6="No",L$18),1,0)</f>
        <v>1</v>
      </c>
      <c r="M47" s="190">
        <f>$B47    *IF(OR('RR.HH.'!$H6="No",M$18),1,0)</f>
        <v>1</v>
      </c>
      <c r="N47" s="191">
        <f>$B47    *IF(OR('RR.HH.'!$H6="No",N$18),1,0)</f>
        <v>1</v>
      </c>
      <c r="O47" s="192">
        <f t="shared" ref="O47:O55" si="9">AVERAGE(C47:N47)</f>
        <v>1</v>
      </c>
    </row>
    <row r="48" spans="1:15">
      <c r="A48" s="223" t="str">
        <v>Otros personas en RETA</v>
      </c>
      <c r="B48" s="193">
        <v>0</v>
      </c>
      <c r="C48" s="194">
        <f>$B48    *IF(OR('RR.HH.'!$H7="No",C$18),1,0)</f>
        <v>0</v>
      </c>
      <c r="D48" s="195">
        <f>$B48    *IF(OR('RR.HH.'!$H7="No",D$18),1,0)</f>
        <v>0</v>
      </c>
      <c r="E48" s="195">
        <f>$B48    *IF(OR('RR.HH.'!$H7="No",E$18),1,0)</f>
        <v>0</v>
      </c>
      <c r="F48" s="195">
        <f>$B48    *IF(OR('RR.HH.'!$H7="No",F$18),1,0)</f>
        <v>0</v>
      </c>
      <c r="G48" s="195">
        <f>$B48    *IF(OR('RR.HH.'!$H7="No",G$18),1,0)</f>
        <v>0</v>
      </c>
      <c r="H48" s="195">
        <f>$B48    *IF(OR('RR.HH.'!$H7="No",H$18),1,0)</f>
        <v>0</v>
      </c>
      <c r="I48" s="195">
        <f>$B48    *IF(OR('RR.HH.'!$H7="No",I$18),1,0)</f>
        <v>0</v>
      </c>
      <c r="J48" s="195">
        <f>$B48    *IF(OR('RR.HH.'!$H7="No",J$18),1,0)</f>
        <v>0</v>
      </c>
      <c r="K48" s="195">
        <f>$B48    *IF(OR('RR.HH.'!$H7="No",K$18),1,0)</f>
        <v>0</v>
      </c>
      <c r="L48" s="195">
        <f>$B48    *IF(OR('RR.HH.'!$H7="No",L$18),1,0)</f>
        <v>0</v>
      </c>
      <c r="M48" s="195">
        <f>$B48    *IF(OR('RR.HH.'!$H7="No",M$18),1,0)</f>
        <v>0</v>
      </c>
      <c r="N48" s="196">
        <f>$B48    *IF(OR('RR.HH.'!$H7="No",N$18),1,0)</f>
        <v>0</v>
      </c>
      <c r="O48" s="197">
        <f t="shared" si="9"/>
        <v>0</v>
      </c>
    </row>
    <row r="49" spans="1:15">
      <c r="A49" s="223" t="str">
        <v>empleado</v>
      </c>
      <c r="B49" s="193">
        <v>0</v>
      </c>
      <c r="C49" s="194">
        <f>$B49    *IF(OR('RR.HH.'!$H8="No",C$18),1,0)</f>
        <v>0</v>
      </c>
      <c r="D49" s="195">
        <f>$B49    *IF(OR('RR.HH.'!$H8="No",D$18),1,0)</f>
        <v>0</v>
      </c>
      <c r="E49" s="195">
        <f>$B49    *IF(OR('RR.HH.'!$H8="No",E$18),1,0)</f>
        <v>0</v>
      </c>
      <c r="F49" s="195">
        <f>$B49    *IF(OR('RR.HH.'!$H8="No",F$18),1,0)</f>
        <v>0</v>
      </c>
      <c r="G49" s="195">
        <f>$B49    *IF(OR('RR.HH.'!$H8="No",G$18),1,0)</f>
        <v>0</v>
      </c>
      <c r="H49" s="195">
        <f>$B49    *IF(OR('RR.HH.'!$H8="No",H$18),1,0)</f>
        <v>0</v>
      </c>
      <c r="I49" s="195">
        <f>$B49    *IF(OR('RR.HH.'!$H8="No",I$18),1,0)</f>
        <v>0</v>
      </c>
      <c r="J49" s="195">
        <f>$B49    *IF(OR('RR.HH.'!$H8="No",J$18),1,0)</f>
        <v>0</v>
      </c>
      <c r="K49" s="195">
        <f>$B49    *IF(OR('RR.HH.'!$H8="No",K$18),1,0)</f>
        <v>0</v>
      </c>
      <c r="L49" s="195">
        <f>$B49    *IF(OR('RR.HH.'!$H8="No",L$18),1,0)</f>
        <v>0</v>
      </c>
      <c r="M49" s="195">
        <f>$B49    *IF(OR('RR.HH.'!$H8="No",M$18),1,0)</f>
        <v>0</v>
      </c>
      <c r="N49" s="196">
        <f>$B49    *IF(OR('RR.HH.'!$H8="No",N$18),1,0)</f>
        <v>0</v>
      </c>
      <c r="O49" s="197">
        <f t="shared" si="9"/>
        <v>0</v>
      </c>
    </row>
    <row r="50" spans="1:15">
      <c r="A50" s="223" t="str">
        <v>encargado</v>
      </c>
      <c r="B50" s="193">
        <v>0</v>
      </c>
      <c r="C50" s="194">
        <f>$B50    *IF(OR('RR.HH.'!$H9="No",C$18),1,0)</f>
        <v>0</v>
      </c>
      <c r="D50" s="195">
        <f>$B50    *IF(OR('RR.HH.'!$H9="No",D$18),1,0)</f>
        <v>0</v>
      </c>
      <c r="E50" s="195">
        <f>$B50    *IF(OR('RR.HH.'!$H9="No",E$18),1,0)</f>
        <v>0</v>
      </c>
      <c r="F50" s="195">
        <f>$B50    *IF(OR('RR.HH.'!$H9="No",F$18),1,0)</f>
        <v>0</v>
      </c>
      <c r="G50" s="195">
        <f>$B50    *IF(OR('RR.HH.'!$H9="No",G$18),1,0)</f>
        <v>0</v>
      </c>
      <c r="H50" s="195">
        <f>$B50    *IF(OR('RR.HH.'!$H9="No",H$18),1,0)</f>
        <v>0</v>
      </c>
      <c r="I50" s="195">
        <f>$B50    *IF(OR('RR.HH.'!$H9="No",I$18),1,0)</f>
        <v>0</v>
      </c>
      <c r="J50" s="195">
        <f>$B50    *IF(OR('RR.HH.'!$H9="No",J$18),1,0)</f>
        <v>0</v>
      </c>
      <c r="K50" s="195">
        <f>$B50    *IF(OR('RR.HH.'!$H9="No",K$18),1,0)</f>
        <v>0</v>
      </c>
      <c r="L50" s="195">
        <f>$B50    *IF(OR('RR.HH.'!$H9="No",L$18),1,0)</f>
        <v>0</v>
      </c>
      <c r="M50" s="195">
        <f>$B50    *IF(OR('RR.HH.'!$H9="No",M$18),1,0)</f>
        <v>0</v>
      </c>
      <c r="N50" s="196">
        <f>$B50    *IF(OR('RR.HH.'!$H9="No",N$18),1,0)</f>
        <v>0</v>
      </c>
      <c r="O50" s="197">
        <f t="shared" si="9"/>
        <v>0</v>
      </c>
    </row>
    <row r="51" spans="1:15">
      <c r="A51" s="223" t="str">
        <v/>
      </c>
      <c r="B51" s="193">
        <v>0</v>
      </c>
      <c r="C51" s="194">
        <f>$B51    *IF(OR('RR.HH.'!$H10="No",C$18),1,0)</f>
        <v>0</v>
      </c>
      <c r="D51" s="195">
        <f>$B51    *IF(OR('RR.HH.'!$H10="No",D$18),1,0)</f>
        <v>0</v>
      </c>
      <c r="E51" s="195">
        <f>$B51    *IF(OR('RR.HH.'!$H10="No",E$18),1,0)</f>
        <v>0</v>
      </c>
      <c r="F51" s="195">
        <f>$B51    *IF(OR('RR.HH.'!$H10="No",F$18),1,0)</f>
        <v>0</v>
      </c>
      <c r="G51" s="195">
        <f>$B51    *IF(OR('RR.HH.'!$H10="No",G$18),1,0)</f>
        <v>0</v>
      </c>
      <c r="H51" s="195">
        <f>$B51    *IF(OR('RR.HH.'!$H10="No",H$18),1,0)</f>
        <v>0</v>
      </c>
      <c r="I51" s="195">
        <f>$B51    *IF(OR('RR.HH.'!$H10="No",I$18),1,0)</f>
        <v>0</v>
      </c>
      <c r="J51" s="195">
        <f>$B51    *IF(OR('RR.HH.'!$H10="No",J$18),1,0)</f>
        <v>0</v>
      </c>
      <c r="K51" s="195">
        <f>$B51    *IF(OR('RR.HH.'!$H10="No",K$18),1,0)</f>
        <v>0</v>
      </c>
      <c r="L51" s="195">
        <f>$B51    *IF(OR('RR.HH.'!$H10="No",L$18),1,0)</f>
        <v>0</v>
      </c>
      <c r="M51" s="195">
        <f>$B51    *IF(OR('RR.HH.'!$H10="No",M$18),1,0)</f>
        <v>0</v>
      </c>
      <c r="N51" s="196">
        <f>$B51    *IF(OR('RR.HH.'!$H10="No",N$18),1,0)</f>
        <v>0</v>
      </c>
      <c r="O51" s="197">
        <f t="shared" si="9"/>
        <v>0</v>
      </c>
    </row>
    <row r="52" spans="1:15">
      <c r="A52" s="223" t="str">
        <v/>
      </c>
      <c r="B52" s="193">
        <v>0</v>
      </c>
      <c r="C52" s="194">
        <f>$B52    *IF(OR('RR.HH.'!$H11="No",C$18),1,0)</f>
        <v>0</v>
      </c>
      <c r="D52" s="195">
        <f>$B52    *IF(OR('RR.HH.'!$H11="No",D$18),1,0)</f>
        <v>0</v>
      </c>
      <c r="E52" s="195">
        <f>$B52    *IF(OR('RR.HH.'!$H11="No",E$18),1,0)</f>
        <v>0</v>
      </c>
      <c r="F52" s="195">
        <f>$B52    *IF(OR('RR.HH.'!$H11="No",F$18),1,0)</f>
        <v>0</v>
      </c>
      <c r="G52" s="195">
        <f>$B52    *IF(OR('RR.HH.'!$H11="No",G$18),1,0)</f>
        <v>0</v>
      </c>
      <c r="H52" s="195">
        <f>$B52    *IF(OR('RR.HH.'!$H11="No",H$18),1,0)</f>
        <v>0</v>
      </c>
      <c r="I52" s="195">
        <f>$B52    *IF(OR('RR.HH.'!$H11="No",I$18),1,0)</f>
        <v>0</v>
      </c>
      <c r="J52" s="195">
        <f>$B52    *IF(OR('RR.HH.'!$H11="No",J$18),1,0)</f>
        <v>0</v>
      </c>
      <c r="K52" s="195">
        <f>$B52    *IF(OR('RR.HH.'!$H11="No",K$18),1,0)</f>
        <v>0</v>
      </c>
      <c r="L52" s="195">
        <f>$B52    *IF(OR('RR.HH.'!$H11="No",L$18),1,0)</f>
        <v>0</v>
      </c>
      <c r="M52" s="195">
        <f>$B52    *IF(OR('RR.HH.'!$H11="No",M$18),1,0)</f>
        <v>0</v>
      </c>
      <c r="N52" s="196">
        <f>$B52    *IF(OR('RR.HH.'!$H11="No",N$18),1,0)</f>
        <v>0</v>
      </c>
      <c r="O52" s="197">
        <f t="shared" si="9"/>
        <v>0</v>
      </c>
    </row>
    <row r="53" spans="1:15">
      <c r="A53" s="223" t="str">
        <v/>
      </c>
      <c r="B53" s="193">
        <v>0</v>
      </c>
      <c r="C53" s="194">
        <f>$B53    *IF(OR('RR.HH.'!$H12="No",C$18),1,0)</f>
        <v>0</v>
      </c>
      <c r="D53" s="195">
        <f>$B53    *IF(OR('RR.HH.'!$H12="No",D$18),1,0)</f>
        <v>0</v>
      </c>
      <c r="E53" s="195">
        <f>$B53    *IF(OR('RR.HH.'!$H12="No",E$18),1,0)</f>
        <v>0</v>
      </c>
      <c r="F53" s="195">
        <f>$B53    *IF(OR('RR.HH.'!$H12="No",F$18),1,0)</f>
        <v>0</v>
      </c>
      <c r="G53" s="195">
        <f>$B53    *IF(OR('RR.HH.'!$H12="No",G$18),1,0)</f>
        <v>0</v>
      </c>
      <c r="H53" s="195">
        <f>$B53    *IF(OR('RR.HH.'!$H12="No",H$18),1,0)</f>
        <v>0</v>
      </c>
      <c r="I53" s="195">
        <f>$B53    *IF(OR('RR.HH.'!$H12="No",I$18),1,0)</f>
        <v>0</v>
      </c>
      <c r="J53" s="195">
        <f>$B53    *IF(OR('RR.HH.'!$H12="No",J$18),1,0)</f>
        <v>0</v>
      </c>
      <c r="K53" s="195">
        <f>$B53    *IF(OR('RR.HH.'!$H12="No",K$18),1,0)</f>
        <v>0</v>
      </c>
      <c r="L53" s="195">
        <f>$B53    *IF(OR('RR.HH.'!$H12="No",L$18),1,0)</f>
        <v>0</v>
      </c>
      <c r="M53" s="195">
        <f>$B53    *IF(OR('RR.HH.'!$H12="No",M$18),1,0)</f>
        <v>0</v>
      </c>
      <c r="N53" s="196">
        <f>$B53    *IF(OR('RR.HH.'!$H12="No",N$18),1,0)</f>
        <v>0</v>
      </c>
      <c r="O53" s="197">
        <f t="shared" si="9"/>
        <v>0</v>
      </c>
    </row>
    <row r="54" spans="1:15" ht="15.75" thickBot="1">
      <c r="A54" s="223" t="str">
        <v/>
      </c>
      <c r="B54" s="193">
        <v>0</v>
      </c>
      <c r="C54" s="194">
        <f>$B54    *IF(OR('RR.HH.'!$H13="No",C$18),1,0)</f>
        <v>0</v>
      </c>
      <c r="D54" s="195">
        <f>$B54    *IF(OR('RR.HH.'!$H13="No",D$18),1,0)</f>
        <v>0</v>
      </c>
      <c r="E54" s="195">
        <f>$B54    *IF(OR('RR.HH.'!$H13="No",E$18),1,0)</f>
        <v>0</v>
      </c>
      <c r="F54" s="195">
        <f>$B54    *IF(OR('RR.HH.'!$H13="No",F$18),1,0)</f>
        <v>0</v>
      </c>
      <c r="G54" s="195">
        <f>$B54    *IF(OR('RR.HH.'!$H13="No",G$18),1,0)</f>
        <v>0</v>
      </c>
      <c r="H54" s="195">
        <f>$B54    *IF(OR('RR.HH.'!$H13="No",H$18),1,0)</f>
        <v>0</v>
      </c>
      <c r="I54" s="195">
        <f>$B54    *IF(OR('RR.HH.'!$H13="No",I$18),1,0)</f>
        <v>0</v>
      </c>
      <c r="J54" s="195">
        <f>$B54    *IF(OR('RR.HH.'!$H13="No",J$18),1,0)</f>
        <v>0</v>
      </c>
      <c r="K54" s="195">
        <f>$B54    *IF(OR('RR.HH.'!$H13="No",K$18),1,0)</f>
        <v>0</v>
      </c>
      <c r="L54" s="195">
        <f>$B54    *IF(OR('RR.HH.'!$H13="No",L$18),1,0)</f>
        <v>0</v>
      </c>
      <c r="M54" s="195">
        <f>$B54    *IF(OR('RR.HH.'!$H13="No",M$18),1,0)</f>
        <v>0</v>
      </c>
      <c r="N54" s="196">
        <f>$B54    *IF(OR('RR.HH.'!$H13="No",N$18),1,0)</f>
        <v>0</v>
      </c>
      <c r="O54" s="197">
        <f t="shared" si="9"/>
        <v>0</v>
      </c>
    </row>
    <row r="55" spans="1:15" ht="15.75" thickBot="1">
      <c r="A55" s="2441" t="str">
        <f>A$17</f>
        <v>Total Plantilla</v>
      </c>
      <c r="B55" s="57">
        <f t="shared" ref="B55:N55" si="10">SUM(B47:B54)</f>
        <v>1</v>
      </c>
      <c r="C55" s="198">
        <f t="shared" si="10"/>
        <v>1</v>
      </c>
      <c r="D55" s="199">
        <f t="shared" si="10"/>
        <v>1</v>
      </c>
      <c r="E55" s="199">
        <f t="shared" si="10"/>
        <v>1</v>
      </c>
      <c r="F55" s="199">
        <f t="shared" si="10"/>
        <v>1</v>
      </c>
      <c r="G55" s="199">
        <f t="shared" si="10"/>
        <v>1</v>
      </c>
      <c r="H55" s="199">
        <f t="shared" si="10"/>
        <v>1</v>
      </c>
      <c r="I55" s="199">
        <f t="shared" si="10"/>
        <v>1</v>
      </c>
      <c r="J55" s="199">
        <f t="shared" si="10"/>
        <v>1</v>
      </c>
      <c r="K55" s="199">
        <f t="shared" si="10"/>
        <v>1</v>
      </c>
      <c r="L55" s="199">
        <f t="shared" si="10"/>
        <v>1</v>
      </c>
      <c r="M55" s="199">
        <f t="shared" si="10"/>
        <v>1</v>
      </c>
      <c r="N55" s="200">
        <f t="shared" si="10"/>
        <v>1</v>
      </c>
      <c r="O55" s="201">
        <f t="shared" si="9"/>
        <v>1</v>
      </c>
    </row>
    <row r="56" spans="1:15" ht="15.75" thickBot="1"/>
    <row r="57" spans="1:15" s="221" customFormat="1" ht="15.75" thickBot="1">
      <c r="A57" s="226" t="str">
        <f t="array" ref="A57:A61">A$19:A$23</f>
        <v>Altas y Bajas de personal</v>
      </c>
      <c r="B57" s="227"/>
      <c r="C57" s="228" t="str">
        <f t="array" ref="C57:N57">meses</f>
        <v>enero</v>
      </c>
      <c r="D57" s="229" t="str">
        <v>febrero</v>
      </c>
      <c r="E57" s="229" t="str">
        <v>marzo</v>
      </c>
      <c r="F57" s="229" t="str">
        <v>abril</v>
      </c>
      <c r="G57" s="229" t="str">
        <v>mayo</v>
      </c>
      <c r="H57" s="229" t="str">
        <v>junio</v>
      </c>
      <c r="I57" s="229" t="str">
        <v>julio</v>
      </c>
      <c r="J57" s="229" t="str">
        <v>agosto</v>
      </c>
      <c r="K57" s="229" t="str">
        <v>septiembre</v>
      </c>
      <c r="L57" s="229" t="str">
        <v>octubre</v>
      </c>
      <c r="M57" s="229" t="str">
        <v>noviembre</v>
      </c>
      <c r="N57" s="230" t="str">
        <v>diciembre</v>
      </c>
      <c r="O57" s="231" t="s">
        <v>11</v>
      </c>
    </row>
    <row r="58" spans="1:15">
      <c r="A58" s="224" t="str">
        <v>nº socios R.E.T.A. (altas y bajas)</v>
      </c>
      <c r="B58" s="202"/>
      <c r="C58" s="203">
        <f>ABS(C47+C48-N28-N29)</f>
        <v>0</v>
      </c>
      <c r="D58" s="204">
        <f t="shared" ref="D58:N58" si="11">ABS(D47+D48-C47-C48)</f>
        <v>0</v>
      </c>
      <c r="E58" s="204">
        <f t="shared" si="11"/>
        <v>0</v>
      </c>
      <c r="F58" s="204">
        <f t="shared" si="11"/>
        <v>0</v>
      </c>
      <c r="G58" s="204">
        <f t="shared" si="11"/>
        <v>0</v>
      </c>
      <c r="H58" s="204">
        <f t="shared" si="11"/>
        <v>0</v>
      </c>
      <c r="I58" s="204">
        <f t="shared" si="11"/>
        <v>0</v>
      </c>
      <c r="J58" s="204">
        <f t="shared" si="11"/>
        <v>0</v>
      </c>
      <c r="K58" s="204">
        <f t="shared" si="11"/>
        <v>0</v>
      </c>
      <c r="L58" s="204">
        <f t="shared" si="11"/>
        <v>0</v>
      </c>
      <c r="M58" s="204">
        <f t="shared" si="11"/>
        <v>0</v>
      </c>
      <c r="N58" s="205">
        <f t="shared" si="11"/>
        <v>0</v>
      </c>
      <c r="O58" s="206">
        <f>SUM(C58:N58)</f>
        <v>0</v>
      </c>
    </row>
    <row r="59" spans="1:15" ht="15.75" thickBot="1">
      <c r="A59" s="225" t="str">
        <v>altas/bajas de trabajadores</v>
      </c>
      <c r="B59" s="208"/>
      <c r="C59" s="209">
        <f>ABS(SUM(C49:C54)-SUM(N30:N35))</f>
        <v>0</v>
      </c>
      <c r="D59" s="210">
        <f t="shared" ref="D59:N59" si="12">ABS(SUM(D49:D54)-SUM(C49:C54))</f>
        <v>0</v>
      </c>
      <c r="E59" s="210">
        <f t="shared" si="12"/>
        <v>0</v>
      </c>
      <c r="F59" s="210">
        <f t="shared" si="12"/>
        <v>0</v>
      </c>
      <c r="G59" s="210">
        <f t="shared" si="12"/>
        <v>0</v>
      </c>
      <c r="H59" s="210">
        <f t="shared" si="12"/>
        <v>0</v>
      </c>
      <c r="I59" s="210">
        <f t="shared" si="12"/>
        <v>0</v>
      </c>
      <c r="J59" s="210">
        <f t="shared" si="12"/>
        <v>0</v>
      </c>
      <c r="K59" s="210">
        <f t="shared" si="12"/>
        <v>0</v>
      </c>
      <c r="L59" s="210">
        <f t="shared" si="12"/>
        <v>0</v>
      </c>
      <c r="M59" s="210">
        <f t="shared" si="12"/>
        <v>0</v>
      </c>
      <c r="N59" s="211">
        <f t="shared" si="12"/>
        <v>0</v>
      </c>
      <c r="O59" s="212">
        <f>SUM(C59:N59)</f>
        <v>0</v>
      </c>
    </row>
    <row r="60" spans="1:15" ht="6.75" customHeight="1" thickBot="1">
      <c r="A60" s="2283">
        <v>0</v>
      </c>
    </row>
    <row r="61" spans="1:15" ht="15.75" thickBot="1">
      <c r="A61" s="537" t="str">
        <v>nº socios a efectos de IRPF</v>
      </c>
      <c r="B61" s="382"/>
      <c r="C61" s="538">
        <f t="array" ref="C61:N61">C47:N47+C48:N48</f>
        <v>1</v>
      </c>
      <c r="D61" s="539">
        <v>1</v>
      </c>
      <c r="E61" s="539">
        <v>1</v>
      </c>
      <c r="F61" s="539">
        <v>1</v>
      </c>
      <c r="G61" s="539">
        <v>1</v>
      </c>
      <c r="H61" s="539">
        <v>1</v>
      </c>
      <c r="I61" s="539">
        <v>1</v>
      </c>
      <c r="J61" s="539">
        <v>1</v>
      </c>
      <c r="K61" s="539">
        <v>1</v>
      </c>
      <c r="L61" s="539">
        <v>1</v>
      </c>
      <c r="M61" s="539">
        <v>1</v>
      </c>
      <c r="N61" s="540">
        <v>1</v>
      </c>
      <c r="O61" s="536">
        <f>MAX(B61:N61)</f>
        <v>1</v>
      </c>
    </row>
    <row r="63" spans="1:15" s="542" customFormat="1" ht="19.5">
      <c r="A63" s="398" t="str">
        <f>A$6</f>
        <v>Recursos Humanos de la empresa</v>
      </c>
      <c r="B63" s="398"/>
      <c r="C63" s="398"/>
      <c r="D63" s="398"/>
      <c r="E63" s="237" t="str">
        <f>Parametros!E$77</f>
        <v>Año 3:  2029</v>
      </c>
      <c r="F63" s="541"/>
    </row>
    <row r="64" spans="1:15" ht="6.75" customHeight="1" thickBot="1">
      <c r="A64" s="213"/>
    </row>
    <row r="65" spans="1:15" s="221" customFormat="1" ht="21.75" customHeight="1" thickBot="1">
      <c r="A65" s="215" t="str">
        <f>A$8</f>
        <v>Plantilla por meses</v>
      </c>
      <c r="B65" s="216" t="s">
        <v>82</v>
      </c>
      <c r="C65" s="217" t="str">
        <f t="array" ref="C65:N65">meses</f>
        <v>enero</v>
      </c>
      <c r="D65" s="218" t="str">
        <v>febrero</v>
      </c>
      <c r="E65" s="218" t="str">
        <v>marzo</v>
      </c>
      <c r="F65" s="218" t="str">
        <v>abril</v>
      </c>
      <c r="G65" s="218" t="str">
        <v>mayo</v>
      </c>
      <c r="H65" s="218" t="str">
        <v>junio</v>
      </c>
      <c r="I65" s="218" t="str">
        <v>julio</v>
      </c>
      <c r="J65" s="218" t="str">
        <v>agosto</v>
      </c>
      <c r="K65" s="218" t="str">
        <v>septiembre</v>
      </c>
      <c r="L65" s="218" t="str">
        <v>octubre</v>
      </c>
      <c r="M65" s="218" t="str">
        <v>noviembre</v>
      </c>
      <c r="N65" s="219" t="str">
        <v>diciembre</v>
      </c>
      <c r="O65" s="220" t="s">
        <v>164</v>
      </c>
    </row>
    <row r="66" spans="1:15">
      <c r="A66" s="222" t="str">
        <f t="array" ref="A66:A73">catlaborales</f>
        <v>Socios/as gestores/as</v>
      </c>
      <c r="B66" s="188">
        <f t="array" ref="B66:B73">'RR.HH.'!E6:E13</f>
        <v>1</v>
      </c>
      <c r="C66" s="189">
        <f>$B66    *IF(OR('RR.HH.'!$H6="No",C$18),1,0)</f>
        <v>1</v>
      </c>
      <c r="D66" s="190">
        <f>$B66    *IF(OR('RR.HH.'!$H6="No",D$18),1,0)</f>
        <v>1</v>
      </c>
      <c r="E66" s="190">
        <f>$B66    *IF(OR('RR.HH.'!$H6="No",E$18),1,0)</f>
        <v>1</v>
      </c>
      <c r="F66" s="190">
        <f>$B66    *IF(OR('RR.HH.'!$H6="No",F$18),1,0)</f>
        <v>1</v>
      </c>
      <c r="G66" s="190">
        <f>$B66    *IF(OR('RR.HH.'!$H6="No",G$18),1,0)</f>
        <v>1</v>
      </c>
      <c r="H66" s="190">
        <f>$B66    *IF(OR('RR.HH.'!$H6="No",H$18),1,0)</f>
        <v>1</v>
      </c>
      <c r="I66" s="190">
        <f>$B66    *IF(OR('RR.HH.'!$H6="No",I$18),1,0)</f>
        <v>1</v>
      </c>
      <c r="J66" s="190">
        <f>$B66    *IF(OR('RR.HH.'!$H6="No",J$18),1,0)</f>
        <v>1</v>
      </c>
      <c r="K66" s="190">
        <f>$B66    *IF(OR('RR.HH.'!$H6="No",K$18),1,0)</f>
        <v>1</v>
      </c>
      <c r="L66" s="190">
        <f>$B66    *IF(OR('RR.HH.'!$H6="No",L$18),1,0)</f>
        <v>1</v>
      </c>
      <c r="M66" s="190">
        <f>$B66    *IF(OR('RR.HH.'!$H6="No",M$18),1,0)</f>
        <v>1</v>
      </c>
      <c r="N66" s="191">
        <f>$B66    *IF(OR('RR.HH.'!$H6="No",N$18),1,0)</f>
        <v>1</v>
      </c>
      <c r="O66" s="192">
        <f t="shared" ref="O66:O74" si="13">AVERAGE(C66:N66)</f>
        <v>1</v>
      </c>
    </row>
    <row r="67" spans="1:15">
      <c r="A67" s="223" t="str">
        <v>Otros personas en RETA</v>
      </c>
      <c r="B67" s="193">
        <v>0</v>
      </c>
      <c r="C67" s="194">
        <f>$B67    *IF(OR('RR.HH.'!$H7="No",C$18),1,0)</f>
        <v>0</v>
      </c>
      <c r="D67" s="195">
        <f>$B67    *IF(OR('RR.HH.'!$H7="No",D$18),1,0)</f>
        <v>0</v>
      </c>
      <c r="E67" s="195">
        <f>$B67    *IF(OR('RR.HH.'!$H7="No",E$18),1,0)</f>
        <v>0</v>
      </c>
      <c r="F67" s="195">
        <f>$B67    *IF(OR('RR.HH.'!$H7="No",F$18),1,0)</f>
        <v>0</v>
      </c>
      <c r="G67" s="195">
        <f>$B67    *IF(OR('RR.HH.'!$H7="No",G$18),1,0)</f>
        <v>0</v>
      </c>
      <c r="H67" s="195">
        <f>$B67    *IF(OR('RR.HH.'!$H7="No",H$18),1,0)</f>
        <v>0</v>
      </c>
      <c r="I67" s="195">
        <f>$B67    *IF(OR('RR.HH.'!$H7="No",I$18),1,0)</f>
        <v>0</v>
      </c>
      <c r="J67" s="195">
        <f>$B67    *IF(OR('RR.HH.'!$H7="No",J$18),1,0)</f>
        <v>0</v>
      </c>
      <c r="K67" s="195">
        <f>$B67    *IF(OR('RR.HH.'!$H7="No",K$18),1,0)</f>
        <v>0</v>
      </c>
      <c r="L67" s="195">
        <f>$B67    *IF(OR('RR.HH.'!$H7="No",L$18),1,0)</f>
        <v>0</v>
      </c>
      <c r="M67" s="195">
        <f>$B67    *IF(OR('RR.HH.'!$H7="No",M$18),1,0)</f>
        <v>0</v>
      </c>
      <c r="N67" s="196">
        <f>$B67    *IF(OR('RR.HH.'!$H7="No",N$18),1,0)</f>
        <v>0</v>
      </c>
      <c r="O67" s="197">
        <f t="shared" si="13"/>
        <v>0</v>
      </c>
    </row>
    <row r="68" spans="1:15">
      <c r="A68" s="223" t="str">
        <v>empleado</v>
      </c>
      <c r="B68" s="193">
        <v>0</v>
      </c>
      <c r="C68" s="194">
        <f>$B68    *IF(OR('RR.HH.'!$H8="No",C$18),1,0)</f>
        <v>0</v>
      </c>
      <c r="D68" s="195">
        <f>$B68    *IF(OR('RR.HH.'!$H8="No",D$18),1,0)</f>
        <v>0</v>
      </c>
      <c r="E68" s="195">
        <f>$B68    *IF(OR('RR.HH.'!$H8="No",E$18),1,0)</f>
        <v>0</v>
      </c>
      <c r="F68" s="195">
        <f>$B68    *IF(OR('RR.HH.'!$H8="No",F$18),1,0)</f>
        <v>0</v>
      </c>
      <c r="G68" s="195">
        <f>$B68    *IF(OR('RR.HH.'!$H8="No",G$18),1,0)</f>
        <v>0</v>
      </c>
      <c r="H68" s="195">
        <f>$B68    *IF(OR('RR.HH.'!$H8="No",H$18),1,0)</f>
        <v>0</v>
      </c>
      <c r="I68" s="195">
        <f>$B68    *IF(OR('RR.HH.'!$H8="No",I$18),1,0)</f>
        <v>0</v>
      </c>
      <c r="J68" s="195">
        <f>$B68    *IF(OR('RR.HH.'!$H8="No",J$18),1,0)</f>
        <v>0</v>
      </c>
      <c r="K68" s="195">
        <f>$B68    *IF(OR('RR.HH.'!$H8="No",K$18),1,0)</f>
        <v>0</v>
      </c>
      <c r="L68" s="195">
        <f>$B68    *IF(OR('RR.HH.'!$H8="No",L$18),1,0)</f>
        <v>0</v>
      </c>
      <c r="M68" s="195">
        <f>$B68    *IF(OR('RR.HH.'!$H8="No",M$18),1,0)</f>
        <v>0</v>
      </c>
      <c r="N68" s="196">
        <f>$B68    *IF(OR('RR.HH.'!$H8="No",N$18),1,0)</f>
        <v>0</v>
      </c>
      <c r="O68" s="197">
        <f t="shared" si="13"/>
        <v>0</v>
      </c>
    </row>
    <row r="69" spans="1:15">
      <c r="A69" s="223" t="str">
        <v>encargado</v>
      </c>
      <c r="B69" s="193">
        <v>0</v>
      </c>
      <c r="C69" s="194">
        <f>$B69    *IF(OR('RR.HH.'!$H9="No",C$18),1,0)</f>
        <v>0</v>
      </c>
      <c r="D69" s="195">
        <f>$B69    *IF(OR('RR.HH.'!$H9="No",D$18),1,0)</f>
        <v>0</v>
      </c>
      <c r="E69" s="195">
        <f>$B69    *IF(OR('RR.HH.'!$H9="No",E$18),1,0)</f>
        <v>0</v>
      </c>
      <c r="F69" s="195">
        <f>$B69    *IF(OR('RR.HH.'!$H9="No",F$18),1,0)</f>
        <v>0</v>
      </c>
      <c r="G69" s="195">
        <f>$B69    *IF(OR('RR.HH.'!$H9="No",G$18),1,0)</f>
        <v>0</v>
      </c>
      <c r="H69" s="195">
        <f>$B69    *IF(OR('RR.HH.'!$H9="No",H$18),1,0)</f>
        <v>0</v>
      </c>
      <c r="I69" s="195">
        <f>$B69    *IF(OR('RR.HH.'!$H9="No",I$18),1,0)</f>
        <v>0</v>
      </c>
      <c r="J69" s="195">
        <f>$B69    *IF(OR('RR.HH.'!$H9="No",J$18),1,0)</f>
        <v>0</v>
      </c>
      <c r="K69" s="195">
        <f>$B69    *IF(OR('RR.HH.'!$H9="No",K$18),1,0)</f>
        <v>0</v>
      </c>
      <c r="L69" s="195">
        <f>$B69    *IF(OR('RR.HH.'!$H9="No",L$18),1,0)</f>
        <v>0</v>
      </c>
      <c r="M69" s="195">
        <f>$B69    *IF(OR('RR.HH.'!$H9="No",M$18),1,0)</f>
        <v>0</v>
      </c>
      <c r="N69" s="196">
        <f>$B69    *IF(OR('RR.HH.'!$H9="No",N$18),1,0)</f>
        <v>0</v>
      </c>
      <c r="O69" s="197">
        <f t="shared" si="13"/>
        <v>0</v>
      </c>
    </row>
    <row r="70" spans="1:15">
      <c r="A70" s="223" t="str">
        <v/>
      </c>
      <c r="B70" s="193">
        <v>0</v>
      </c>
      <c r="C70" s="194">
        <f>$B70    *IF(OR('RR.HH.'!$H10="No",C$18),1,0)</f>
        <v>0</v>
      </c>
      <c r="D70" s="195">
        <f>$B70    *IF(OR('RR.HH.'!$H10="No",D$18),1,0)</f>
        <v>0</v>
      </c>
      <c r="E70" s="195">
        <f>$B70    *IF(OR('RR.HH.'!$H10="No",E$18),1,0)</f>
        <v>0</v>
      </c>
      <c r="F70" s="195">
        <f>$B70    *IF(OR('RR.HH.'!$H10="No",F$18),1,0)</f>
        <v>0</v>
      </c>
      <c r="G70" s="195">
        <f>$B70    *IF(OR('RR.HH.'!$H10="No",G$18),1,0)</f>
        <v>0</v>
      </c>
      <c r="H70" s="195">
        <f>$B70    *IF(OR('RR.HH.'!$H10="No",H$18),1,0)</f>
        <v>0</v>
      </c>
      <c r="I70" s="195">
        <f>$B70    *IF(OR('RR.HH.'!$H10="No",I$18),1,0)</f>
        <v>0</v>
      </c>
      <c r="J70" s="195">
        <f>$B70    *IF(OR('RR.HH.'!$H10="No",J$18),1,0)</f>
        <v>0</v>
      </c>
      <c r="K70" s="195">
        <f>$B70    *IF(OR('RR.HH.'!$H10="No",K$18),1,0)</f>
        <v>0</v>
      </c>
      <c r="L70" s="195">
        <f>$B70    *IF(OR('RR.HH.'!$H10="No",L$18),1,0)</f>
        <v>0</v>
      </c>
      <c r="M70" s="195">
        <f>$B70    *IF(OR('RR.HH.'!$H10="No",M$18),1,0)</f>
        <v>0</v>
      </c>
      <c r="N70" s="196">
        <f>$B70    *IF(OR('RR.HH.'!$H10="No",N$18),1,0)</f>
        <v>0</v>
      </c>
      <c r="O70" s="197">
        <f t="shared" si="13"/>
        <v>0</v>
      </c>
    </row>
    <row r="71" spans="1:15">
      <c r="A71" s="223" t="str">
        <v/>
      </c>
      <c r="B71" s="193">
        <v>0</v>
      </c>
      <c r="C71" s="194">
        <f>$B71    *IF(OR('RR.HH.'!$H11="No",C$18),1,0)</f>
        <v>0</v>
      </c>
      <c r="D71" s="195">
        <f>$B71    *IF(OR('RR.HH.'!$H11="No",D$18),1,0)</f>
        <v>0</v>
      </c>
      <c r="E71" s="195">
        <f>$B71    *IF(OR('RR.HH.'!$H11="No",E$18),1,0)</f>
        <v>0</v>
      </c>
      <c r="F71" s="195">
        <f>$B71    *IF(OR('RR.HH.'!$H11="No",F$18),1,0)</f>
        <v>0</v>
      </c>
      <c r="G71" s="195">
        <f>$B71    *IF(OR('RR.HH.'!$H11="No",G$18),1,0)</f>
        <v>0</v>
      </c>
      <c r="H71" s="195">
        <f>$B71    *IF(OR('RR.HH.'!$H11="No",H$18),1,0)</f>
        <v>0</v>
      </c>
      <c r="I71" s="195">
        <f>$B71    *IF(OR('RR.HH.'!$H11="No",I$18),1,0)</f>
        <v>0</v>
      </c>
      <c r="J71" s="195">
        <f>$B71    *IF(OR('RR.HH.'!$H11="No",J$18),1,0)</f>
        <v>0</v>
      </c>
      <c r="K71" s="195">
        <f>$B71    *IF(OR('RR.HH.'!$H11="No",K$18),1,0)</f>
        <v>0</v>
      </c>
      <c r="L71" s="195">
        <f>$B71    *IF(OR('RR.HH.'!$H11="No",L$18),1,0)</f>
        <v>0</v>
      </c>
      <c r="M71" s="195">
        <f>$B71    *IF(OR('RR.HH.'!$H11="No",M$18),1,0)</f>
        <v>0</v>
      </c>
      <c r="N71" s="196">
        <f>$B71    *IF(OR('RR.HH.'!$H11="No",N$18),1,0)</f>
        <v>0</v>
      </c>
      <c r="O71" s="197">
        <f t="shared" si="13"/>
        <v>0</v>
      </c>
    </row>
    <row r="72" spans="1:15">
      <c r="A72" s="223" t="str">
        <v/>
      </c>
      <c r="B72" s="193">
        <v>0</v>
      </c>
      <c r="C72" s="194">
        <f>$B72    *IF(OR('RR.HH.'!$H12="No",C$18),1,0)</f>
        <v>0</v>
      </c>
      <c r="D72" s="195">
        <f>$B72    *IF(OR('RR.HH.'!$H12="No",D$18),1,0)</f>
        <v>0</v>
      </c>
      <c r="E72" s="195">
        <f>$B72    *IF(OR('RR.HH.'!$H12="No",E$18),1,0)</f>
        <v>0</v>
      </c>
      <c r="F72" s="195">
        <f>$B72    *IF(OR('RR.HH.'!$H12="No",F$18),1,0)</f>
        <v>0</v>
      </c>
      <c r="G72" s="195">
        <f>$B72    *IF(OR('RR.HH.'!$H12="No",G$18),1,0)</f>
        <v>0</v>
      </c>
      <c r="H72" s="195">
        <f>$B72    *IF(OR('RR.HH.'!$H12="No",H$18),1,0)</f>
        <v>0</v>
      </c>
      <c r="I72" s="195">
        <f>$B72    *IF(OR('RR.HH.'!$H12="No",I$18),1,0)</f>
        <v>0</v>
      </c>
      <c r="J72" s="195">
        <f>$B72    *IF(OR('RR.HH.'!$H12="No",J$18),1,0)</f>
        <v>0</v>
      </c>
      <c r="K72" s="195">
        <f>$B72    *IF(OR('RR.HH.'!$H12="No",K$18),1,0)</f>
        <v>0</v>
      </c>
      <c r="L72" s="195">
        <f>$B72    *IF(OR('RR.HH.'!$H12="No",L$18),1,0)</f>
        <v>0</v>
      </c>
      <c r="M72" s="195">
        <f>$B72    *IF(OR('RR.HH.'!$H12="No",M$18),1,0)</f>
        <v>0</v>
      </c>
      <c r="N72" s="196">
        <f>$B72    *IF(OR('RR.HH.'!$H12="No",N$18),1,0)</f>
        <v>0</v>
      </c>
      <c r="O72" s="197">
        <f t="shared" si="13"/>
        <v>0</v>
      </c>
    </row>
    <row r="73" spans="1:15" ht="15.75" thickBot="1">
      <c r="A73" s="223" t="str">
        <v/>
      </c>
      <c r="B73" s="193">
        <v>0</v>
      </c>
      <c r="C73" s="194">
        <f>$B73    *IF(OR('RR.HH.'!$H13="No",C$18),1,0)</f>
        <v>0</v>
      </c>
      <c r="D73" s="195">
        <f>$B73    *IF(OR('RR.HH.'!$H13="No",D$18),1,0)</f>
        <v>0</v>
      </c>
      <c r="E73" s="195">
        <f>$B73    *IF(OR('RR.HH.'!$H13="No",E$18),1,0)</f>
        <v>0</v>
      </c>
      <c r="F73" s="195">
        <f>$B73    *IF(OR('RR.HH.'!$H13="No",F$18),1,0)</f>
        <v>0</v>
      </c>
      <c r="G73" s="195">
        <f>$B73    *IF(OR('RR.HH.'!$H13="No",G$18),1,0)</f>
        <v>0</v>
      </c>
      <c r="H73" s="195">
        <f>$B73    *IF(OR('RR.HH.'!$H13="No",H$18),1,0)</f>
        <v>0</v>
      </c>
      <c r="I73" s="195">
        <f>$B73    *IF(OR('RR.HH.'!$H13="No",I$18),1,0)</f>
        <v>0</v>
      </c>
      <c r="J73" s="195">
        <f>$B73    *IF(OR('RR.HH.'!$H13="No",J$18),1,0)</f>
        <v>0</v>
      </c>
      <c r="K73" s="195">
        <f>$B73    *IF(OR('RR.HH.'!$H13="No",K$18),1,0)</f>
        <v>0</v>
      </c>
      <c r="L73" s="195">
        <f>$B73    *IF(OR('RR.HH.'!$H13="No",L$18),1,0)</f>
        <v>0</v>
      </c>
      <c r="M73" s="195">
        <f>$B73    *IF(OR('RR.HH.'!$H13="No",M$18),1,0)</f>
        <v>0</v>
      </c>
      <c r="N73" s="196">
        <f>$B73    *IF(OR('RR.HH.'!$H13="No",N$18),1,0)</f>
        <v>0</v>
      </c>
      <c r="O73" s="197">
        <f t="shared" si="13"/>
        <v>0</v>
      </c>
    </row>
    <row r="74" spans="1:15" ht="15.75" thickBot="1">
      <c r="A74" s="2441" t="str">
        <f>A$17</f>
        <v>Total Plantilla</v>
      </c>
      <c r="B74" s="57">
        <f t="shared" ref="B74:N74" si="14">SUM(B66:B73)</f>
        <v>1</v>
      </c>
      <c r="C74" s="198">
        <f t="shared" si="14"/>
        <v>1</v>
      </c>
      <c r="D74" s="199">
        <f t="shared" si="14"/>
        <v>1</v>
      </c>
      <c r="E74" s="199">
        <f t="shared" si="14"/>
        <v>1</v>
      </c>
      <c r="F74" s="199">
        <f t="shared" si="14"/>
        <v>1</v>
      </c>
      <c r="G74" s="199">
        <f t="shared" si="14"/>
        <v>1</v>
      </c>
      <c r="H74" s="199">
        <f t="shared" si="14"/>
        <v>1</v>
      </c>
      <c r="I74" s="199">
        <f t="shared" si="14"/>
        <v>1</v>
      </c>
      <c r="J74" s="199">
        <f t="shared" si="14"/>
        <v>1</v>
      </c>
      <c r="K74" s="199">
        <f t="shared" si="14"/>
        <v>1</v>
      </c>
      <c r="L74" s="199">
        <f t="shared" si="14"/>
        <v>1</v>
      </c>
      <c r="M74" s="199">
        <f t="shared" si="14"/>
        <v>1</v>
      </c>
      <c r="N74" s="200">
        <f t="shared" si="14"/>
        <v>1</v>
      </c>
      <c r="O74" s="201">
        <f t="shared" si="13"/>
        <v>1</v>
      </c>
    </row>
    <row r="75" spans="1:15" ht="15.75" thickBot="1"/>
    <row r="76" spans="1:15" s="221" customFormat="1" ht="15.75" thickBot="1">
      <c r="A76" s="226" t="str">
        <f t="array" ref="A76:A80">A$19:A$23</f>
        <v>Altas y Bajas de personal</v>
      </c>
      <c r="B76" s="227"/>
      <c r="C76" s="228" t="str">
        <f t="array" ref="C76:N76">meses</f>
        <v>enero</v>
      </c>
      <c r="D76" s="229" t="str">
        <v>febrero</v>
      </c>
      <c r="E76" s="229" t="str">
        <v>marzo</v>
      </c>
      <c r="F76" s="229" t="str">
        <v>abril</v>
      </c>
      <c r="G76" s="229" t="str">
        <v>mayo</v>
      </c>
      <c r="H76" s="229" t="str">
        <v>junio</v>
      </c>
      <c r="I76" s="229" t="str">
        <v>julio</v>
      </c>
      <c r="J76" s="229" t="str">
        <v>agosto</v>
      </c>
      <c r="K76" s="229" t="str">
        <v>septiembre</v>
      </c>
      <c r="L76" s="229" t="str">
        <v>octubre</v>
      </c>
      <c r="M76" s="229" t="str">
        <v>noviembre</v>
      </c>
      <c r="N76" s="230" t="str">
        <v>diciembre</v>
      </c>
      <c r="O76" s="231" t="s">
        <v>11</v>
      </c>
    </row>
    <row r="77" spans="1:15">
      <c r="A77" s="224" t="str">
        <v>nº socios R.E.T.A. (altas y bajas)</v>
      </c>
      <c r="B77" s="202"/>
      <c r="C77" s="203">
        <f>ABS(C66+C67-N47-N48)</f>
        <v>0</v>
      </c>
      <c r="D77" s="204">
        <f t="shared" ref="D77:N77" si="15">ABS(D66+D67-C66-C67)</f>
        <v>0</v>
      </c>
      <c r="E77" s="204">
        <f t="shared" si="15"/>
        <v>0</v>
      </c>
      <c r="F77" s="204">
        <f t="shared" si="15"/>
        <v>0</v>
      </c>
      <c r="G77" s="204">
        <f t="shared" si="15"/>
        <v>0</v>
      </c>
      <c r="H77" s="204">
        <f t="shared" si="15"/>
        <v>0</v>
      </c>
      <c r="I77" s="204">
        <f t="shared" si="15"/>
        <v>0</v>
      </c>
      <c r="J77" s="204">
        <f t="shared" si="15"/>
        <v>0</v>
      </c>
      <c r="K77" s="204">
        <f t="shared" si="15"/>
        <v>0</v>
      </c>
      <c r="L77" s="204">
        <f t="shared" si="15"/>
        <v>0</v>
      </c>
      <c r="M77" s="204">
        <f t="shared" si="15"/>
        <v>0</v>
      </c>
      <c r="N77" s="205">
        <f t="shared" si="15"/>
        <v>0</v>
      </c>
      <c r="O77" s="206">
        <f>SUM(C77:N77)</f>
        <v>0</v>
      </c>
    </row>
    <row r="78" spans="1:15" ht="15.75" thickBot="1">
      <c r="A78" s="225" t="str">
        <v>altas/bajas de trabajadores</v>
      </c>
      <c r="B78" s="208"/>
      <c r="C78" s="209">
        <f>ABS(SUM(C68:C73)-SUM(N49:N54))</f>
        <v>0</v>
      </c>
      <c r="D78" s="210">
        <f t="shared" ref="D78:N78" si="16">ABS(SUM(D68:D73)-SUM(C68:C73))</f>
        <v>0</v>
      </c>
      <c r="E78" s="210">
        <f t="shared" si="16"/>
        <v>0</v>
      </c>
      <c r="F78" s="210">
        <f t="shared" si="16"/>
        <v>0</v>
      </c>
      <c r="G78" s="210">
        <f t="shared" si="16"/>
        <v>0</v>
      </c>
      <c r="H78" s="210">
        <f t="shared" si="16"/>
        <v>0</v>
      </c>
      <c r="I78" s="210">
        <f t="shared" si="16"/>
        <v>0</v>
      </c>
      <c r="J78" s="210">
        <f t="shared" si="16"/>
        <v>0</v>
      </c>
      <c r="K78" s="210">
        <f t="shared" si="16"/>
        <v>0</v>
      </c>
      <c r="L78" s="210">
        <f t="shared" si="16"/>
        <v>0</v>
      </c>
      <c r="M78" s="210">
        <f t="shared" si="16"/>
        <v>0</v>
      </c>
      <c r="N78" s="211">
        <f t="shared" si="16"/>
        <v>0</v>
      </c>
      <c r="O78" s="212">
        <f>SUM(C78:N78)</f>
        <v>0</v>
      </c>
    </row>
    <row r="79" spans="1:15" ht="6.75" customHeight="1" thickBot="1">
      <c r="A79" s="2283">
        <v>0</v>
      </c>
    </row>
    <row r="80" spans="1:15" ht="15.75" thickBot="1">
      <c r="A80" s="537" t="str">
        <v>nº socios a efectos de IRPF</v>
      </c>
      <c r="B80" s="382"/>
      <c r="C80" s="538">
        <f t="array" ref="C80:N80">C66:N66+C67:N67</f>
        <v>1</v>
      </c>
      <c r="D80" s="539">
        <v>1</v>
      </c>
      <c r="E80" s="539">
        <v>1</v>
      </c>
      <c r="F80" s="539">
        <v>1</v>
      </c>
      <c r="G80" s="539">
        <v>1</v>
      </c>
      <c r="H80" s="539">
        <v>1</v>
      </c>
      <c r="I80" s="539">
        <v>1</v>
      </c>
      <c r="J80" s="539">
        <v>1</v>
      </c>
      <c r="K80" s="539">
        <v>1</v>
      </c>
      <c r="L80" s="539">
        <v>1</v>
      </c>
      <c r="M80" s="539">
        <v>1</v>
      </c>
      <c r="N80" s="540">
        <v>1</v>
      </c>
      <c r="O80" s="536">
        <f>MAX(B80:N80)</f>
        <v>1</v>
      </c>
    </row>
    <row r="82" spans="1:15" s="542" customFormat="1" ht="19.5">
      <c r="A82" s="398" t="str">
        <f>A$6</f>
        <v>Recursos Humanos de la empresa</v>
      </c>
      <c r="B82" s="398"/>
      <c r="C82" s="398"/>
      <c r="D82" s="398"/>
      <c r="E82" s="237" t="str">
        <f>Parametros!F$77</f>
        <v>Año 4:  2030</v>
      </c>
      <c r="F82" s="541"/>
    </row>
    <row r="83" spans="1:15" ht="9" customHeight="1" thickBot="1">
      <c r="A83" s="213"/>
    </row>
    <row r="84" spans="1:15" s="221" customFormat="1" ht="21.75" customHeight="1" thickBot="1">
      <c r="A84" s="215" t="str">
        <f>A$8</f>
        <v>Plantilla por meses</v>
      </c>
      <c r="B84" s="216" t="s">
        <v>82</v>
      </c>
      <c r="C84" s="217" t="str">
        <f t="array" ref="C84:N84">meses</f>
        <v>enero</v>
      </c>
      <c r="D84" s="218" t="str">
        <v>febrero</v>
      </c>
      <c r="E84" s="218" t="str">
        <v>marzo</v>
      </c>
      <c r="F84" s="218" t="str">
        <v>abril</v>
      </c>
      <c r="G84" s="218" t="str">
        <v>mayo</v>
      </c>
      <c r="H84" s="218" t="str">
        <v>junio</v>
      </c>
      <c r="I84" s="218" t="str">
        <v>julio</v>
      </c>
      <c r="J84" s="218" t="str">
        <v>agosto</v>
      </c>
      <c r="K84" s="218" t="str">
        <v>septiembre</v>
      </c>
      <c r="L84" s="218" t="str">
        <v>octubre</v>
      </c>
      <c r="M84" s="218" t="str">
        <v>noviembre</v>
      </c>
      <c r="N84" s="219" t="str">
        <v>diciembre</v>
      </c>
      <c r="O84" s="220" t="s">
        <v>164</v>
      </c>
    </row>
    <row r="85" spans="1:15">
      <c r="A85" s="222" t="str">
        <f t="array" ref="A85:A92">catlaborales</f>
        <v>Socios/as gestores/as</v>
      </c>
      <c r="B85" s="188">
        <f t="array" ref="B85:B92">'RR.HH.'!F6:F13</f>
        <v>1</v>
      </c>
      <c r="C85" s="189">
        <f>$B85    *IF(OR('RR.HH.'!$H6="No",C$18),1,0)</f>
        <v>1</v>
      </c>
      <c r="D85" s="190">
        <f>$B85    *IF(OR('RR.HH.'!$H6="No",D$18),1,0)</f>
        <v>1</v>
      </c>
      <c r="E85" s="190">
        <f>$B85    *IF(OR('RR.HH.'!$H6="No",E$18),1,0)</f>
        <v>1</v>
      </c>
      <c r="F85" s="190">
        <f>$B85    *IF(OR('RR.HH.'!$H6="No",F$18),1,0)</f>
        <v>1</v>
      </c>
      <c r="G85" s="190">
        <f>$B85    *IF(OR('RR.HH.'!$H6="No",G$18),1,0)</f>
        <v>1</v>
      </c>
      <c r="H85" s="190">
        <f>$B85    *IF(OR('RR.HH.'!$H6="No",H$18),1,0)</f>
        <v>1</v>
      </c>
      <c r="I85" s="190">
        <f>$B85    *IF(OR('RR.HH.'!$H6="No",I$18),1,0)</f>
        <v>1</v>
      </c>
      <c r="J85" s="190">
        <f>$B85    *IF(OR('RR.HH.'!$H6="No",J$18),1,0)</f>
        <v>1</v>
      </c>
      <c r="K85" s="190">
        <f>$B85    *IF(OR('RR.HH.'!$H6="No",K$18),1,0)</f>
        <v>1</v>
      </c>
      <c r="L85" s="190">
        <f>$B85    *IF(OR('RR.HH.'!$H6="No",L$18),1,0)</f>
        <v>1</v>
      </c>
      <c r="M85" s="190">
        <f>$B85    *IF(OR('RR.HH.'!$H6="No",M$18),1,0)</f>
        <v>1</v>
      </c>
      <c r="N85" s="191">
        <f>$B85    *IF(OR('RR.HH.'!$H6="No",N$18),1,0)</f>
        <v>1</v>
      </c>
      <c r="O85" s="192">
        <f t="shared" ref="O85:O93" si="17">AVERAGE(C85:N85)</f>
        <v>1</v>
      </c>
    </row>
    <row r="86" spans="1:15">
      <c r="A86" s="223" t="str">
        <v>Otros personas en RETA</v>
      </c>
      <c r="B86" s="193">
        <v>0</v>
      </c>
      <c r="C86" s="194">
        <f>$B86    *IF(OR('RR.HH.'!$H7="No",C$18),1,0)</f>
        <v>0</v>
      </c>
      <c r="D86" s="195">
        <f>$B86    *IF(OR('RR.HH.'!$H7="No",D$18),1,0)</f>
        <v>0</v>
      </c>
      <c r="E86" s="195">
        <f>$B86    *IF(OR('RR.HH.'!$H7="No",E$18),1,0)</f>
        <v>0</v>
      </c>
      <c r="F86" s="195">
        <f>$B86    *IF(OR('RR.HH.'!$H7="No",F$18),1,0)</f>
        <v>0</v>
      </c>
      <c r="G86" s="195">
        <f>$B86    *IF(OR('RR.HH.'!$H7="No",G$18),1,0)</f>
        <v>0</v>
      </c>
      <c r="H86" s="195">
        <f>$B86    *IF(OR('RR.HH.'!$H7="No",H$18),1,0)</f>
        <v>0</v>
      </c>
      <c r="I86" s="195">
        <f>$B86    *IF(OR('RR.HH.'!$H7="No",I$18),1,0)</f>
        <v>0</v>
      </c>
      <c r="J86" s="195">
        <f>$B86    *IF(OR('RR.HH.'!$H7="No",J$18),1,0)</f>
        <v>0</v>
      </c>
      <c r="K86" s="195">
        <f>$B86    *IF(OR('RR.HH.'!$H7="No",K$18),1,0)</f>
        <v>0</v>
      </c>
      <c r="L86" s="195">
        <f>$B86    *IF(OR('RR.HH.'!$H7="No",L$18),1,0)</f>
        <v>0</v>
      </c>
      <c r="M86" s="195">
        <f>$B86    *IF(OR('RR.HH.'!$H7="No",M$18),1,0)</f>
        <v>0</v>
      </c>
      <c r="N86" s="196">
        <f>$B86    *IF(OR('RR.HH.'!$H7="No",N$18),1,0)</f>
        <v>0</v>
      </c>
      <c r="O86" s="197">
        <f t="shared" si="17"/>
        <v>0</v>
      </c>
    </row>
    <row r="87" spans="1:15">
      <c r="A87" s="223" t="str">
        <v>empleado</v>
      </c>
      <c r="B87" s="193">
        <v>0</v>
      </c>
      <c r="C87" s="194">
        <f>$B87    *IF(OR('RR.HH.'!$H8="No",C$18),1,0)</f>
        <v>0</v>
      </c>
      <c r="D87" s="195">
        <f>$B87    *IF(OR('RR.HH.'!$H8="No",D$18),1,0)</f>
        <v>0</v>
      </c>
      <c r="E87" s="195">
        <f>$B87    *IF(OR('RR.HH.'!$H8="No",E$18),1,0)</f>
        <v>0</v>
      </c>
      <c r="F87" s="195">
        <f>$B87    *IF(OR('RR.HH.'!$H8="No",F$18),1,0)</f>
        <v>0</v>
      </c>
      <c r="G87" s="195">
        <f>$B87    *IF(OR('RR.HH.'!$H8="No",G$18),1,0)</f>
        <v>0</v>
      </c>
      <c r="H87" s="195">
        <f>$B87    *IF(OR('RR.HH.'!$H8="No",H$18),1,0)</f>
        <v>0</v>
      </c>
      <c r="I87" s="195">
        <f>$B87    *IF(OR('RR.HH.'!$H8="No",I$18),1,0)</f>
        <v>0</v>
      </c>
      <c r="J87" s="195">
        <f>$B87    *IF(OR('RR.HH.'!$H8="No",J$18),1,0)</f>
        <v>0</v>
      </c>
      <c r="K87" s="195">
        <f>$B87    *IF(OR('RR.HH.'!$H8="No",K$18),1,0)</f>
        <v>0</v>
      </c>
      <c r="L87" s="195">
        <f>$B87    *IF(OR('RR.HH.'!$H8="No",L$18),1,0)</f>
        <v>0</v>
      </c>
      <c r="M87" s="195">
        <f>$B87    *IF(OR('RR.HH.'!$H8="No",M$18),1,0)</f>
        <v>0</v>
      </c>
      <c r="N87" s="196">
        <f>$B87    *IF(OR('RR.HH.'!$H8="No",N$18),1,0)</f>
        <v>0</v>
      </c>
      <c r="O87" s="197">
        <f t="shared" si="17"/>
        <v>0</v>
      </c>
    </row>
    <row r="88" spans="1:15">
      <c r="A88" s="223" t="str">
        <v>encargado</v>
      </c>
      <c r="B88" s="193">
        <v>0</v>
      </c>
      <c r="C88" s="194">
        <f>$B88    *IF(OR('RR.HH.'!$H9="No",C$18),1,0)</f>
        <v>0</v>
      </c>
      <c r="D88" s="195">
        <f>$B88    *IF(OR('RR.HH.'!$H9="No",D$18),1,0)</f>
        <v>0</v>
      </c>
      <c r="E88" s="195">
        <f>$B88    *IF(OR('RR.HH.'!$H9="No",E$18),1,0)</f>
        <v>0</v>
      </c>
      <c r="F88" s="195">
        <f>$B88    *IF(OR('RR.HH.'!$H9="No",F$18),1,0)</f>
        <v>0</v>
      </c>
      <c r="G88" s="195">
        <f>$B88    *IF(OR('RR.HH.'!$H9="No",G$18),1,0)</f>
        <v>0</v>
      </c>
      <c r="H88" s="195">
        <f>$B88    *IF(OR('RR.HH.'!$H9="No",H$18),1,0)</f>
        <v>0</v>
      </c>
      <c r="I88" s="195">
        <f>$B88    *IF(OR('RR.HH.'!$H9="No",I$18),1,0)</f>
        <v>0</v>
      </c>
      <c r="J88" s="195">
        <f>$B88    *IF(OR('RR.HH.'!$H9="No",J$18),1,0)</f>
        <v>0</v>
      </c>
      <c r="K88" s="195">
        <f>$B88    *IF(OR('RR.HH.'!$H9="No",K$18),1,0)</f>
        <v>0</v>
      </c>
      <c r="L88" s="195">
        <f>$B88    *IF(OR('RR.HH.'!$H9="No",L$18),1,0)</f>
        <v>0</v>
      </c>
      <c r="M88" s="195">
        <f>$B88    *IF(OR('RR.HH.'!$H9="No",M$18),1,0)</f>
        <v>0</v>
      </c>
      <c r="N88" s="196">
        <f>$B88    *IF(OR('RR.HH.'!$H9="No",N$18),1,0)</f>
        <v>0</v>
      </c>
      <c r="O88" s="197">
        <f t="shared" si="17"/>
        <v>0</v>
      </c>
    </row>
    <row r="89" spans="1:15">
      <c r="A89" s="223" t="str">
        <v/>
      </c>
      <c r="B89" s="193">
        <v>0</v>
      </c>
      <c r="C89" s="194">
        <f>$B89    *IF(OR('RR.HH.'!$H10="No",C$18),1,0)</f>
        <v>0</v>
      </c>
      <c r="D89" s="195">
        <f>$B89    *IF(OR('RR.HH.'!$H10="No",D$18),1,0)</f>
        <v>0</v>
      </c>
      <c r="E89" s="195">
        <f>$B89    *IF(OR('RR.HH.'!$H10="No",E$18),1,0)</f>
        <v>0</v>
      </c>
      <c r="F89" s="195">
        <f>$B89    *IF(OR('RR.HH.'!$H10="No",F$18),1,0)</f>
        <v>0</v>
      </c>
      <c r="G89" s="195">
        <f>$B89    *IF(OR('RR.HH.'!$H10="No",G$18),1,0)</f>
        <v>0</v>
      </c>
      <c r="H89" s="195">
        <f>$B89    *IF(OR('RR.HH.'!$H10="No",H$18),1,0)</f>
        <v>0</v>
      </c>
      <c r="I89" s="195">
        <f>$B89    *IF(OR('RR.HH.'!$H10="No",I$18),1,0)</f>
        <v>0</v>
      </c>
      <c r="J89" s="195">
        <f>$B89    *IF(OR('RR.HH.'!$H10="No",J$18),1,0)</f>
        <v>0</v>
      </c>
      <c r="K89" s="195">
        <f>$B89    *IF(OR('RR.HH.'!$H10="No",K$18),1,0)</f>
        <v>0</v>
      </c>
      <c r="L89" s="195">
        <f>$B89    *IF(OR('RR.HH.'!$H10="No",L$18),1,0)</f>
        <v>0</v>
      </c>
      <c r="M89" s="195">
        <f>$B89    *IF(OR('RR.HH.'!$H10="No",M$18),1,0)</f>
        <v>0</v>
      </c>
      <c r="N89" s="196">
        <f>$B89    *IF(OR('RR.HH.'!$H10="No",N$18),1,0)</f>
        <v>0</v>
      </c>
      <c r="O89" s="197">
        <f t="shared" si="17"/>
        <v>0</v>
      </c>
    </row>
    <row r="90" spans="1:15">
      <c r="A90" s="223" t="str">
        <v/>
      </c>
      <c r="B90" s="193">
        <v>0</v>
      </c>
      <c r="C90" s="194">
        <f>$B90    *IF(OR('RR.HH.'!$H11="No",C$18),1,0)</f>
        <v>0</v>
      </c>
      <c r="D90" s="195">
        <f>$B90    *IF(OR('RR.HH.'!$H11="No",D$18),1,0)</f>
        <v>0</v>
      </c>
      <c r="E90" s="195">
        <f>$B90    *IF(OR('RR.HH.'!$H11="No",E$18),1,0)</f>
        <v>0</v>
      </c>
      <c r="F90" s="195">
        <f>$B90    *IF(OR('RR.HH.'!$H11="No",F$18),1,0)</f>
        <v>0</v>
      </c>
      <c r="G90" s="195">
        <f>$B90    *IF(OR('RR.HH.'!$H11="No",G$18),1,0)</f>
        <v>0</v>
      </c>
      <c r="H90" s="195">
        <f>$B90    *IF(OR('RR.HH.'!$H11="No",H$18),1,0)</f>
        <v>0</v>
      </c>
      <c r="I90" s="195">
        <f>$B90    *IF(OR('RR.HH.'!$H11="No",I$18),1,0)</f>
        <v>0</v>
      </c>
      <c r="J90" s="195">
        <f>$B90    *IF(OR('RR.HH.'!$H11="No",J$18),1,0)</f>
        <v>0</v>
      </c>
      <c r="K90" s="195">
        <f>$B90    *IF(OR('RR.HH.'!$H11="No",K$18),1,0)</f>
        <v>0</v>
      </c>
      <c r="L90" s="195">
        <f>$B90    *IF(OR('RR.HH.'!$H11="No",L$18),1,0)</f>
        <v>0</v>
      </c>
      <c r="M90" s="195">
        <f>$B90    *IF(OR('RR.HH.'!$H11="No",M$18),1,0)</f>
        <v>0</v>
      </c>
      <c r="N90" s="196">
        <f>$B90    *IF(OR('RR.HH.'!$H11="No",N$18),1,0)</f>
        <v>0</v>
      </c>
      <c r="O90" s="197">
        <f t="shared" si="17"/>
        <v>0</v>
      </c>
    </row>
    <row r="91" spans="1:15">
      <c r="A91" s="223" t="str">
        <v/>
      </c>
      <c r="B91" s="193">
        <v>0</v>
      </c>
      <c r="C91" s="194">
        <f>$B91    *IF(OR('RR.HH.'!$H12="No",C$18),1,0)</f>
        <v>0</v>
      </c>
      <c r="D91" s="195">
        <f>$B91    *IF(OR('RR.HH.'!$H12="No",D$18),1,0)</f>
        <v>0</v>
      </c>
      <c r="E91" s="195">
        <f>$B91    *IF(OR('RR.HH.'!$H12="No",E$18),1,0)</f>
        <v>0</v>
      </c>
      <c r="F91" s="195">
        <f>$B91    *IF(OR('RR.HH.'!$H12="No",F$18),1,0)</f>
        <v>0</v>
      </c>
      <c r="G91" s="195">
        <f>$B91    *IF(OR('RR.HH.'!$H12="No",G$18),1,0)</f>
        <v>0</v>
      </c>
      <c r="H91" s="195">
        <f>$B91    *IF(OR('RR.HH.'!$H12="No",H$18),1,0)</f>
        <v>0</v>
      </c>
      <c r="I91" s="195">
        <f>$B91    *IF(OR('RR.HH.'!$H12="No",I$18),1,0)</f>
        <v>0</v>
      </c>
      <c r="J91" s="195">
        <f>$B91    *IF(OR('RR.HH.'!$H12="No",J$18),1,0)</f>
        <v>0</v>
      </c>
      <c r="K91" s="195">
        <f>$B91    *IF(OR('RR.HH.'!$H12="No",K$18),1,0)</f>
        <v>0</v>
      </c>
      <c r="L91" s="195">
        <f>$B91    *IF(OR('RR.HH.'!$H12="No",L$18),1,0)</f>
        <v>0</v>
      </c>
      <c r="M91" s="195">
        <f>$B91    *IF(OR('RR.HH.'!$H12="No",M$18),1,0)</f>
        <v>0</v>
      </c>
      <c r="N91" s="196">
        <f>$B91    *IF(OR('RR.HH.'!$H12="No",N$18),1,0)</f>
        <v>0</v>
      </c>
      <c r="O91" s="197">
        <f t="shared" si="17"/>
        <v>0</v>
      </c>
    </row>
    <row r="92" spans="1:15" ht="15.75" thickBot="1">
      <c r="A92" s="223" t="str">
        <v/>
      </c>
      <c r="B92" s="193">
        <v>0</v>
      </c>
      <c r="C92" s="194">
        <f>$B92    *IF(OR('RR.HH.'!$H13="No",C$18),1,0)</f>
        <v>0</v>
      </c>
      <c r="D92" s="195">
        <f>$B92    *IF(OR('RR.HH.'!$H13="No",D$18),1,0)</f>
        <v>0</v>
      </c>
      <c r="E92" s="195">
        <f>$B92    *IF(OR('RR.HH.'!$H13="No",E$18),1,0)</f>
        <v>0</v>
      </c>
      <c r="F92" s="195">
        <f>$B92    *IF(OR('RR.HH.'!$H13="No",F$18),1,0)</f>
        <v>0</v>
      </c>
      <c r="G92" s="195">
        <f>$B92    *IF(OR('RR.HH.'!$H13="No",G$18),1,0)</f>
        <v>0</v>
      </c>
      <c r="H92" s="195">
        <f>$B92    *IF(OR('RR.HH.'!$H13="No",H$18),1,0)</f>
        <v>0</v>
      </c>
      <c r="I92" s="195">
        <f>$B92    *IF(OR('RR.HH.'!$H13="No",I$18),1,0)</f>
        <v>0</v>
      </c>
      <c r="J92" s="195">
        <f>$B92    *IF(OR('RR.HH.'!$H13="No",J$18),1,0)</f>
        <v>0</v>
      </c>
      <c r="K92" s="195">
        <f>$B92    *IF(OR('RR.HH.'!$H13="No",K$18),1,0)</f>
        <v>0</v>
      </c>
      <c r="L92" s="195">
        <f>$B92    *IF(OR('RR.HH.'!$H13="No",L$18),1,0)</f>
        <v>0</v>
      </c>
      <c r="M92" s="195">
        <f>$B92    *IF(OR('RR.HH.'!$H13="No",M$18),1,0)</f>
        <v>0</v>
      </c>
      <c r="N92" s="196">
        <f>$B92    *IF(OR('RR.HH.'!$H13="No",N$18),1,0)</f>
        <v>0</v>
      </c>
      <c r="O92" s="197">
        <f t="shared" si="17"/>
        <v>0</v>
      </c>
    </row>
    <row r="93" spans="1:15" ht="15.75" thickBot="1">
      <c r="A93" s="2441" t="str">
        <f>A$17</f>
        <v>Total Plantilla</v>
      </c>
      <c r="B93" s="57">
        <f>SUM(B85:B92)</f>
        <v>1</v>
      </c>
      <c r="C93" s="198">
        <f t="shared" ref="C93:N93" si="18">SUM(C85:C92)</f>
        <v>1</v>
      </c>
      <c r="D93" s="199">
        <f t="shared" si="18"/>
        <v>1</v>
      </c>
      <c r="E93" s="199">
        <f t="shared" si="18"/>
        <v>1</v>
      </c>
      <c r="F93" s="199">
        <f t="shared" si="18"/>
        <v>1</v>
      </c>
      <c r="G93" s="199">
        <f t="shared" si="18"/>
        <v>1</v>
      </c>
      <c r="H93" s="199">
        <f t="shared" si="18"/>
        <v>1</v>
      </c>
      <c r="I93" s="199">
        <f t="shared" si="18"/>
        <v>1</v>
      </c>
      <c r="J93" s="199">
        <f t="shared" si="18"/>
        <v>1</v>
      </c>
      <c r="K93" s="199">
        <f t="shared" si="18"/>
        <v>1</v>
      </c>
      <c r="L93" s="199">
        <f t="shared" si="18"/>
        <v>1</v>
      </c>
      <c r="M93" s="199">
        <f t="shared" si="18"/>
        <v>1</v>
      </c>
      <c r="N93" s="200">
        <f t="shared" si="18"/>
        <v>1</v>
      </c>
      <c r="O93" s="201">
        <f t="shared" si="17"/>
        <v>1</v>
      </c>
    </row>
    <row r="94" spans="1:15" ht="15.75" thickBot="1"/>
    <row r="95" spans="1:15" s="221" customFormat="1" ht="15.75" thickBot="1">
      <c r="A95" s="226" t="str">
        <f t="array" ref="A95:A99">A$19:A$23</f>
        <v>Altas y Bajas de personal</v>
      </c>
      <c r="B95" s="227"/>
      <c r="C95" s="228" t="str">
        <f t="array" ref="C95:N95">meses</f>
        <v>enero</v>
      </c>
      <c r="D95" s="229" t="str">
        <v>febrero</v>
      </c>
      <c r="E95" s="229" t="str">
        <v>marzo</v>
      </c>
      <c r="F95" s="229" t="str">
        <v>abril</v>
      </c>
      <c r="G95" s="229" t="str">
        <v>mayo</v>
      </c>
      <c r="H95" s="229" t="str">
        <v>junio</v>
      </c>
      <c r="I95" s="229" t="str">
        <v>julio</v>
      </c>
      <c r="J95" s="229" t="str">
        <v>agosto</v>
      </c>
      <c r="K95" s="229" t="str">
        <v>septiembre</v>
      </c>
      <c r="L95" s="229" t="str">
        <v>octubre</v>
      </c>
      <c r="M95" s="229" t="str">
        <v>noviembre</v>
      </c>
      <c r="N95" s="230" t="str">
        <v>diciembre</v>
      </c>
      <c r="O95" s="231" t="s">
        <v>11</v>
      </c>
    </row>
    <row r="96" spans="1:15">
      <c r="A96" s="224" t="str">
        <v>nº socios R.E.T.A. (altas y bajas)</v>
      </c>
      <c r="B96" s="202"/>
      <c r="C96" s="203">
        <f>ABS(C85+C86-N66-N67)</f>
        <v>0</v>
      </c>
      <c r="D96" s="204">
        <f t="shared" ref="D96:N96" si="19">ABS(D85+D86-C85-C86)</f>
        <v>0</v>
      </c>
      <c r="E96" s="204">
        <f t="shared" si="19"/>
        <v>0</v>
      </c>
      <c r="F96" s="204">
        <f t="shared" si="19"/>
        <v>0</v>
      </c>
      <c r="G96" s="204">
        <f t="shared" si="19"/>
        <v>0</v>
      </c>
      <c r="H96" s="204">
        <f t="shared" si="19"/>
        <v>0</v>
      </c>
      <c r="I96" s="204">
        <f t="shared" si="19"/>
        <v>0</v>
      </c>
      <c r="J96" s="204">
        <f t="shared" si="19"/>
        <v>0</v>
      </c>
      <c r="K96" s="204">
        <f t="shared" si="19"/>
        <v>0</v>
      </c>
      <c r="L96" s="204">
        <f t="shared" si="19"/>
        <v>0</v>
      </c>
      <c r="M96" s="204">
        <f t="shared" si="19"/>
        <v>0</v>
      </c>
      <c r="N96" s="205">
        <f t="shared" si="19"/>
        <v>0</v>
      </c>
      <c r="O96" s="206">
        <f>SUM(C96:N96)</f>
        <v>0</v>
      </c>
    </row>
    <row r="97" spans="1:15" ht="15.75" thickBot="1">
      <c r="A97" s="225" t="str">
        <v>altas/bajas de trabajadores</v>
      </c>
      <c r="B97" s="208"/>
      <c r="C97" s="209">
        <f>ABS(SUM(C87:C92)-SUM(N68:N73))</f>
        <v>0</v>
      </c>
      <c r="D97" s="210">
        <f t="shared" ref="D97:N97" si="20">ABS(SUM(D87:D92)-SUM(C87:C92))</f>
        <v>0</v>
      </c>
      <c r="E97" s="210">
        <f t="shared" si="20"/>
        <v>0</v>
      </c>
      <c r="F97" s="210">
        <f t="shared" si="20"/>
        <v>0</v>
      </c>
      <c r="G97" s="210">
        <f t="shared" si="20"/>
        <v>0</v>
      </c>
      <c r="H97" s="210">
        <f t="shared" si="20"/>
        <v>0</v>
      </c>
      <c r="I97" s="210">
        <f t="shared" si="20"/>
        <v>0</v>
      </c>
      <c r="J97" s="210">
        <f t="shared" si="20"/>
        <v>0</v>
      </c>
      <c r="K97" s="210">
        <f t="shared" si="20"/>
        <v>0</v>
      </c>
      <c r="L97" s="210">
        <f t="shared" si="20"/>
        <v>0</v>
      </c>
      <c r="M97" s="210">
        <f t="shared" si="20"/>
        <v>0</v>
      </c>
      <c r="N97" s="211">
        <f t="shared" si="20"/>
        <v>0</v>
      </c>
      <c r="O97" s="212">
        <f>SUM(C97:N97)</f>
        <v>0</v>
      </c>
    </row>
    <row r="98" spans="1:15" ht="7.5" customHeight="1" thickBot="1">
      <c r="A98" s="2283">
        <v>0</v>
      </c>
    </row>
    <row r="99" spans="1:15" ht="15.75" thickBot="1">
      <c r="A99" s="537" t="str">
        <v>nº socios a efectos de IRPF</v>
      </c>
      <c r="B99" s="382"/>
      <c r="C99" s="538">
        <f t="array" ref="C99:N99">C85:N85+C86:N86</f>
        <v>1</v>
      </c>
      <c r="D99" s="539">
        <v>1</v>
      </c>
      <c r="E99" s="539">
        <v>1</v>
      </c>
      <c r="F99" s="539">
        <v>1</v>
      </c>
      <c r="G99" s="539">
        <v>1</v>
      </c>
      <c r="H99" s="539">
        <v>1</v>
      </c>
      <c r="I99" s="539">
        <v>1</v>
      </c>
      <c r="J99" s="539">
        <v>1</v>
      </c>
      <c r="K99" s="539">
        <v>1</v>
      </c>
      <c r="L99" s="539">
        <v>1</v>
      </c>
      <c r="M99" s="539">
        <v>1</v>
      </c>
      <c r="N99" s="540">
        <v>1</v>
      </c>
      <c r="O99" s="536">
        <f>MAX(B99:N99)</f>
        <v>1</v>
      </c>
    </row>
  </sheetData>
  <sheetProtection sheet="1" objects="1" scenarios="1"/>
  <phoneticPr fontId="6" type="noConversion"/>
  <conditionalFormatting sqref="C9:N16 C28:N35 C47:N54 C66:N73 C85:N92">
    <cfRule type="expression" dxfId="32" priority="3" stopIfTrue="1">
      <formula>C9=""</formula>
    </cfRule>
  </conditionalFormatting>
  <conditionalFormatting sqref="C20:N20 C39:N39 C58:N58 C77:N77 C96:N96">
    <cfRule type="expression" dxfId="31" priority="1" stopIfTrue="1">
      <formula>$C9=""</formula>
    </cfRule>
  </conditionalFormatting>
  <conditionalFormatting sqref="C21:N21 C40:N40 C59:N59 C78:N78 C97:N97">
    <cfRule type="expression" dxfId="30" priority="2" stopIfTrue="1">
      <formula>$C14=""</formula>
    </cfRule>
  </conditionalFormatting>
  <dataValidations xWindow="339" yWindow="311" count="4">
    <dataValidation type="whole" allowBlank="1" showInputMessage="1" showErrorMessage="1" sqref="C78:N78 C59:N59 C21:N21 C40:N40 C97:N97 B9:B16" xr:uid="{00000000-0002-0000-0E00-000000000000}">
      <formula1>0</formula1>
      <formula2>100</formula2>
    </dataValidation>
    <dataValidation type="whole" allowBlank="1" showInputMessage="1" showErrorMessage="1" sqref="C77:N77 C20:N20 C58:N58 C39:N39 C96:N96" xr:uid="{00000000-0002-0000-0E00-000001000000}">
      <formula1>-100</formula1>
      <formula2>100</formula2>
    </dataValidation>
    <dataValidation type="decimal" allowBlank="1" showInputMessage="1" showErrorMessage="1" sqref="O96:O97 O77:O78 O47:O54 O28:O35 O58:O59 O66:O73 O39:O40 O9:O16 O20:O21 O85:O92" xr:uid="{00000000-0002-0000-0E00-000002000000}">
      <formula1>0</formula1>
      <formula2>1</formula2>
    </dataValidation>
    <dataValidation type="whole" operator="greaterThanOrEqual" allowBlank="1" showInputMessage="1" showErrorMessage="1" sqref="C9:N16 B66:N73 B28:N35 B47:N54 B85:N92" xr:uid="{00000000-0002-0000-0E00-000003000000}">
      <formula1>0</formula1>
    </dataValidation>
  </dataValidations>
  <hyperlinks>
    <hyperlink ref="B4" location="mes0" display="mes0" xr:uid="{00000000-0004-0000-0E00-000000000000}"/>
  </hyperlinks>
  <printOptions verticalCentered="1"/>
  <pageMargins left="0.82677165354330717" right="0.75" top="0.33" bottom="0.39370078740157483" header="0" footer="0"/>
  <pageSetup paperSize="9" scale="70" fitToHeight="0" orientation="landscape" horizontalDpi="300" r:id="rId1"/>
  <headerFooter alignWithMargins="0">
    <oddFooter>&amp;C&amp;A</oddFooter>
  </headerFooter>
  <rowBreaks count="1" manualBreakCount="1">
    <brk id="43" max="14"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M54"/>
  <sheetViews>
    <sheetView workbookViewId="0"/>
  </sheetViews>
  <sheetFormatPr baseColWidth="10" defaultColWidth="11" defaultRowHeight="15"/>
  <cols>
    <col min="1" max="1" width="33.5" style="35" customWidth="1"/>
    <col min="2" max="2" width="13.25" style="35" customWidth="1"/>
    <col min="3" max="3" width="11.625" style="35" customWidth="1"/>
    <col min="4" max="4" width="12.375" style="35" customWidth="1"/>
    <col min="5" max="7" width="11" style="35"/>
    <col min="8" max="8" width="11" style="35" hidden="1" customWidth="1"/>
    <col min="9" max="16384" width="11" style="35"/>
  </cols>
  <sheetData>
    <row r="1" spans="1:8" s="37" customFormat="1" ht="25.5">
      <c r="A1" s="36" t="s">
        <v>582</v>
      </c>
    </row>
    <row r="2" spans="1:8" s="37" customFormat="1" ht="25.5">
      <c r="A2" s="36" t="str">
        <f>'Datos Básicos'!B9</f>
        <v>nombre empresa</v>
      </c>
    </row>
    <row r="3" spans="1:8">
      <c r="A3" s="38"/>
    </row>
    <row r="4" spans="1:8" ht="15.75" thickBot="1">
      <c r="A4" s="39"/>
    </row>
    <row r="5" spans="1:8" s="48" customFormat="1" ht="30.75" customHeight="1" thickBot="1">
      <c r="A5" s="2060" t="s">
        <v>787</v>
      </c>
      <c r="B5" s="2061" t="str">
        <f t="array" ref="B5:F5">anni</f>
        <v>Año 0:  2026</v>
      </c>
      <c r="C5" s="2061" t="str">
        <v>Año 1:  2027</v>
      </c>
      <c r="D5" s="2061" t="str">
        <v>Año 2:  2028</v>
      </c>
      <c r="E5" s="2061" t="str">
        <v>Año 3:  2029</v>
      </c>
      <c r="F5" s="2061" t="str">
        <v>Año 4:  2030</v>
      </c>
      <c r="H5" s="3082" t="s">
        <v>1204</v>
      </c>
    </row>
    <row r="6" spans="1:8" s="48" customFormat="1" ht="18.75" customHeight="1">
      <c r="A6" s="51" t="s">
        <v>903</v>
      </c>
      <c r="B6" s="49">
        <v>1</v>
      </c>
      <c r="C6" s="49">
        <f t="shared" ref="C6:F10" si="0">B6</f>
        <v>1</v>
      </c>
      <c r="D6" s="49">
        <f t="shared" si="0"/>
        <v>1</v>
      </c>
      <c r="E6" s="49">
        <f t="shared" si="0"/>
        <v>1</v>
      </c>
      <c r="F6" s="49">
        <f t="shared" si="0"/>
        <v>1</v>
      </c>
      <c r="H6" s="2041" t="s">
        <v>265</v>
      </c>
    </row>
    <row r="7" spans="1:8" s="48" customFormat="1" ht="18.75" customHeight="1">
      <c r="A7" s="52" t="s">
        <v>543</v>
      </c>
      <c r="B7" s="50">
        <v>0</v>
      </c>
      <c r="C7" s="50">
        <f t="shared" si="0"/>
        <v>0</v>
      </c>
      <c r="D7" s="50">
        <f t="shared" si="0"/>
        <v>0</v>
      </c>
      <c r="E7" s="50">
        <f t="shared" si="0"/>
        <v>0</v>
      </c>
      <c r="F7" s="50">
        <f t="shared" si="0"/>
        <v>0</v>
      </c>
      <c r="H7" s="2041" t="s">
        <v>921</v>
      </c>
    </row>
    <row r="8" spans="1:8" s="48" customFormat="1" ht="18.75" customHeight="1">
      <c r="A8" s="52" t="s">
        <v>1292</v>
      </c>
      <c r="B8" s="50">
        <v>0</v>
      </c>
      <c r="C8" s="50">
        <v>0</v>
      </c>
      <c r="D8" s="50">
        <f t="shared" si="0"/>
        <v>0</v>
      </c>
      <c r="E8" s="50">
        <f t="shared" si="0"/>
        <v>0</v>
      </c>
      <c r="F8" s="50">
        <f t="shared" si="0"/>
        <v>0</v>
      </c>
      <c r="H8" s="2041" t="s">
        <v>921</v>
      </c>
    </row>
    <row r="9" spans="1:8" s="48" customFormat="1" ht="18.75" customHeight="1">
      <c r="A9" s="52" t="s">
        <v>1293</v>
      </c>
      <c r="B9" s="50">
        <v>0</v>
      </c>
      <c r="C9" s="50">
        <v>0</v>
      </c>
      <c r="D9" s="50">
        <f t="shared" si="0"/>
        <v>0</v>
      </c>
      <c r="E9" s="50">
        <f t="shared" si="0"/>
        <v>0</v>
      </c>
      <c r="F9" s="50">
        <f t="shared" si="0"/>
        <v>0</v>
      </c>
      <c r="H9" s="2041" t="s">
        <v>265</v>
      </c>
    </row>
    <row r="10" spans="1:8" s="48" customFormat="1" ht="18.75" customHeight="1">
      <c r="A10" s="52"/>
      <c r="B10" s="50">
        <v>0</v>
      </c>
      <c r="C10" s="50">
        <f t="shared" si="0"/>
        <v>0</v>
      </c>
      <c r="D10" s="50">
        <f t="shared" si="0"/>
        <v>0</v>
      </c>
      <c r="E10" s="50">
        <f t="shared" si="0"/>
        <v>0</v>
      </c>
      <c r="F10" s="50">
        <f t="shared" si="0"/>
        <v>0</v>
      </c>
      <c r="H10" s="2041" t="s">
        <v>265</v>
      </c>
    </row>
    <row r="11" spans="1:8" s="48" customFormat="1" ht="18.75" customHeight="1">
      <c r="A11" s="52"/>
      <c r="B11" s="50">
        <v>0</v>
      </c>
      <c r="C11" s="50">
        <f t="shared" ref="C11:F13" si="1">B11</f>
        <v>0</v>
      </c>
      <c r="D11" s="50">
        <f t="shared" si="1"/>
        <v>0</v>
      </c>
      <c r="E11" s="50">
        <f t="shared" si="1"/>
        <v>0</v>
      </c>
      <c r="F11" s="50">
        <f t="shared" si="1"/>
        <v>0</v>
      </c>
      <c r="H11" s="2041" t="s">
        <v>265</v>
      </c>
    </row>
    <row r="12" spans="1:8" s="48" customFormat="1" ht="18.75" customHeight="1">
      <c r="A12" s="52"/>
      <c r="B12" s="50">
        <v>0</v>
      </c>
      <c r="C12" s="50">
        <f t="shared" si="1"/>
        <v>0</v>
      </c>
      <c r="D12" s="50">
        <f t="shared" si="1"/>
        <v>0</v>
      </c>
      <c r="E12" s="50">
        <f t="shared" si="1"/>
        <v>0</v>
      </c>
      <c r="F12" s="50">
        <f t="shared" si="1"/>
        <v>0</v>
      </c>
      <c r="H12" s="2041" t="s">
        <v>265</v>
      </c>
    </row>
    <row r="13" spans="1:8" s="48" customFormat="1" ht="18.75" customHeight="1" thickBot="1">
      <c r="A13" s="52"/>
      <c r="B13" s="50">
        <v>0</v>
      </c>
      <c r="C13" s="50">
        <f t="shared" si="1"/>
        <v>0</v>
      </c>
      <c r="D13" s="50">
        <f t="shared" si="1"/>
        <v>0</v>
      </c>
      <c r="E13" s="50">
        <f t="shared" si="1"/>
        <v>0</v>
      </c>
      <c r="F13" s="50">
        <f t="shared" si="1"/>
        <v>0</v>
      </c>
      <c r="H13" s="2042" t="s">
        <v>265</v>
      </c>
    </row>
    <row r="14" spans="1:8" ht="19.5" customHeight="1" thickBot="1">
      <c r="A14" s="1543" t="s">
        <v>377</v>
      </c>
      <c r="B14" s="1541">
        <f>SUM(B6:B13)</f>
        <v>1</v>
      </c>
      <c r="C14" s="1542">
        <f>SUM(C6:C13)</f>
        <v>1</v>
      </c>
      <c r="D14" s="1541">
        <f>SUM(D6:D13)</f>
        <v>1</v>
      </c>
      <c r="E14" s="1542">
        <f>SUM(E6:E13)</f>
        <v>1</v>
      </c>
      <c r="F14" s="1541">
        <f>SUM(F6:F13)</f>
        <v>1</v>
      </c>
    </row>
    <row r="16" spans="1:8" ht="15.75" thickBot="1"/>
    <row r="17" spans="1:13" ht="24" customHeight="1" thickBot="1">
      <c r="A17" s="755" t="s">
        <v>559</v>
      </c>
      <c r="B17" s="1514"/>
      <c r="C17" s="1514"/>
      <c r="D17" s="1514"/>
      <c r="E17" s="1514"/>
      <c r="F17" s="1515"/>
    </row>
    <row r="18" spans="1:13" ht="30.75" thickBot="1">
      <c r="A18" s="2725" t="str">
        <f>"Sueldos brutos "&amp;Parametros!H11&amp;"/mes/persona"</f>
        <v>Sueldos brutos €/mes/persona</v>
      </c>
      <c r="B18" s="2061" t="str">
        <f t="array" ref="B18:F18">anni</f>
        <v>Año 0:  2026</v>
      </c>
      <c r="C18" s="2061" t="str">
        <v>Año 1:  2027</v>
      </c>
      <c r="D18" s="2061" t="str">
        <v>Año 2:  2028</v>
      </c>
      <c r="E18" s="2061" t="str">
        <v>Año 3:  2029</v>
      </c>
      <c r="F18" s="2061" t="str">
        <v>Año 4:  2030</v>
      </c>
      <c r="I18" s="3083" t="str">
        <f ca="1">IF('PPyGG anuales'!B33&gt;0,"","Pérdidas año 0")</f>
        <v>Pérdidas año 0</v>
      </c>
      <c r="J18" s="3083" t="str">
        <f ca="1">IF('PPyGG anuales'!D33&gt;0,"","Pérdidas año 1")</f>
        <v/>
      </c>
      <c r="K18" s="3083" t="str">
        <f ca="1">IF('PPyGG anuales'!G33&gt;0,"","Pérdidas año 2")</f>
        <v/>
      </c>
      <c r="L18" s="3083" t="str">
        <f ca="1">IF('PPyGG anuales'!J33&gt;0,"","Pérdidas año 3")</f>
        <v/>
      </c>
      <c r="M18" s="3083" t="str">
        <f ca="1">IF('PPyGG anuales'!M33&gt;0,"","Pérdidas año 4")</f>
        <v/>
      </c>
    </row>
    <row r="19" spans="1:13" ht="18" customHeight="1">
      <c r="A19" s="54" t="str">
        <f t="shared" ref="A19:A26" si="2">IF(A6="","",A6)</f>
        <v>Socios/as gestores/as</v>
      </c>
      <c r="B19" s="58">
        <v>1500</v>
      </c>
      <c r="C19" s="58">
        <f>B19*1.04</f>
        <v>1560</v>
      </c>
      <c r="D19" s="58">
        <f>C19*1.04</f>
        <v>1622.4</v>
      </c>
      <c r="E19" s="58">
        <f>D19*1.04</f>
        <v>1687.296</v>
      </c>
      <c r="F19" s="58">
        <f>E19*1.04</f>
        <v>1754.7878400000002</v>
      </c>
    </row>
    <row r="20" spans="1:13" ht="18" customHeight="1">
      <c r="A20" s="54" t="str">
        <f t="shared" si="2"/>
        <v>Otros personas en RETA</v>
      </c>
      <c r="B20" s="58">
        <v>0</v>
      </c>
      <c r="C20" s="58">
        <f t="shared" ref="C20:F23" si="3">B20*1.04</f>
        <v>0</v>
      </c>
      <c r="D20" s="58">
        <f t="shared" si="3"/>
        <v>0</v>
      </c>
      <c r="E20" s="58">
        <f t="shared" si="3"/>
        <v>0</v>
      </c>
      <c r="F20" s="58">
        <f t="shared" si="3"/>
        <v>0</v>
      </c>
      <c r="I20" s="3083" t="str">
        <f ca="1">IF('Resumen Tesorerias'!C34&gt;=0,"","Déficit Año 0")</f>
        <v/>
      </c>
      <c r="J20" s="3083" t="str">
        <f ca="1">IF('Resumen Tesorerias'!D34&gt;=0,"","Déficit Año 1")</f>
        <v/>
      </c>
      <c r="K20" s="3083" t="str">
        <f ca="1">IF('Resumen Tesorerias'!E34&gt;=0,"","Déficit Año 2")</f>
        <v/>
      </c>
      <c r="L20" s="3083" t="str">
        <f ca="1">IF('Resumen Tesorerias'!F34&gt;=0,"","Déficit Año 3")</f>
        <v/>
      </c>
      <c r="M20" s="3083" t="str">
        <f ca="1">IF('Resumen Tesorerias'!G34&gt;=0,"","Déficit Año 4")</f>
        <v/>
      </c>
    </row>
    <row r="21" spans="1:13" ht="18" customHeight="1">
      <c r="A21" s="55" t="str">
        <f t="shared" si="2"/>
        <v>empleado</v>
      </c>
      <c r="B21" s="58">
        <v>0</v>
      </c>
      <c r="C21" s="58">
        <f t="shared" si="3"/>
        <v>0</v>
      </c>
      <c r="D21" s="58">
        <f t="shared" si="3"/>
        <v>0</v>
      </c>
      <c r="E21" s="58">
        <f t="shared" si="3"/>
        <v>0</v>
      </c>
      <c r="F21" s="58">
        <f t="shared" si="3"/>
        <v>0</v>
      </c>
    </row>
    <row r="22" spans="1:13" ht="18" customHeight="1">
      <c r="A22" s="55" t="str">
        <f t="shared" si="2"/>
        <v>encargado</v>
      </c>
      <c r="B22" s="58">
        <v>0</v>
      </c>
      <c r="C22" s="58">
        <f t="shared" si="3"/>
        <v>0</v>
      </c>
      <c r="D22" s="58">
        <f t="shared" si="3"/>
        <v>0</v>
      </c>
      <c r="E22" s="58">
        <f t="shared" si="3"/>
        <v>0</v>
      </c>
      <c r="F22" s="58">
        <f t="shared" si="3"/>
        <v>0</v>
      </c>
    </row>
    <row r="23" spans="1:13" ht="18" customHeight="1">
      <c r="A23" s="55" t="str">
        <f t="shared" si="2"/>
        <v/>
      </c>
      <c r="B23" s="58">
        <v>0</v>
      </c>
      <c r="C23" s="58">
        <f t="shared" si="3"/>
        <v>0</v>
      </c>
      <c r="D23" s="58">
        <f t="shared" si="3"/>
        <v>0</v>
      </c>
      <c r="E23" s="58">
        <f t="shared" si="3"/>
        <v>0</v>
      </c>
      <c r="F23" s="58">
        <f t="shared" si="3"/>
        <v>0</v>
      </c>
    </row>
    <row r="24" spans="1:13" ht="18" customHeight="1">
      <c r="A24" s="55" t="str">
        <f t="shared" si="2"/>
        <v/>
      </c>
      <c r="B24" s="58">
        <v>0</v>
      </c>
      <c r="C24" s="58">
        <f t="shared" ref="C24:F26" si="4">B24*1.04</f>
        <v>0</v>
      </c>
      <c r="D24" s="58">
        <f t="shared" si="4"/>
        <v>0</v>
      </c>
      <c r="E24" s="58">
        <f t="shared" si="4"/>
        <v>0</v>
      </c>
      <c r="F24" s="58">
        <f t="shared" si="4"/>
        <v>0</v>
      </c>
    </row>
    <row r="25" spans="1:13" ht="18" customHeight="1">
      <c r="A25" s="55" t="str">
        <f t="shared" si="2"/>
        <v/>
      </c>
      <c r="B25" s="58">
        <v>0</v>
      </c>
      <c r="C25" s="58">
        <f t="shared" si="4"/>
        <v>0</v>
      </c>
      <c r="D25" s="58">
        <f t="shared" si="4"/>
        <v>0</v>
      </c>
      <c r="E25" s="58">
        <f t="shared" si="4"/>
        <v>0</v>
      </c>
      <c r="F25" s="58">
        <f t="shared" si="4"/>
        <v>0</v>
      </c>
    </row>
    <row r="26" spans="1:13" ht="18" customHeight="1" thickBot="1">
      <c r="A26" s="56" t="str">
        <f t="shared" si="2"/>
        <v/>
      </c>
      <c r="B26" s="69">
        <v>0</v>
      </c>
      <c r="C26" s="69">
        <f t="shared" si="4"/>
        <v>0</v>
      </c>
      <c r="D26" s="69">
        <f t="shared" si="4"/>
        <v>0</v>
      </c>
      <c r="E26" s="69">
        <f t="shared" si="4"/>
        <v>0</v>
      </c>
      <c r="F26" s="69">
        <f t="shared" si="4"/>
        <v>0</v>
      </c>
    </row>
    <row r="27" spans="1:13" ht="25.5" customHeight="1" thickBot="1"/>
    <row r="28" spans="1:13" ht="34.5" customHeight="1" thickBot="1">
      <c r="A28" s="1784" t="s">
        <v>679</v>
      </c>
      <c r="B28" s="2061" t="str">
        <f>B18</f>
        <v>Año 0:  2026</v>
      </c>
      <c r="C28" s="2061" t="str">
        <f>C18</f>
        <v>Año 1:  2027</v>
      </c>
      <c r="D28" s="2061" t="str">
        <f>D18</f>
        <v>Año 2:  2028</v>
      </c>
      <c r="E28" s="2061" t="str">
        <f>E18</f>
        <v>Año 3:  2029</v>
      </c>
      <c r="F28" s="2061" t="str">
        <f>F18</f>
        <v>Año 4:  2030</v>
      </c>
    </row>
    <row r="29" spans="1:13" ht="19.5" customHeight="1">
      <c r="A29" s="1778" t="s">
        <v>785</v>
      </c>
      <c r="B29" s="1783">
        <f t="array" ref="B29">SUM(B19:B20*B6:B7)</f>
        <v>1500</v>
      </c>
      <c r="C29" s="1783">
        <f t="array" ref="C29">SUM(C19:C20*C6:C7)</f>
        <v>1560</v>
      </c>
      <c r="D29" s="1783">
        <f t="array" ref="D29">SUM(D19:D20*D6:D7)</f>
        <v>1622.4</v>
      </c>
      <c r="E29" s="1783">
        <f t="array" ref="E29">SUM(E19:E20*E6:E7)</f>
        <v>1687.296</v>
      </c>
      <c r="F29" s="1783">
        <f t="array" ref="F29">SUM(F19:F20*F6:F7)</f>
        <v>1754.7878400000002</v>
      </c>
    </row>
    <row r="30" spans="1:13" ht="19.5" customHeight="1" thickBot="1">
      <c r="A30" s="1779" t="s">
        <v>786</v>
      </c>
      <c r="B30" s="1780">
        <f t="array" ref="B30">SUM(B8:B13*B21:B26)</f>
        <v>0</v>
      </c>
      <c r="C30" s="1780">
        <f t="array" ref="C30">SUM(C8:C13*C21:C26)</f>
        <v>0</v>
      </c>
      <c r="D30" s="1780">
        <f t="array" ref="D30">SUM(D8:D13*D21:D26)</f>
        <v>0</v>
      </c>
      <c r="E30" s="1780">
        <f t="array" ref="E30">SUM(E8:E13*E21:E26)</f>
        <v>0</v>
      </c>
      <c r="F30" s="1780">
        <f t="array" ref="F30">SUM(F8:F13*F21:F26)</f>
        <v>0</v>
      </c>
    </row>
    <row r="31" spans="1:13" ht="24" customHeight="1" thickBot="1">
      <c r="A31" s="787" t="s">
        <v>394</v>
      </c>
      <c r="B31" s="1781">
        <f>SUM(B29:B30)</f>
        <v>1500</v>
      </c>
      <c r="C31" s="1782">
        <f>SUM(C29:C30)</f>
        <v>1560</v>
      </c>
      <c r="D31" s="1781">
        <f>SUM(D29:D30)</f>
        <v>1622.4</v>
      </c>
      <c r="E31" s="1782">
        <f>SUM(E29:E30)</f>
        <v>1687.296</v>
      </c>
      <c r="F31" s="1781">
        <f>SUM(F29:F30)</f>
        <v>1754.7878400000002</v>
      </c>
    </row>
    <row r="32" spans="1:13" ht="15.75" thickBot="1"/>
    <row r="33" spans="1:9" ht="20.25" customHeight="1" thickBot="1">
      <c r="A33" s="887"/>
      <c r="B33" s="887"/>
      <c r="C33" s="1566" t="str">
        <f>"meses al inicio del "&amp;'Datos Básicos'!B18&amp;" ("&amp;Parametros!D65&amp;") sin sueldo para los socios"</f>
        <v>meses al inicio del Año 0 (2026) sin sueldo para los socios</v>
      </c>
      <c r="D33" s="3108">
        <v>0</v>
      </c>
    </row>
    <row r="34" spans="1:9" ht="20.25" customHeight="1" thickBot="1">
      <c r="A34" s="887"/>
      <c r="B34" s="887"/>
      <c r="C34" s="1566" t="str">
        <f>"meses posteriores con sueldos crecientes para los socios"</f>
        <v>meses posteriores con sueldos crecientes para los socios</v>
      </c>
      <c r="D34" s="3108">
        <v>0</v>
      </c>
      <c r="E34" s="2025" t="str">
        <f>IF(D34+D33+mes0&gt;24,"ERROR: Transitorio mayor que 24 meses","")</f>
        <v/>
      </c>
    </row>
    <row r="35" spans="1:9" ht="15.75" thickBot="1"/>
    <row r="36" spans="1:9" s="48" customFormat="1" ht="32.25" customHeight="1" thickBot="1">
      <c r="A36" s="2060" t="s">
        <v>218</v>
      </c>
      <c r="B36" s="2061" t="str">
        <f t="array" ref="B36:F36">anni</f>
        <v>Año 0:  2026</v>
      </c>
      <c r="C36" s="2061" t="str">
        <v>Año 1:  2027</v>
      </c>
      <c r="D36" s="2061" t="str">
        <v>Año 2:  2028</v>
      </c>
      <c r="E36" s="2061" t="str">
        <v>Año 3:  2029</v>
      </c>
      <c r="F36" s="2061" t="str">
        <v>Año 4:  2030</v>
      </c>
    </row>
    <row r="37" spans="1:9" s="48" customFormat="1" ht="19.5" customHeight="1">
      <c r="A37" s="54" t="str">
        <f t="array" ref="A37:A44">catlaborales</f>
        <v>Socios/as gestores/as</v>
      </c>
      <c r="B37" s="3240">
        <f>IF($I37="Bonificada",'Datos Básicos'!H51,'IRPF Prof y Autónomos'!C37)</f>
        <v>86</v>
      </c>
      <c r="C37" s="3240">
        <f>IF($I37="Bonificada",'Datos Básicos'!I51,'IRPF Prof y Autónomos'!D37)</f>
        <v>86</v>
      </c>
      <c r="D37" s="3240">
        <f ca="1">'IRPF Prof y Autónomos'!E37</f>
        <v>390</v>
      </c>
      <c r="E37" s="3240">
        <f ca="1">'IRPF Prof y Autónomos'!F37</f>
        <v>390</v>
      </c>
      <c r="F37" s="3240">
        <f ca="1">'IRPF Prof y Autónomos'!G37</f>
        <v>390</v>
      </c>
      <c r="G37" s="2510" t="str">
        <f t="array" ref="G37:G38">Parametros!$G$11</f>
        <v>Euros</v>
      </c>
      <c r="I37" s="3241" t="s">
        <v>1259</v>
      </c>
    </row>
    <row r="38" spans="1:9" s="48" customFormat="1" ht="19.5" customHeight="1">
      <c r="A38" s="54" t="str">
        <v>Otros personas en RETA</v>
      </c>
      <c r="B38" s="3240">
        <f>B37</f>
        <v>86</v>
      </c>
      <c r="C38" s="3240">
        <f>C37</f>
        <v>86</v>
      </c>
      <c r="D38" s="3240">
        <f ca="1">D37</f>
        <v>390</v>
      </c>
      <c r="E38" s="3240">
        <f ca="1">E37</f>
        <v>390</v>
      </c>
      <c r="F38" s="3240">
        <f ca="1">F37</f>
        <v>390</v>
      </c>
      <c r="G38" s="2510" t="str">
        <v>Euros</v>
      </c>
    </row>
    <row r="39" spans="1:9" s="48" customFormat="1" ht="18.75" customHeight="1">
      <c r="A39" s="55" t="str">
        <v>empleado</v>
      </c>
      <c r="B39" s="404">
        <v>0.39</v>
      </c>
      <c r="C39" s="404">
        <f t="shared" ref="C39:F44" si="5">B39</f>
        <v>0.39</v>
      </c>
      <c r="D39" s="404">
        <f t="shared" si="5"/>
        <v>0.39</v>
      </c>
      <c r="E39" s="404">
        <f t="shared" si="5"/>
        <v>0.39</v>
      </c>
      <c r="F39" s="404">
        <f t="shared" si="5"/>
        <v>0.39</v>
      </c>
    </row>
    <row r="40" spans="1:9" s="48" customFormat="1" ht="19.5" customHeight="1">
      <c r="A40" s="55" t="str">
        <v>encargado</v>
      </c>
      <c r="B40" s="404">
        <v>0.4</v>
      </c>
      <c r="C40" s="404">
        <f t="shared" si="5"/>
        <v>0.4</v>
      </c>
      <c r="D40" s="404">
        <f t="shared" si="5"/>
        <v>0.4</v>
      </c>
      <c r="E40" s="404">
        <f t="shared" si="5"/>
        <v>0.4</v>
      </c>
      <c r="F40" s="404">
        <f t="shared" si="5"/>
        <v>0.4</v>
      </c>
    </row>
    <row r="41" spans="1:9" s="48" customFormat="1" ht="19.5" customHeight="1">
      <c r="A41" s="55" t="str">
        <v/>
      </c>
      <c r="B41" s="404">
        <v>0.4</v>
      </c>
      <c r="C41" s="404">
        <f t="shared" si="5"/>
        <v>0.4</v>
      </c>
      <c r="D41" s="404">
        <f t="shared" si="5"/>
        <v>0.4</v>
      </c>
      <c r="E41" s="404">
        <f t="shared" si="5"/>
        <v>0.4</v>
      </c>
      <c r="F41" s="404">
        <f t="shared" si="5"/>
        <v>0.4</v>
      </c>
    </row>
    <row r="42" spans="1:9" ht="19.5" customHeight="1">
      <c r="A42" s="55" t="str">
        <v/>
      </c>
      <c r="B42" s="404">
        <v>0.4</v>
      </c>
      <c r="C42" s="404">
        <f t="shared" si="5"/>
        <v>0.4</v>
      </c>
      <c r="D42" s="404">
        <f t="shared" si="5"/>
        <v>0.4</v>
      </c>
      <c r="E42" s="404">
        <f t="shared" si="5"/>
        <v>0.4</v>
      </c>
      <c r="F42" s="404">
        <f t="shared" si="5"/>
        <v>0.4</v>
      </c>
    </row>
    <row r="43" spans="1:9" ht="19.5" customHeight="1">
      <c r="A43" s="55" t="str">
        <v/>
      </c>
      <c r="B43" s="404">
        <v>0.4</v>
      </c>
      <c r="C43" s="404">
        <f t="shared" si="5"/>
        <v>0.4</v>
      </c>
      <c r="D43" s="404">
        <f t="shared" si="5"/>
        <v>0.4</v>
      </c>
      <c r="E43" s="404">
        <f t="shared" si="5"/>
        <v>0.4</v>
      </c>
      <c r="F43" s="404">
        <f t="shared" si="5"/>
        <v>0.4</v>
      </c>
    </row>
    <row r="44" spans="1:9" ht="19.5" customHeight="1" thickBot="1">
      <c r="A44" s="56" t="str">
        <v/>
      </c>
      <c r="B44" s="405">
        <v>0.4</v>
      </c>
      <c r="C44" s="405">
        <f t="shared" si="5"/>
        <v>0.4</v>
      </c>
      <c r="D44" s="405">
        <f t="shared" si="5"/>
        <v>0.4</v>
      </c>
      <c r="E44" s="405">
        <f t="shared" si="5"/>
        <v>0.4</v>
      </c>
      <c r="F44" s="405">
        <f t="shared" si="5"/>
        <v>0.4</v>
      </c>
    </row>
    <row r="45" spans="1:9" ht="24" customHeight="1" thickBot="1"/>
    <row r="46" spans="1:9" ht="30.75" customHeight="1" thickBot="1">
      <c r="A46" s="2062" t="s">
        <v>680</v>
      </c>
      <c r="B46" s="2061" t="str">
        <f t="array" ref="B46:F46">anni</f>
        <v>Año 0:  2026</v>
      </c>
      <c r="C46" s="2061" t="str">
        <v>Año 1:  2027</v>
      </c>
      <c r="D46" s="2061" t="str">
        <v>Año 2:  2028</v>
      </c>
      <c r="E46" s="2061" t="str">
        <v>Año 3:  2029</v>
      </c>
      <c r="F46" s="2061" t="str">
        <v>Año 4:  2030</v>
      </c>
    </row>
    <row r="47" spans="1:9" ht="19.5" customHeight="1">
      <c r="A47" s="1778" t="str">
        <f>A29</f>
        <v>Personal por cuenta propia</v>
      </c>
      <c r="B47" s="1783">
        <f t="array" ref="B47">SUM(B37:B38*B6:B7)</f>
        <v>86</v>
      </c>
      <c r="C47" s="1783">
        <f t="array" ref="C47">SUM(C37:C38*C6:C7)</f>
        <v>86</v>
      </c>
      <c r="D47" s="1783">
        <f t="array" aca="1" ref="D47" ca="1">SUM(D37:D38*D6:D7)</f>
        <v>390</v>
      </c>
      <c r="E47" s="1783">
        <f t="array" aca="1" ref="E47" ca="1">SUM(E37:E38*E6:E7)</f>
        <v>390</v>
      </c>
      <c r="F47" s="1783">
        <f t="array" aca="1" ref="F47" ca="1">SUM(F37:F38*F6:F7)</f>
        <v>390</v>
      </c>
    </row>
    <row r="48" spans="1:9" ht="19.5" customHeight="1" thickBot="1">
      <c r="A48" s="1779" t="str">
        <f>A30</f>
        <v>Personal por cuenta ajena</v>
      </c>
      <c r="B48" s="1780">
        <f t="array" ref="B48">SUM(B8:B13*B21:B26*B39:B44)</f>
        <v>0</v>
      </c>
      <c r="C48" s="1780">
        <f t="array" ref="C48">SUM(C8:C13*C21:C26*C39:C44)</f>
        <v>0</v>
      </c>
      <c r="D48" s="1780">
        <f t="array" ref="D48">SUM(D8:D13*D21:D26*D39:D44)</f>
        <v>0</v>
      </c>
      <c r="E48" s="1780">
        <f t="array" ref="E48">SUM(E8:E13*E21:E26*E39:E44)</f>
        <v>0</v>
      </c>
      <c r="F48" s="1780">
        <f t="array" ref="F48">SUM(F8:F13*F21:F26*F39:F44)</f>
        <v>0</v>
      </c>
    </row>
    <row r="49" spans="1:6" ht="24" customHeight="1" thickBot="1">
      <c r="A49" s="787" t="s">
        <v>394</v>
      </c>
      <c r="B49" s="1781">
        <f>SUM(B47:B48)</f>
        <v>86</v>
      </c>
      <c r="C49" s="1782">
        <f>SUM(C47:C48)</f>
        <v>86</v>
      </c>
      <c r="D49" s="1781">
        <f ca="1">SUM(D47:D48)</f>
        <v>390</v>
      </c>
      <c r="E49" s="1782">
        <f ca="1">SUM(E47:E48)</f>
        <v>390</v>
      </c>
      <c r="F49" s="1781">
        <f ca="1">SUM(F47:F48)</f>
        <v>390</v>
      </c>
    </row>
    <row r="51" spans="1:6" ht="15.75" thickBot="1"/>
    <row r="52" spans="1:6" s="48" customFormat="1" ht="32.25" customHeight="1" thickBot="1">
      <c r="A52" s="2060" t="s">
        <v>386</v>
      </c>
      <c r="B52" s="2061" t="str">
        <f t="array" ref="B52:F52">anni</f>
        <v>Año 0:  2026</v>
      </c>
      <c r="C52" s="2061" t="str">
        <v>Año 1:  2027</v>
      </c>
      <c r="D52" s="2061" t="str">
        <v>Año 2:  2028</v>
      </c>
      <c r="E52" s="2061" t="str">
        <v>Año 3:  2029</v>
      </c>
      <c r="F52" s="2061" t="str">
        <v>Año 4:  2030</v>
      </c>
    </row>
    <row r="53" spans="1:6" ht="17.25" customHeight="1">
      <c r="A53" s="1389" t="s">
        <v>533</v>
      </c>
      <c r="B53" s="1390">
        <v>18</v>
      </c>
      <c r="C53" s="1390">
        <f t="shared" ref="C53:F54" si="6">B53*1.04</f>
        <v>18.72</v>
      </c>
      <c r="D53" s="1390">
        <f t="shared" si="6"/>
        <v>19.468799999999998</v>
      </c>
      <c r="E53" s="1390">
        <f t="shared" si="6"/>
        <v>20.247551999999999</v>
      </c>
      <c r="F53" s="1390">
        <f t="shared" si="6"/>
        <v>21.057454079999999</v>
      </c>
    </row>
    <row r="54" spans="1:6" ht="17.25" customHeight="1" thickBot="1">
      <c r="A54" s="71" t="s">
        <v>532</v>
      </c>
      <c r="B54" s="929">
        <v>18</v>
      </c>
      <c r="C54" s="929">
        <f t="shared" si="6"/>
        <v>18.72</v>
      </c>
      <c r="D54" s="929">
        <f t="shared" si="6"/>
        <v>19.468799999999998</v>
      </c>
      <c r="E54" s="929">
        <f t="shared" si="6"/>
        <v>20.247551999999999</v>
      </c>
      <c r="F54" s="929">
        <f t="shared" si="6"/>
        <v>21.057454079999999</v>
      </c>
    </row>
  </sheetData>
  <sheetProtection sheet="1" objects="1" scenarios="1"/>
  <phoneticPr fontId="6" type="noConversion"/>
  <dataValidations count="6">
    <dataValidation type="decimal" operator="greaterThanOrEqual" allowBlank="1" showInputMessage="1" showErrorMessage="1" sqref="B53:F54 B37:F38 B19:F26" xr:uid="{00000000-0002-0000-0F00-000000000000}">
      <formula1>0</formula1>
    </dataValidation>
    <dataValidation type="whole" allowBlank="1" showInputMessage="1" showErrorMessage="1" sqref="D33:D34" xr:uid="{00000000-0002-0000-0F00-000001000000}">
      <formula1>0</formula1>
      <formula2>12</formula2>
    </dataValidation>
    <dataValidation type="decimal" allowBlank="1" showInputMessage="1" showErrorMessage="1" sqref="B39:F44" xr:uid="{00000000-0002-0000-0F00-000002000000}">
      <formula1>0</formula1>
      <formula2>1</formula2>
    </dataValidation>
    <dataValidation type="whole" operator="greaterThanOrEqual" allowBlank="1" showInputMessage="1" showErrorMessage="1" sqref="B6:F13" xr:uid="{00000000-0002-0000-0F00-000003000000}">
      <formula1>0</formula1>
    </dataValidation>
    <dataValidation type="list" allowBlank="1" showInputMessage="1" showErrorMessage="1" sqref="H6:H13" xr:uid="{00000000-0002-0000-0F00-000004000000}">
      <formula1>"Sí,No"</formula1>
    </dataValidation>
    <dataValidation type="list" allowBlank="1" showInputMessage="1" showErrorMessage="1" sqref="I37" xr:uid="{00000000-0002-0000-0F00-000005000000}">
      <formula1>"Bonificada,Sin Bonificar"</formula1>
    </dataValidation>
  </dataValidations>
  <printOptions horizontalCentered="1"/>
  <pageMargins left="0.78740157480314965" right="0.78740157480314965" top="0.55118110236220474" bottom="0.43307086614173229" header="0" footer="0"/>
  <pageSetup paperSize="9" scale="78" orientation="portrait" r:id="rId1"/>
  <headerFooter alignWithMargins="0"/>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pageSetUpPr fitToPage="1"/>
  </sheetPr>
  <dimension ref="A1:N38"/>
  <sheetViews>
    <sheetView workbookViewId="0"/>
  </sheetViews>
  <sheetFormatPr baseColWidth="10" defaultColWidth="11" defaultRowHeight="15"/>
  <cols>
    <col min="1" max="1" width="31.875" style="48" customWidth="1"/>
    <col min="2" max="3" width="10.125" style="48" customWidth="1"/>
    <col min="4" max="4" width="14.875" style="48" customWidth="1"/>
    <col min="5" max="5" width="12" style="48" customWidth="1"/>
    <col min="6" max="6" width="11" style="48"/>
    <col min="7" max="7" width="11.875" style="48" customWidth="1"/>
    <col min="8" max="8" width="11" style="48"/>
    <col min="9" max="9" width="11.875" style="48" customWidth="1"/>
    <col min="10" max="16384" width="11" style="48"/>
  </cols>
  <sheetData>
    <row r="1" spans="1:14" ht="22.5">
      <c r="A1" s="67" t="s">
        <v>1144</v>
      </c>
      <c r="E1" s="34"/>
      <c r="F1" s="34"/>
      <c r="G1" s="34"/>
      <c r="H1" s="34"/>
      <c r="I1" s="34"/>
      <c r="J1" s="34"/>
      <c r="K1" s="34"/>
      <c r="L1" s="34"/>
      <c r="M1" s="34"/>
      <c r="N1" s="34"/>
    </row>
    <row r="2" spans="1:14" ht="22.5">
      <c r="A2" s="67" t="str">
        <f>'Datos Básicos'!B9</f>
        <v>nombre empresa</v>
      </c>
      <c r="E2" s="34"/>
      <c r="F2" s="34"/>
      <c r="G2" s="34"/>
      <c r="H2" s="34"/>
      <c r="I2" s="34"/>
      <c r="J2" s="34"/>
      <c r="K2" s="34"/>
      <c r="L2" s="34"/>
      <c r="M2" s="34"/>
      <c r="N2" s="34"/>
    </row>
    <row r="3" spans="1:14">
      <c r="E3" s="34"/>
      <c r="F3" s="34"/>
      <c r="G3" s="34"/>
      <c r="H3" s="34"/>
      <c r="I3" s="34"/>
      <c r="J3" s="34"/>
      <c r="K3" s="34"/>
      <c r="L3" s="34"/>
      <c r="M3" s="34"/>
      <c r="N3" s="34"/>
    </row>
    <row r="4" spans="1:14" ht="15.75" thickBot="1">
      <c r="E4" s="34"/>
      <c r="F4" s="34"/>
      <c r="G4" s="34"/>
      <c r="H4" s="34"/>
      <c r="I4" s="34"/>
      <c r="J4" s="34"/>
      <c r="K4" s="34"/>
      <c r="L4" s="34"/>
      <c r="M4" s="34"/>
      <c r="N4" s="34"/>
    </row>
    <row r="5" spans="1:14" ht="31.5" customHeight="1" thickBot="1">
      <c r="A5" s="703" t="s">
        <v>1123</v>
      </c>
      <c r="B5" s="789"/>
      <c r="C5" s="789"/>
      <c r="D5" s="789"/>
      <c r="E5" s="1722" t="str">
        <f>+Parametros!B77</f>
        <v>Año 0:  2026</v>
      </c>
      <c r="F5" s="2912"/>
      <c r="G5" s="1722" t="str">
        <f>+Parametros!C77</f>
        <v>Año 1:  2027</v>
      </c>
      <c r="H5" s="2912"/>
      <c r="I5" s="2925" t="str">
        <f>+Parametros!D77</f>
        <v>Año 2:  2028</v>
      </c>
      <c r="J5" s="2912"/>
      <c r="K5" s="1722" t="str">
        <f>+Parametros!E77</f>
        <v>Año 3:  2029</v>
      </c>
      <c r="L5" s="2912"/>
      <c r="M5" s="2925" t="str">
        <f>+Parametros!F77</f>
        <v>Año 4:  2030</v>
      </c>
      <c r="N5" s="2912"/>
    </row>
    <row r="6" spans="1:14">
      <c r="A6" s="2918"/>
      <c r="E6" s="2913" t="s">
        <v>1128</v>
      </c>
      <c r="F6" s="2914" t="s">
        <v>1129</v>
      </c>
      <c r="G6" s="2926" t="str">
        <f>$E6</f>
        <v>% ventas</v>
      </c>
      <c r="H6" s="2914" t="str">
        <f>$F6</f>
        <v>Importe anual</v>
      </c>
      <c r="I6" s="2913" t="str">
        <f>$E6</f>
        <v>% ventas</v>
      </c>
      <c r="J6" s="2914" t="str">
        <f>$F6</f>
        <v>Importe anual</v>
      </c>
      <c r="K6" s="2926" t="str">
        <f>$E6</f>
        <v>% ventas</v>
      </c>
      <c r="L6" s="2914" t="str">
        <f>$F6</f>
        <v>Importe anual</v>
      </c>
      <c r="M6" s="2913" t="str">
        <f>$E6</f>
        <v>% ventas</v>
      </c>
      <c r="N6" s="2914" t="str">
        <f>$F6</f>
        <v>Importe anual</v>
      </c>
    </row>
    <row r="7" spans="1:14" ht="18.75" customHeight="1">
      <c r="A7" s="2919" t="s">
        <v>1126</v>
      </c>
      <c r="B7" s="796"/>
      <c r="C7" s="796"/>
      <c r="D7" s="796"/>
      <c r="E7" s="2944">
        <v>0.02</v>
      </c>
      <c r="F7" s="2943">
        <f ca="1">E7*'Resumen Ventas 5 años'!B$27</f>
        <v>549.65909090909088</v>
      </c>
      <c r="G7" s="2945">
        <f>E7</f>
        <v>0.02</v>
      </c>
      <c r="H7" s="2943">
        <f ca="1">G7*'Resumen Ventas 5 años'!C$27</f>
        <v>773.5</v>
      </c>
      <c r="I7" s="2944">
        <f>G7</f>
        <v>0.02</v>
      </c>
      <c r="J7" s="2943">
        <f ca="1">I7*'Resumen Ventas 5 años'!E$27</f>
        <v>796.70500000000004</v>
      </c>
      <c r="K7" s="2945">
        <f>I7</f>
        <v>0.02</v>
      </c>
      <c r="L7" s="2943">
        <f ca="1">K7*'Resumen Ventas 5 años'!G$27</f>
        <v>820.60615000000007</v>
      </c>
      <c r="M7" s="2944">
        <f>K7</f>
        <v>0.02</v>
      </c>
      <c r="N7" s="2943">
        <f ca="1">M7*'Resumen Ventas 5 años'!I$27</f>
        <v>845.22433450000017</v>
      </c>
    </row>
    <row r="8" spans="1:14" ht="18.75" customHeight="1">
      <c r="A8" s="2919" t="s">
        <v>1127</v>
      </c>
      <c r="B8" s="796"/>
      <c r="C8" s="796"/>
      <c r="D8" s="796"/>
      <c r="E8" s="2944">
        <v>0.02</v>
      </c>
      <c r="F8" s="2943">
        <f ca="1">E8*'Resumen Ventas 5 años'!B$27</f>
        <v>549.65909090909088</v>
      </c>
      <c r="G8" s="2945">
        <f>E8</f>
        <v>0.02</v>
      </c>
      <c r="H8" s="2943">
        <f ca="1">G8*'Resumen Ventas 5 años'!C$27</f>
        <v>773.5</v>
      </c>
      <c r="I8" s="2944">
        <f>G8</f>
        <v>0.02</v>
      </c>
      <c r="J8" s="2943">
        <f ca="1">I8*'Resumen Ventas 5 años'!E$27</f>
        <v>796.70500000000004</v>
      </c>
      <c r="K8" s="2945">
        <f>I8</f>
        <v>0.02</v>
      </c>
      <c r="L8" s="2943">
        <f ca="1">K8*'Resumen Ventas 5 años'!G$27</f>
        <v>820.60615000000007</v>
      </c>
      <c r="M8" s="2944">
        <f>K8</f>
        <v>0.02</v>
      </c>
      <c r="N8" s="2943">
        <f ca="1">M8*'Resumen Ventas 5 años'!I$27</f>
        <v>845.22433450000017</v>
      </c>
    </row>
    <row r="9" spans="1:14" ht="15.75" thickBot="1">
      <c r="A9" s="2920"/>
      <c r="E9" s="2164"/>
      <c r="F9" s="2921"/>
      <c r="G9" s="34"/>
      <c r="H9" s="2921"/>
      <c r="I9" s="2164"/>
      <c r="J9" s="2921"/>
      <c r="K9" s="34"/>
      <c r="L9" s="2921"/>
      <c r="M9" s="2164"/>
      <c r="N9" s="2921"/>
    </row>
    <row r="10" spans="1:14" ht="30" thickTop="1" thickBot="1">
      <c r="A10" s="2164"/>
      <c r="B10" s="2917" t="s">
        <v>379</v>
      </c>
      <c r="C10" s="1722" t="s">
        <v>1130</v>
      </c>
      <c r="D10" s="2946"/>
      <c r="E10" s="2929"/>
      <c r="F10" s="2915" t="s">
        <v>1131</v>
      </c>
      <c r="G10" s="2927" t="s">
        <v>1132</v>
      </c>
      <c r="H10" s="2915" t="str">
        <f>$F10</f>
        <v>Importe
anual</v>
      </c>
      <c r="I10" s="2929" t="str">
        <f>$G10</f>
        <v>% incr.
anual</v>
      </c>
      <c r="J10" s="2915" t="str">
        <f>$F10</f>
        <v>Importe
anual</v>
      </c>
      <c r="K10" s="2927" t="str">
        <f>$G10</f>
        <v>% incr.
anual</v>
      </c>
      <c r="L10" s="2915" t="str">
        <f>$F10</f>
        <v>Importe
anual</v>
      </c>
      <c r="M10" s="2929" t="str">
        <f>$G10</f>
        <v>% incr.
anual</v>
      </c>
      <c r="N10" s="2915" t="str">
        <f>$F10</f>
        <v>Importe
anual</v>
      </c>
    </row>
    <row r="11" spans="1:14">
      <c r="A11" s="2922" t="s">
        <v>1124</v>
      </c>
      <c r="B11" s="2911">
        <v>1</v>
      </c>
      <c r="C11" s="3035">
        <v>0</v>
      </c>
      <c r="D11" s="3036" t="str">
        <f>CONCATENATE(Parametros!$H$11,"/",IF(B11=12,"mes",  IF(B11=6,"2 meses",IF(B11=4,"trimestre",IF(B11=3,"cuatrimestre",IF(B11=2,"semestre","año"))   ))   ))</f>
        <v>€/año</v>
      </c>
      <c r="E11" s="2916"/>
      <c r="F11" s="2916">
        <f>C11*B11</f>
        <v>0</v>
      </c>
      <c r="G11" s="2945">
        <v>0.03</v>
      </c>
      <c r="H11" s="2916">
        <f>F11*(1+G11)</f>
        <v>0</v>
      </c>
      <c r="I11" s="2944">
        <f>G11</f>
        <v>0.03</v>
      </c>
      <c r="J11" s="2916">
        <f>H11*(1+I11)</f>
        <v>0</v>
      </c>
      <c r="K11" s="2945">
        <f>I11</f>
        <v>0.03</v>
      </c>
      <c r="L11" s="2916">
        <f>J11*(1+K11)</f>
        <v>0</v>
      </c>
      <c r="M11" s="2944">
        <f>K11</f>
        <v>0.03</v>
      </c>
      <c r="N11" s="2916">
        <f>L11*(1+M11)</f>
        <v>0</v>
      </c>
    </row>
    <row r="12" spans="1:14">
      <c r="A12" s="2922" t="s">
        <v>1125</v>
      </c>
      <c r="B12" s="2911">
        <v>3</v>
      </c>
      <c r="C12" s="3037">
        <v>0</v>
      </c>
      <c r="D12" s="3038" t="str">
        <f>CONCATENATE(Parametros!$H$11,"/",IF(B12=12,"mes",  IF(B12=6,"2 meses",IF(B12=4,"trimestre",IF(B12=3,"cuatrimestre",IF(B12=2,"semestre","año"))   ))   ))</f>
        <v>€/cuatrimestre</v>
      </c>
      <c r="E12" s="2916"/>
      <c r="F12" s="2916">
        <f>C12*B12</f>
        <v>0</v>
      </c>
      <c r="G12" s="2945">
        <v>0.03</v>
      </c>
      <c r="H12" s="2916">
        <f>F12*(1+G12)</f>
        <v>0</v>
      </c>
      <c r="I12" s="2944">
        <f>G12</f>
        <v>0.03</v>
      </c>
      <c r="J12" s="2916">
        <f>H12*(1+I12)</f>
        <v>0</v>
      </c>
      <c r="K12" s="2945">
        <f>I12</f>
        <v>0.03</v>
      </c>
      <c r="L12" s="2916">
        <f>J12*(1+K12)</f>
        <v>0</v>
      </c>
      <c r="M12" s="2944">
        <f>K12</f>
        <v>0.03</v>
      </c>
      <c r="N12" s="2916">
        <f>L12*(1+M12)</f>
        <v>0</v>
      </c>
    </row>
    <row r="13" spans="1:14">
      <c r="A13" s="2923"/>
      <c r="B13" s="2924"/>
      <c r="C13" s="2924"/>
      <c r="D13" s="2924"/>
      <c r="E13" s="2164"/>
      <c r="F13" s="2921"/>
      <c r="G13" s="34"/>
      <c r="H13" s="2921"/>
      <c r="I13" s="2164"/>
      <c r="J13" s="2921"/>
      <c r="K13" s="34"/>
      <c r="L13" s="2921"/>
      <c r="M13" s="2164"/>
      <c r="N13" s="2921"/>
    </row>
    <row r="14" spans="1:14" ht="18.75" customHeight="1">
      <c r="A14" s="3027"/>
      <c r="B14" s="3028"/>
      <c r="C14" s="3028"/>
      <c r="D14" s="3029" t="s">
        <v>1133</v>
      </c>
      <c r="E14" s="3030" t="str">
        <f>Parametros!D62&amp;" :"</f>
        <v>Año 0 :</v>
      </c>
      <c r="F14" s="3031">
        <f ca="1">SUM(F7:F8,F11:F12)</f>
        <v>1099.3181818181818</v>
      </c>
      <c r="G14" s="3033">
        <f>Parametros!E62</f>
        <v>1</v>
      </c>
      <c r="H14" s="3031">
        <f ca="1">SUM(H7:H8,H11:H12)</f>
        <v>1547</v>
      </c>
      <c r="I14" s="3032">
        <f>G14+1</f>
        <v>2</v>
      </c>
      <c r="J14" s="3031">
        <f ca="1">SUM(J7:J8,J11:J12)</f>
        <v>1593.41</v>
      </c>
      <c r="K14" s="3033">
        <f>I14+1</f>
        <v>3</v>
      </c>
      <c r="L14" s="3031">
        <f ca="1">SUM(L7:L8,L11:L12)</f>
        <v>1641.2123000000001</v>
      </c>
      <c r="M14" s="3032">
        <f>K14+1</f>
        <v>4</v>
      </c>
      <c r="N14" s="3031">
        <f ca="1">SUM(N7:N8,N11:N12)</f>
        <v>1690.4486690000003</v>
      </c>
    </row>
    <row r="15" spans="1:14" ht="21.75" customHeight="1" thickBot="1">
      <c r="A15" s="2930"/>
      <c r="B15" s="2928"/>
      <c r="C15" s="2928"/>
      <c r="D15" s="3034" t="s">
        <v>1194</v>
      </c>
      <c r="E15" s="2930"/>
      <c r="F15" s="3128">
        <f ca="1">IFERROR(('PPyGG anuales'!B13-F14)/F14,0)</f>
        <v>21.5</v>
      </c>
      <c r="G15" s="2928"/>
      <c r="H15" s="3128">
        <f ca="1">IFERROR(('PPyGG anuales'!D13-H14)/H14,0)</f>
        <v>21.5</v>
      </c>
      <c r="I15" s="2930"/>
      <c r="J15" s="3128">
        <f ca="1">IFERROR(('PPyGG anuales'!G13-J14)/J14,0)</f>
        <v>21.499999999999996</v>
      </c>
      <c r="K15" s="2928"/>
      <c r="L15" s="3128">
        <f ca="1">IFERROR(('PPyGG anuales'!J13-L14)/L14,0)</f>
        <v>21.5</v>
      </c>
      <c r="M15" s="2930"/>
      <c r="N15" s="3128">
        <f ca="1">IFERROR(('PPyGG anuales'!M13-N14)/N14,0)</f>
        <v>21.500000000000004</v>
      </c>
    </row>
    <row r="16" spans="1:14">
      <c r="A16" s="34"/>
      <c r="B16" s="34"/>
      <c r="C16" s="34"/>
      <c r="D16" s="34"/>
      <c r="E16" s="34"/>
      <c r="F16" s="34"/>
      <c r="G16" s="34"/>
      <c r="H16" s="34"/>
      <c r="I16" s="34"/>
      <c r="J16" s="34"/>
      <c r="K16" s="34"/>
      <c r="L16" s="34"/>
      <c r="M16" s="34"/>
      <c r="N16" s="34"/>
    </row>
    <row r="17" spans="1:14" ht="15.75" thickBot="1">
      <c r="A17" s="34"/>
      <c r="B17" s="34"/>
      <c r="C17" s="34"/>
      <c r="D17" s="34"/>
      <c r="E17" s="34"/>
      <c r="F17" s="34"/>
      <c r="G17" s="34"/>
      <c r="H17" s="34"/>
      <c r="I17" s="34"/>
      <c r="J17" s="34"/>
      <c r="K17" s="34"/>
      <c r="L17" s="34"/>
      <c r="M17" s="34"/>
      <c r="N17" s="34"/>
    </row>
    <row r="18" spans="1:14" ht="27.75" customHeight="1">
      <c r="A18" s="736" t="s">
        <v>1142</v>
      </c>
      <c r="B18" s="2956"/>
      <c r="C18" s="2957"/>
      <c r="D18" s="2958"/>
      <c r="E18" s="2954" t="str">
        <f>E$5</f>
        <v>Año 0:  2026</v>
      </c>
      <c r="F18" s="2955"/>
      <c r="G18" s="2954" t="str">
        <f>G$5</f>
        <v>Año 1:  2027</v>
      </c>
      <c r="H18" s="2955"/>
      <c r="I18" s="2954" t="str">
        <f>I$5</f>
        <v>Año 2:  2028</v>
      </c>
      <c r="J18" s="2955"/>
      <c r="K18" s="2954" t="str">
        <f>K$5</f>
        <v>Año 3:  2029</v>
      </c>
      <c r="L18" s="2955"/>
      <c r="M18" s="2954" t="str">
        <f>M$5</f>
        <v>Año 4:  2030</v>
      </c>
      <c r="N18" s="2955"/>
    </row>
    <row r="19" spans="1:14" ht="18.75" customHeight="1">
      <c r="A19" s="2959"/>
      <c r="B19" s="2960"/>
      <c r="C19" s="2961"/>
      <c r="D19" s="2962" t="s">
        <v>1143</v>
      </c>
      <c r="E19" s="2963"/>
      <c r="F19" s="3076">
        <f ca="1">'Estimaciones Ventas'!P6</f>
        <v>7852.2727272727261</v>
      </c>
      <c r="G19" s="2964"/>
      <c r="H19" s="3076">
        <f>'Estimaciones Ventas'!P19</f>
        <v>11050</v>
      </c>
      <c r="I19" s="2964"/>
      <c r="J19" s="3076">
        <f>'Estimaciones Ventas'!P32</f>
        <v>11381.5</v>
      </c>
      <c r="K19" s="2964"/>
      <c r="L19" s="3076">
        <f>'Estimaciones Ventas'!P45</f>
        <v>11722.945</v>
      </c>
      <c r="M19" s="2964"/>
      <c r="N19" s="3076">
        <f>'Estimaciones Ventas'!P58</f>
        <v>12074.63335</v>
      </c>
    </row>
    <row r="20" spans="1:14" ht="18.75" customHeight="1">
      <c r="A20" s="2959"/>
      <c r="B20" s="2960"/>
      <c r="C20" s="2960"/>
      <c r="D20" s="2965" t="s">
        <v>1134</v>
      </c>
      <c r="E20" s="2959"/>
      <c r="F20" s="2966">
        <f ca="1">IFERROR(F14/F19,0)</f>
        <v>0.14000000000000001</v>
      </c>
      <c r="G20" s="2959"/>
      <c r="H20" s="2967">
        <f ca="1">IFERROR(H14/H19,0)</f>
        <v>0.14000000000000001</v>
      </c>
      <c r="I20" s="328"/>
      <c r="J20" s="2967">
        <f ca="1">IFERROR(J14/J19,0)</f>
        <v>0.14000000000000001</v>
      </c>
      <c r="K20" s="328"/>
      <c r="L20" s="2967">
        <f ca="1">IFERROR(L14/L19,0)</f>
        <v>0.14000000000000001</v>
      </c>
      <c r="M20" s="328"/>
      <c r="N20" s="2967">
        <f ca="1">IFERROR(N14/N19,0)</f>
        <v>0.14000000000000001</v>
      </c>
    </row>
    <row r="21" spans="1:14" ht="18.75" customHeight="1">
      <c r="A21" s="328"/>
      <c r="B21" s="2960" t="s">
        <v>1135</v>
      </c>
      <c r="C21" s="2960"/>
      <c r="D21" s="2968"/>
      <c r="E21" s="2959"/>
      <c r="F21" s="2968"/>
      <c r="G21" s="2959"/>
      <c r="H21" s="2969"/>
      <c r="I21" s="328"/>
      <c r="J21" s="2969"/>
      <c r="K21" s="328"/>
      <c r="L21" s="2969"/>
      <c r="M21" s="328"/>
      <c r="N21" s="2969"/>
    </row>
    <row r="22" spans="1:14" ht="18.75" customHeight="1">
      <c r="A22" s="328"/>
      <c r="B22" s="2961"/>
      <c r="C22" s="2961"/>
      <c r="D22" s="2970" t="str">
        <f>"Ticket Medio ( "&amp;Parametros!$H$11&amp;"/año )"</f>
        <v>Ticket Medio ( €/año )</v>
      </c>
      <c r="E22" s="328"/>
      <c r="F22" s="2971">
        <f ca="1">'Resumen Ventas 5 años'!B27/'Estimaciones Ventas'!N14</f>
        <v>3.5</v>
      </c>
      <c r="G22" s="2972"/>
      <c r="H22" s="2971">
        <f ca="1">'PPyGG anuales'!D7/'Estimaciones Ventas'!N27</f>
        <v>3.5</v>
      </c>
      <c r="I22" s="2972"/>
      <c r="J22" s="2971">
        <f ca="1">'PPyGG anuales'!G7/'Estimaciones Ventas'!N40</f>
        <v>3.5</v>
      </c>
      <c r="K22" s="2972"/>
      <c r="L22" s="2971">
        <f ca="1">'PPyGG anuales'!J7/'Estimaciones Ventas'!N53</f>
        <v>3.5000000000000004</v>
      </c>
      <c r="M22" s="2972"/>
      <c r="N22" s="2971">
        <f ca="1">'PPyGG anuales'!M7/'Estimaciones Ventas'!N66</f>
        <v>3.5000000000000004</v>
      </c>
    </row>
    <row r="23" spans="1:14" ht="18.75" customHeight="1" thickBot="1">
      <c r="A23" s="329"/>
      <c r="B23" s="2973"/>
      <c r="C23" s="2973"/>
      <c r="D23" s="2974" t="str">
        <f>"Margen Bruto ( % )"</f>
        <v>Margen Bruto ( % )</v>
      </c>
      <c r="E23" s="329"/>
      <c r="F23" s="2975">
        <f ca="1">'Ratios Básicos'!C11</f>
        <v>0.89999999999999991</v>
      </c>
      <c r="G23" s="329"/>
      <c r="H23" s="2975">
        <f ca="1">'Ratios Básicos'!D11</f>
        <v>0.9</v>
      </c>
      <c r="I23" s="329"/>
      <c r="J23" s="2975">
        <f ca="1">'Ratios Básicos'!E11</f>
        <v>0.89999999999999991</v>
      </c>
      <c r="K23" s="329"/>
      <c r="L23" s="2975">
        <f ca="1">'Ratios Básicos'!F11</f>
        <v>0.9</v>
      </c>
      <c r="M23" s="329"/>
      <c r="N23" s="2975">
        <f ca="1">'Ratios Básicos'!G11</f>
        <v>0.9</v>
      </c>
    </row>
    <row r="24" spans="1:14">
      <c r="F24" s="2979" t="str">
        <f ca="1">IF(AND(F20&lt;F22,H20&lt;H22,J20&lt;J22,L20&lt;L22,N20&lt;N22),"","CAC &gt; Ticket medio -&gt;&gt;  La primera compra no compensa el coste de adquisiciónde un nuevo cliente")</f>
        <v/>
      </c>
    </row>
    <row r="25" spans="1:14" ht="15.75" thickBot="1"/>
    <row r="26" spans="1:14" ht="20.25" customHeight="1">
      <c r="A26" s="3016"/>
      <c r="B26" s="3017"/>
      <c r="C26" s="3025" t="s">
        <v>1193</v>
      </c>
      <c r="D26" s="3021" t="s">
        <v>1148</v>
      </c>
      <c r="E26" s="836"/>
      <c r="F26" s="3020">
        <v>10</v>
      </c>
      <c r="G26" s="789"/>
      <c r="H26" s="3023">
        <f>F26</f>
        <v>10</v>
      </c>
      <c r="I26" s="836"/>
      <c r="J26" s="3020">
        <f>H26</f>
        <v>10</v>
      </c>
      <c r="K26" s="789"/>
      <c r="L26" s="3023">
        <f>J26</f>
        <v>10</v>
      </c>
      <c r="M26" s="836"/>
      <c r="N26" s="3020">
        <f>L26</f>
        <v>10</v>
      </c>
    </row>
    <row r="27" spans="1:14" ht="19.5" customHeight="1" thickBot="1">
      <c r="A27" s="3018"/>
      <c r="B27" s="852"/>
      <c r="C27" s="3026" t="s">
        <v>1149</v>
      </c>
      <c r="D27" s="3022" t="s">
        <v>1150</v>
      </c>
      <c r="E27" s="838"/>
      <c r="F27" s="3019">
        <v>2</v>
      </c>
      <c r="G27" s="839"/>
      <c r="H27" s="3024">
        <f>F27</f>
        <v>2</v>
      </c>
      <c r="I27" s="838"/>
      <c r="J27" s="3019">
        <f>H27</f>
        <v>2</v>
      </c>
      <c r="K27" s="839"/>
      <c r="L27" s="3024">
        <f>J27</f>
        <v>2</v>
      </c>
      <c r="M27" s="838"/>
      <c r="N27" s="3019">
        <f>L27</f>
        <v>2</v>
      </c>
    </row>
    <row r="28" spans="1:14" ht="15.75" thickBot="1">
      <c r="A28" s="2976"/>
      <c r="B28" s="2976"/>
      <c r="C28" s="2977"/>
      <c r="D28" s="2977"/>
    </row>
    <row r="29" spans="1:14" ht="28.5" customHeight="1">
      <c r="A29" s="736" t="s">
        <v>1145</v>
      </c>
      <c r="B29" s="2956"/>
      <c r="C29" s="2957"/>
      <c r="D29" s="2958"/>
      <c r="E29" s="2954" t="str">
        <f>E$5</f>
        <v>Año 0:  2026</v>
      </c>
      <c r="F29" s="2955"/>
      <c r="G29" s="2954" t="str">
        <f>G$5</f>
        <v>Año 1:  2027</v>
      </c>
      <c r="H29" s="2955"/>
      <c r="I29" s="2954" t="str">
        <f>I$5</f>
        <v>Año 2:  2028</v>
      </c>
      <c r="J29" s="2955"/>
      <c r="K29" s="2954" t="str">
        <f>K$5</f>
        <v>Año 3:  2029</v>
      </c>
      <c r="L29" s="2955"/>
      <c r="M29" s="2954" t="str">
        <f>M$5</f>
        <v>Año 4:  2030</v>
      </c>
      <c r="N29" s="2955"/>
    </row>
    <row r="30" spans="1:14" ht="19.5" customHeight="1">
      <c r="A30" s="2959"/>
      <c r="B30" s="2960"/>
      <c r="C30" s="2961"/>
      <c r="D30" s="2962" t="s">
        <v>1141</v>
      </c>
      <c r="E30" s="328"/>
      <c r="F30" s="2971">
        <f ca="1">F22*F26*F27*F23</f>
        <v>62.999999999999993</v>
      </c>
      <c r="G30" s="2972"/>
      <c r="H30" s="2971">
        <f ca="1">H22*H26*H27*H23</f>
        <v>63</v>
      </c>
      <c r="I30" s="2972"/>
      <c r="J30" s="2971">
        <f ca="1">J22*J26*J27*J23</f>
        <v>62.999999999999993</v>
      </c>
      <c r="K30" s="2972"/>
      <c r="L30" s="2971">
        <f ca="1">L22*L26*L27*L23</f>
        <v>63.000000000000014</v>
      </c>
      <c r="M30" s="2972"/>
      <c r="N30" s="2971">
        <f ca="1">N22*N26*N27*N23</f>
        <v>63.000000000000014</v>
      </c>
    </row>
    <row r="31" spans="1:14" ht="19.5" customHeight="1" thickBot="1">
      <c r="A31" s="2980"/>
      <c r="B31" s="2981"/>
      <c r="C31" s="2973"/>
      <c r="D31" s="2982" t="s">
        <v>1146</v>
      </c>
      <c r="E31" s="329" t="s">
        <v>1135</v>
      </c>
      <c r="F31" s="2983">
        <f ca="1">IFERROR(F30/F20,0)</f>
        <v>449.99999999999989</v>
      </c>
      <c r="G31" s="329" t="s">
        <v>1135</v>
      </c>
      <c r="H31" s="2983">
        <f ca="1">IFERROR(H30/H20,0)</f>
        <v>449.99999999999994</v>
      </c>
      <c r="I31" s="329" t="s">
        <v>1135</v>
      </c>
      <c r="J31" s="2983">
        <f ca="1">IFERROR(J30/J20,0)</f>
        <v>449.99999999999989</v>
      </c>
      <c r="K31" s="329" t="s">
        <v>1135</v>
      </c>
      <c r="L31" s="2983">
        <f ca="1">IFERROR(L30/L20,0)</f>
        <v>450.00000000000006</v>
      </c>
      <c r="M31" s="329" t="s">
        <v>1135</v>
      </c>
      <c r="N31" s="2983">
        <f ca="1">IFERROR(N30/N20,0)</f>
        <v>450.00000000000006</v>
      </c>
    </row>
    <row r="33" spans="1:14">
      <c r="F33" s="2978" t="str">
        <f ca="1">IF(AND(F30&gt;F20,H30&gt;H20,J30&gt;J20,L30&gt;L20,N30&gt;N20),"LTV &gt; CAC: lo que deja un cliente es mayor que el coste que supone adquirirlo","LTV &lt; CAC: lo que deja un cliente es MENOR que el coste que supone adquirirlo")</f>
        <v>LTV &gt; CAC: lo que deja un cliente es mayor que el coste que supone adquirirlo</v>
      </c>
    </row>
    <row r="34" spans="1:14">
      <c r="F34" s="2978" t="s">
        <v>1147</v>
      </c>
    </row>
    <row r="36" spans="1:14" ht="15.75" thickBot="1"/>
    <row r="37" spans="1:14" ht="20.25" customHeight="1">
      <c r="A37" s="3016"/>
      <c r="B37" s="3017"/>
      <c r="C37" s="3025" t="s">
        <v>1196</v>
      </c>
      <c r="D37" s="3021" t="s">
        <v>1197</v>
      </c>
      <c r="E37" s="836"/>
      <c r="F37" s="3065">
        <f>IF(F27=0,0,1/F27)</f>
        <v>0.5</v>
      </c>
      <c r="G37" s="3062"/>
      <c r="H37" s="3065">
        <f>IF(H27=0,0,1/H27)</f>
        <v>0.5</v>
      </c>
      <c r="I37" s="3063"/>
      <c r="J37" s="3065">
        <f>IF(J27=0,0,1/J27)</f>
        <v>0.5</v>
      </c>
      <c r="K37" s="3062"/>
      <c r="L37" s="3065">
        <f>IF(L27=0,0,1/L27)</f>
        <v>0.5</v>
      </c>
      <c r="M37" s="3063"/>
      <c r="N37" s="3061">
        <f>IF(N27=0,0,1/N27)</f>
        <v>0.5</v>
      </c>
    </row>
    <row r="38" spans="1:14" ht="19.5" customHeight="1" thickBot="1">
      <c r="A38" s="3018"/>
      <c r="B38" s="852"/>
      <c r="C38" s="3026" t="s">
        <v>1199</v>
      </c>
      <c r="D38" s="3022" t="s">
        <v>1198</v>
      </c>
      <c r="E38" s="838"/>
      <c r="F38" s="3066">
        <f>1-F37</f>
        <v>0.5</v>
      </c>
      <c r="G38" s="2928"/>
      <c r="H38" s="3066">
        <f>1-H37</f>
        <v>0.5</v>
      </c>
      <c r="I38" s="2930"/>
      <c r="J38" s="3066">
        <f>1-J37</f>
        <v>0.5</v>
      </c>
      <c r="K38" s="2928"/>
      <c r="L38" s="3066">
        <f>1-L37</f>
        <v>0.5</v>
      </c>
      <c r="M38" s="2930"/>
      <c r="N38" s="3064">
        <f>1-N37</f>
        <v>0.5</v>
      </c>
    </row>
  </sheetData>
  <sheetProtection sheet="1" objects="1" scenarios="1"/>
  <conditionalFormatting sqref="F33">
    <cfRule type="expression" dxfId="29" priority="13" stopIfTrue="1">
      <formula>OR(F30&lt;F20,H30&lt;H20,J30&lt;J20,L30&lt;L20,N30&lt;N20)</formula>
    </cfRule>
  </conditionalFormatting>
  <dataValidations count="1">
    <dataValidation type="list" allowBlank="1" showInputMessage="1" showErrorMessage="1" sqref="B11:B12" xr:uid="{00000000-0002-0000-1000-000000000000}">
      <formula1>"12,6,4,3,2,1"</formula1>
    </dataValidation>
  </dataValidations>
  <pageMargins left="0.70866141732283472" right="0.70866141732283472" top="0.74803149606299213" bottom="0.74803149606299213" header="0.31496062992125984" footer="0.31496062992125984"/>
  <pageSetup paperSize="9" scale="68" orientation="landscape"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231">
    <pageSetUpPr fitToPage="1"/>
  </sheetPr>
  <dimension ref="A1:X33"/>
  <sheetViews>
    <sheetView topLeftCell="A3" zoomScale="115" zoomScaleNormal="115" workbookViewId="0">
      <selection activeCell="A17" sqref="A17"/>
    </sheetView>
  </sheetViews>
  <sheetFormatPr baseColWidth="10" defaultColWidth="11" defaultRowHeight="15"/>
  <cols>
    <col min="1" max="1" width="30.625" style="35" customWidth="1"/>
    <col min="2" max="3" width="10.125" style="35" customWidth="1"/>
    <col min="4" max="4" width="9.875" style="35" hidden="1" customWidth="1"/>
    <col min="5" max="16" width="8.625" style="35" hidden="1" customWidth="1"/>
    <col min="17" max="17" width="11.875" style="35" customWidth="1"/>
    <col min="18" max="18" width="8.875" style="35" customWidth="1"/>
    <col min="19" max="19" width="11" style="35"/>
    <col min="20" max="20" width="9.25" style="35" hidden="1" customWidth="1"/>
    <col min="21" max="23" width="10" style="35" customWidth="1"/>
    <col min="24" max="24" width="9.375" style="35" customWidth="1"/>
    <col min="25" max="16384" width="11" style="35"/>
  </cols>
  <sheetData>
    <row r="1" spans="1:24" ht="19.5">
      <c r="A1" s="398" t="s">
        <v>405</v>
      </c>
      <c r="B1" s="60"/>
      <c r="C1" s="60"/>
      <c r="D1" s="60"/>
      <c r="E1" s="61"/>
      <c r="F1" s="61"/>
      <c r="G1" s="61"/>
    </row>
    <row r="2" spans="1:24" ht="22.5">
      <c r="A2" s="67" t="str">
        <f>'Datos Básicos'!B9</f>
        <v>nombre empresa</v>
      </c>
      <c r="B2" s="60"/>
      <c r="C2" s="60"/>
      <c r="D2" s="60"/>
      <c r="E2" s="2282">
        <v>1</v>
      </c>
      <c r="F2" s="2282">
        <v>2</v>
      </c>
      <c r="G2" s="2282">
        <v>3</v>
      </c>
      <c r="H2" s="2282">
        <v>4</v>
      </c>
      <c r="I2" s="2282">
        <v>5</v>
      </c>
      <c r="J2" s="2282">
        <v>6</v>
      </c>
      <c r="K2" s="2282">
        <v>7</v>
      </c>
      <c r="L2" s="2282">
        <v>8</v>
      </c>
      <c r="M2" s="2282">
        <v>9</v>
      </c>
      <c r="N2" s="2282">
        <v>10</v>
      </c>
      <c r="O2" s="2282">
        <v>11</v>
      </c>
      <c r="P2" s="2282">
        <v>12</v>
      </c>
    </row>
    <row r="3" spans="1:24" ht="23.25" thickBot="1">
      <c r="A3" s="67"/>
      <c r="B3" s="60"/>
      <c r="C3" s="60"/>
      <c r="D3" s="2282" t="s">
        <v>914</v>
      </c>
      <c r="E3" s="2282" t="b">
        <f t="shared" ref="E3:P3" si="0">AND(E$2&gt;=inicioTemporada,E$2&lt;=finTemporada)</f>
        <v>1</v>
      </c>
      <c r="F3" s="2282" t="b">
        <f t="shared" si="0"/>
        <v>1</v>
      </c>
      <c r="G3" s="2282" t="b">
        <f t="shared" si="0"/>
        <v>1</v>
      </c>
      <c r="H3" s="2282" t="b">
        <f t="shared" si="0"/>
        <v>1</v>
      </c>
      <c r="I3" s="2282" t="b">
        <f t="shared" si="0"/>
        <v>1</v>
      </c>
      <c r="J3" s="2282" t="b">
        <f t="shared" si="0"/>
        <v>1</v>
      </c>
      <c r="K3" s="2282" t="b">
        <f t="shared" si="0"/>
        <v>1</v>
      </c>
      <c r="L3" s="2282" t="b">
        <f t="shared" si="0"/>
        <v>1</v>
      </c>
      <c r="M3" s="2282" t="b">
        <f t="shared" si="0"/>
        <v>1</v>
      </c>
      <c r="N3" s="2282" t="b">
        <f t="shared" si="0"/>
        <v>1</v>
      </c>
      <c r="O3" s="2282" t="b">
        <f t="shared" si="0"/>
        <v>1</v>
      </c>
      <c r="P3" s="2282" t="b">
        <f t="shared" si="0"/>
        <v>1</v>
      </c>
    </row>
    <row r="4" spans="1:24" ht="15.75" thickBot="1">
      <c r="E4" s="1003"/>
      <c r="F4" s="1003">
        <v>6</v>
      </c>
      <c r="G4" s="1003">
        <v>4</v>
      </c>
      <c r="H4" s="1003" t="s">
        <v>918</v>
      </c>
      <c r="I4" s="1003">
        <v>1</v>
      </c>
      <c r="J4" s="1003" t="s">
        <v>919</v>
      </c>
      <c r="K4" s="1003"/>
      <c r="L4" s="1003" t="s">
        <v>918</v>
      </c>
      <c r="M4" s="1003">
        <v>4</v>
      </c>
      <c r="N4" s="1003">
        <v>6</v>
      </c>
      <c r="O4" s="1003"/>
      <c r="P4" s="1003" t="s">
        <v>920</v>
      </c>
      <c r="U4" s="1998" t="s">
        <v>1088</v>
      </c>
      <c r="V4" s="62"/>
      <c r="W4" s="63"/>
      <c r="X4" s="63"/>
    </row>
    <row r="5" spans="1:24" s="48" customFormat="1" ht="26.25" customHeight="1" thickTop="1" thickBot="1">
      <c r="A5" s="1391" t="s">
        <v>90</v>
      </c>
      <c r="B5" s="1392" t="s">
        <v>80</v>
      </c>
      <c r="C5" s="2026" t="s">
        <v>379</v>
      </c>
      <c r="D5" s="2027" t="s">
        <v>914</v>
      </c>
      <c r="E5" s="1393" t="str">
        <f t="array" ref="E5:P5">meses</f>
        <v>enero</v>
      </c>
      <c r="F5" s="1394" t="str">
        <v>febrero</v>
      </c>
      <c r="G5" s="1394" t="str">
        <v>marzo</v>
      </c>
      <c r="H5" s="1394" t="str">
        <v>abril</v>
      </c>
      <c r="I5" s="1394" t="str">
        <v>mayo</v>
      </c>
      <c r="J5" s="1394" t="str">
        <v>junio</v>
      </c>
      <c r="K5" s="1394" t="str">
        <v>julio</v>
      </c>
      <c r="L5" s="1394" t="str">
        <v>agosto</v>
      </c>
      <c r="M5" s="1395" t="str">
        <v>septiembre</v>
      </c>
      <c r="N5" s="1395" t="str">
        <v>octubre</v>
      </c>
      <c r="O5" s="1395" t="str">
        <v>noviembre</v>
      </c>
      <c r="P5" s="1396" t="str">
        <v>diciembre</v>
      </c>
      <c r="Q5" s="1397" t="s">
        <v>380</v>
      </c>
      <c r="R5" s="1398" t="s">
        <v>32</v>
      </c>
      <c r="T5" s="2790" t="str">
        <f t="array" ref="T5:X5">anni</f>
        <v>Año 0:  2026</v>
      </c>
      <c r="U5" s="1999" t="str">
        <v>Año 1:  2027</v>
      </c>
      <c r="V5" s="2000" t="str">
        <v>Año 2:  2028</v>
      </c>
      <c r="W5" s="2001" t="str">
        <v>Año 3:  2029</v>
      </c>
      <c r="X5" s="2001" t="str">
        <v>Año 4:  2030</v>
      </c>
    </row>
    <row r="6" spans="1:24">
      <c r="A6" s="2044" t="s">
        <v>33</v>
      </c>
      <c r="B6" s="2029">
        <v>0</v>
      </c>
      <c r="C6" s="2030">
        <v>1</v>
      </c>
      <c r="D6" s="2028" t="s">
        <v>265</v>
      </c>
      <c r="E6" s="2031">
        <f>IF(AND($C6=1,E$2=5),$B6,IF(AND($C6=1,E$2=12),-$B6))
+IF(NOT(MOD(E$2,12/$C6)),$B6,0)    *    IF(OR($D6="No",E$3),1,0)</f>
        <v>0</v>
      </c>
      <c r="F6" s="2032">
        <f t="shared" ref="E6:P15" si="1">IF(AND($C6=1,F$2=5),$B6,IF(AND($C6=1,F$2=12),-$B6))
+IF(NOT(MOD(F$2,12/$C6)),$B6,0)    *    IF(OR($D6="No",F$3),1,0)</f>
        <v>0</v>
      </c>
      <c r="G6" s="2032">
        <f t="shared" si="1"/>
        <v>0</v>
      </c>
      <c r="H6" s="2032">
        <f t="shared" si="1"/>
        <v>0</v>
      </c>
      <c r="I6" s="2032">
        <f t="shared" si="1"/>
        <v>0</v>
      </c>
      <c r="J6" s="2032">
        <f t="shared" si="1"/>
        <v>0</v>
      </c>
      <c r="K6" s="2032">
        <f t="shared" si="1"/>
        <v>0</v>
      </c>
      <c r="L6" s="2032">
        <f t="shared" si="1"/>
        <v>0</v>
      </c>
      <c r="M6" s="2032">
        <f t="shared" si="1"/>
        <v>0</v>
      </c>
      <c r="N6" s="2032">
        <f t="shared" si="1"/>
        <v>0</v>
      </c>
      <c r="O6" s="2032">
        <f t="shared" si="1"/>
        <v>0</v>
      </c>
      <c r="P6" s="2033">
        <f t="shared" si="1"/>
        <v>0</v>
      </c>
      <c r="Q6" s="2873">
        <f t="shared" ref="Q6:Q27" si="2">SUM(E6:P6)</f>
        <v>0</v>
      </c>
      <c r="R6" s="2874">
        <f t="array" aca="1" ref="R6:R27" ca="1">IFERROR(Q6:Q27/$Q$28,0)</f>
        <v>0</v>
      </c>
      <c r="T6" s="2791">
        <f t="shared" ref="T6:T27" si="3">Q6</f>
        <v>0</v>
      </c>
      <c r="U6" s="2786">
        <f t="shared" ref="U6:U27" si="4">Q6*1.04</f>
        <v>0</v>
      </c>
      <c r="V6" s="2786">
        <f t="shared" ref="V6:X27" si="5">U6*1.04</f>
        <v>0</v>
      </c>
      <c r="W6" s="2786">
        <f t="shared" si="5"/>
        <v>0</v>
      </c>
      <c r="X6" s="2786">
        <f t="shared" si="5"/>
        <v>0</v>
      </c>
    </row>
    <row r="7" spans="1:24">
      <c r="A7" s="2044" t="str">
        <f>"Otras gastos fijos ( SIN "&amp;'Datos Básicos'!A28&amp;" )"</f>
        <v>Otras gastos fijos ( SIN IVA )</v>
      </c>
      <c r="B7" s="2029">
        <v>0</v>
      </c>
      <c r="C7" s="2030">
        <v>1</v>
      </c>
      <c r="D7" s="2028" t="s">
        <v>265</v>
      </c>
      <c r="E7" s="2031">
        <f t="shared" si="1"/>
        <v>0</v>
      </c>
      <c r="F7" s="2032">
        <f t="shared" si="1"/>
        <v>0</v>
      </c>
      <c r="G7" s="2032">
        <f t="shared" si="1"/>
        <v>0</v>
      </c>
      <c r="H7" s="2032">
        <f t="shared" si="1"/>
        <v>0</v>
      </c>
      <c r="I7" s="2032">
        <f t="shared" si="1"/>
        <v>0</v>
      </c>
      <c r="J7" s="2032">
        <f t="shared" si="1"/>
        <v>0</v>
      </c>
      <c r="K7" s="2032">
        <f t="shared" si="1"/>
        <v>0</v>
      </c>
      <c r="L7" s="2032">
        <f t="shared" si="1"/>
        <v>0</v>
      </c>
      <c r="M7" s="2032">
        <f t="shared" si="1"/>
        <v>0</v>
      </c>
      <c r="N7" s="2032">
        <f t="shared" si="1"/>
        <v>0</v>
      </c>
      <c r="O7" s="2032">
        <f t="shared" si="1"/>
        <v>0</v>
      </c>
      <c r="P7" s="2032">
        <f t="shared" si="1"/>
        <v>0</v>
      </c>
      <c r="Q7" s="2875">
        <f t="shared" si="2"/>
        <v>0</v>
      </c>
      <c r="R7" s="2876">
        <f ca="1"/>
        <v>0</v>
      </c>
      <c r="T7" s="2791">
        <f t="shared" si="3"/>
        <v>0</v>
      </c>
      <c r="U7" s="2786">
        <f t="shared" si="4"/>
        <v>0</v>
      </c>
      <c r="V7" s="2786">
        <f t="shared" si="5"/>
        <v>0</v>
      </c>
      <c r="W7" s="2786">
        <f t="shared" si="5"/>
        <v>0</v>
      </c>
      <c r="X7" s="2786">
        <f t="shared" si="5"/>
        <v>0</v>
      </c>
    </row>
    <row r="8" spans="1:24">
      <c r="A8" s="2044" t="s">
        <v>67</v>
      </c>
      <c r="B8" s="2029">
        <v>0</v>
      </c>
      <c r="C8" s="2030">
        <v>1</v>
      </c>
      <c r="D8" s="2028" t="s">
        <v>265</v>
      </c>
      <c r="E8" s="2031">
        <f t="shared" si="1"/>
        <v>0</v>
      </c>
      <c r="F8" s="2032">
        <f t="shared" si="1"/>
        <v>0</v>
      </c>
      <c r="G8" s="2032">
        <f t="shared" si="1"/>
        <v>0</v>
      </c>
      <c r="H8" s="2032">
        <f t="shared" si="1"/>
        <v>0</v>
      </c>
      <c r="I8" s="2032">
        <f t="shared" si="1"/>
        <v>0</v>
      </c>
      <c r="J8" s="2032">
        <f t="shared" si="1"/>
        <v>0</v>
      </c>
      <c r="K8" s="2032">
        <f t="shared" si="1"/>
        <v>0</v>
      </c>
      <c r="L8" s="2032">
        <f t="shared" si="1"/>
        <v>0</v>
      </c>
      <c r="M8" s="2032">
        <f t="shared" si="1"/>
        <v>0</v>
      </c>
      <c r="N8" s="2032">
        <f t="shared" si="1"/>
        <v>0</v>
      </c>
      <c r="O8" s="2032">
        <f t="shared" si="1"/>
        <v>0</v>
      </c>
      <c r="P8" s="2033">
        <f t="shared" si="1"/>
        <v>0</v>
      </c>
      <c r="Q8" s="2875">
        <f t="shared" si="2"/>
        <v>0</v>
      </c>
      <c r="R8" s="2876">
        <f ca="1"/>
        <v>0</v>
      </c>
      <c r="T8" s="2791">
        <f t="shared" si="3"/>
        <v>0</v>
      </c>
      <c r="U8" s="2786">
        <f t="shared" si="4"/>
        <v>0</v>
      </c>
      <c r="V8" s="2786">
        <f t="shared" si="5"/>
        <v>0</v>
      </c>
      <c r="W8" s="2786">
        <f t="shared" si="5"/>
        <v>0</v>
      </c>
      <c r="X8" s="2786">
        <f t="shared" si="5"/>
        <v>0</v>
      </c>
    </row>
    <row r="9" spans="1:24">
      <c r="A9" s="2044" t="s">
        <v>565</v>
      </c>
      <c r="B9" s="2029">
        <v>0</v>
      </c>
      <c r="C9" s="2030">
        <v>2</v>
      </c>
      <c r="D9" s="2028" t="s">
        <v>265</v>
      </c>
      <c r="E9" s="2031">
        <f t="shared" si="1"/>
        <v>0</v>
      </c>
      <c r="F9" s="2032">
        <f t="shared" si="1"/>
        <v>0</v>
      </c>
      <c r="G9" s="2032">
        <f t="shared" si="1"/>
        <v>0</v>
      </c>
      <c r="H9" s="2032">
        <f t="shared" si="1"/>
        <v>0</v>
      </c>
      <c r="I9" s="2032">
        <f t="shared" si="1"/>
        <v>0</v>
      </c>
      <c r="J9" s="2032">
        <f t="shared" si="1"/>
        <v>0</v>
      </c>
      <c r="K9" s="2032">
        <f t="shared" si="1"/>
        <v>0</v>
      </c>
      <c r="L9" s="2032">
        <f t="shared" si="1"/>
        <v>0</v>
      </c>
      <c r="M9" s="2032">
        <f t="shared" si="1"/>
        <v>0</v>
      </c>
      <c r="N9" s="2032">
        <f t="shared" si="1"/>
        <v>0</v>
      </c>
      <c r="O9" s="2032">
        <f t="shared" si="1"/>
        <v>0</v>
      </c>
      <c r="P9" s="2033">
        <f t="shared" si="1"/>
        <v>0</v>
      </c>
      <c r="Q9" s="2875">
        <f t="shared" si="2"/>
        <v>0</v>
      </c>
      <c r="R9" s="2876">
        <f ca="1"/>
        <v>0</v>
      </c>
      <c r="T9" s="2791">
        <f t="shared" si="3"/>
        <v>0</v>
      </c>
      <c r="U9" s="2786">
        <f t="shared" si="4"/>
        <v>0</v>
      </c>
      <c r="V9" s="2786">
        <f t="shared" si="5"/>
        <v>0</v>
      </c>
      <c r="W9" s="2786">
        <f t="shared" si="5"/>
        <v>0</v>
      </c>
      <c r="X9" s="2786">
        <f t="shared" si="5"/>
        <v>0</v>
      </c>
    </row>
    <row r="10" spans="1:24">
      <c r="A10" s="2044" t="s">
        <v>1086</v>
      </c>
      <c r="B10" s="2029"/>
      <c r="C10" s="2030">
        <v>12</v>
      </c>
      <c r="D10" s="2028" t="s">
        <v>265</v>
      </c>
      <c r="E10" s="2031">
        <f t="shared" si="1"/>
        <v>0</v>
      </c>
      <c r="F10" s="2032">
        <f t="shared" si="1"/>
        <v>0</v>
      </c>
      <c r="G10" s="2032">
        <f t="shared" si="1"/>
        <v>0</v>
      </c>
      <c r="H10" s="2032">
        <f t="shared" si="1"/>
        <v>0</v>
      </c>
      <c r="I10" s="2032">
        <f t="shared" si="1"/>
        <v>0</v>
      </c>
      <c r="J10" s="2032">
        <f t="shared" si="1"/>
        <v>0</v>
      </c>
      <c r="K10" s="2032">
        <f t="shared" si="1"/>
        <v>0</v>
      </c>
      <c r="L10" s="2032">
        <f t="shared" si="1"/>
        <v>0</v>
      </c>
      <c r="M10" s="2032">
        <f t="shared" si="1"/>
        <v>0</v>
      </c>
      <c r="N10" s="2032">
        <f t="shared" si="1"/>
        <v>0</v>
      </c>
      <c r="O10" s="2032">
        <f t="shared" si="1"/>
        <v>0</v>
      </c>
      <c r="P10" s="2032">
        <f t="shared" si="1"/>
        <v>0</v>
      </c>
      <c r="Q10" s="2875">
        <f t="shared" si="2"/>
        <v>0</v>
      </c>
      <c r="R10" s="2876">
        <f ca="1"/>
        <v>0</v>
      </c>
      <c r="T10" s="2791">
        <f t="shared" si="3"/>
        <v>0</v>
      </c>
      <c r="U10" s="2786">
        <f t="shared" si="4"/>
        <v>0</v>
      </c>
      <c r="V10" s="2786">
        <f t="shared" si="5"/>
        <v>0</v>
      </c>
      <c r="W10" s="2786">
        <f t="shared" si="5"/>
        <v>0</v>
      </c>
      <c r="X10" s="2786">
        <f t="shared" si="5"/>
        <v>0</v>
      </c>
    </row>
    <row r="11" spans="1:24">
      <c r="A11" s="2044" t="s">
        <v>1298</v>
      </c>
      <c r="B11" s="2029">
        <v>0</v>
      </c>
      <c r="C11" s="2030">
        <v>12</v>
      </c>
      <c r="D11" s="2028" t="s">
        <v>921</v>
      </c>
      <c r="E11" s="2031">
        <f t="shared" si="1"/>
        <v>0</v>
      </c>
      <c r="F11" s="2032">
        <f t="shared" si="1"/>
        <v>0</v>
      </c>
      <c r="G11" s="2032">
        <f t="shared" si="1"/>
        <v>0</v>
      </c>
      <c r="H11" s="2032">
        <f t="shared" si="1"/>
        <v>0</v>
      </c>
      <c r="I11" s="2032">
        <f t="shared" si="1"/>
        <v>0</v>
      </c>
      <c r="J11" s="2032">
        <f t="shared" si="1"/>
        <v>0</v>
      </c>
      <c r="K11" s="2032">
        <f t="shared" si="1"/>
        <v>0</v>
      </c>
      <c r="L11" s="2032">
        <f t="shared" si="1"/>
        <v>0</v>
      </c>
      <c r="M11" s="2032">
        <f t="shared" si="1"/>
        <v>0</v>
      </c>
      <c r="N11" s="2032">
        <f t="shared" si="1"/>
        <v>0</v>
      </c>
      <c r="O11" s="2032">
        <f t="shared" si="1"/>
        <v>0</v>
      </c>
      <c r="P11" s="2033">
        <f t="shared" si="1"/>
        <v>0</v>
      </c>
      <c r="Q11" s="2875">
        <f t="shared" si="2"/>
        <v>0</v>
      </c>
      <c r="R11" s="2876">
        <f ca="1"/>
        <v>0</v>
      </c>
      <c r="T11" s="2791">
        <f t="shared" si="3"/>
        <v>0</v>
      </c>
      <c r="U11" s="2786">
        <f t="shared" si="4"/>
        <v>0</v>
      </c>
      <c r="V11" s="2786">
        <f t="shared" si="5"/>
        <v>0</v>
      </c>
      <c r="W11" s="2786">
        <f t="shared" si="5"/>
        <v>0</v>
      </c>
      <c r="X11" s="2786">
        <f t="shared" si="5"/>
        <v>0</v>
      </c>
    </row>
    <row r="12" spans="1:24">
      <c r="A12" s="2044" t="s">
        <v>572</v>
      </c>
      <c r="B12" s="2029">
        <v>0</v>
      </c>
      <c r="C12" s="2030">
        <v>12</v>
      </c>
      <c r="D12" s="2028" t="s">
        <v>921</v>
      </c>
      <c r="E12" s="2031">
        <f t="shared" si="1"/>
        <v>0</v>
      </c>
      <c r="F12" s="2032">
        <f t="shared" si="1"/>
        <v>0</v>
      </c>
      <c r="G12" s="2032">
        <f t="shared" si="1"/>
        <v>0</v>
      </c>
      <c r="H12" s="2032">
        <f t="shared" si="1"/>
        <v>0</v>
      </c>
      <c r="I12" s="2032">
        <f t="shared" si="1"/>
        <v>0</v>
      </c>
      <c r="J12" s="2032">
        <f t="shared" si="1"/>
        <v>0</v>
      </c>
      <c r="K12" s="2032">
        <f t="shared" si="1"/>
        <v>0</v>
      </c>
      <c r="L12" s="2032">
        <f t="shared" si="1"/>
        <v>0</v>
      </c>
      <c r="M12" s="2032">
        <f t="shared" si="1"/>
        <v>0</v>
      </c>
      <c r="N12" s="2032">
        <f t="shared" si="1"/>
        <v>0</v>
      </c>
      <c r="O12" s="2032">
        <f t="shared" si="1"/>
        <v>0</v>
      </c>
      <c r="P12" s="2033">
        <f t="shared" si="1"/>
        <v>0</v>
      </c>
      <c r="Q12" s="2875">
        <f t="shared" si="2"/>
        <v>0</v>
      </c>
      <c r="R12" s="2876">
        <f ca="1"/>
        <v>0</v>
      </c>
      <c r="T12" s="2791">
        <f t="shared" si="3"/>
        <v>0</v>
      </c>
      <c r="U12" s="2786">
        <f t="shared" si="4"/>
        <v>0</v>
      </c>
      <c r="V12" s="2786">
        <f t="shared" si="5"/>
        <v>0</v>
      </c>
      <c r="W12" s="2786">
        <f t="shared" si="5"/>
        <v>0</v>
      </c>
      <c r="X12" s="2786">
        <f t="shared" si="5"/>
        <v>0</v>
      </c>
    </row>
    <row r="13" spans="1:24">
      <c r="A13" s="2044" t="s">
        <v>573</v>
      </c>
      <c r="B13" s="2029">
        <v>0</v>
      </c>
      <c r="C13" s="2030">
        <v>12</v>
      </c>
      <c r="D13" s="2028" t="s">
        <v>921</v>
      </c>
      <c r="E13" s="2031">
        <f t="shared" si="1"/>
        <v>0</v>
      </c>
      <c r="F13" s="2032">
        <f t="shared" si="1"/>
        <v>0</v>
      </c>
      <c r="G13" s="2032">
        <f t="shared" si="1"/>
        <v>0</v>
      </c>
      <c r="H13" s="2032">
        <f t="shared" si="1"/>
        <v>0</v>
      </c>
      <c r="I13" s="2032">
        <f t="shared" si="1"/>
        <v>0</v>
      </c>
      <c r="J13" s="2032">
        <f t="shared" si="1"/>
        <v>0</v>
      </c>
      <c r="K13" s="2032">
        <f t="shared" si="1"/>
        <v>0</v>
      </c>
      <c r="L13" s="2032">
        <f t="shared" si="1"/>
        <v>0</v>
      </c>
      <c r="M13" s="2032">
        <f t="shared" si="1"/>
        <v>0</v>
      </c>
      <c r="N13" s="2032">
        <f t="shared" si="1"/>
        <v>0</v>
      </c>
      <c r="O13" s="2032">
        <f t="shared" si="1"/>
        <v>0</v>
      </c>
      <c r="P13" s="2033">
        <f t="shared" si="1"/>
        <v>0</v>
      </c>
      <c r="Q13" s="2875">
        <f t="shared" si="2"/>
        <v>0</v>
      </c>
      <c r="R13" s="2876">
        <f ca="1"/>
        <v>0</v>
      </c>
      <c r="T13" s="2791">
        <f t="shared" si="3"/>
        <v>0</v>
      </c>
      <c r="U13" s="2786">
        <f t="shared" si="4"/>
        <v>0</v>
      </c>
      <c r="V13" s="2786">
        <f t="shared" si="5"/>
        <v>0</v>
      </c>
      <c r="W13" s="2786">
        <f t="shared" si="5"/>
        <v>0</v>
      </c>
      <c r="X13" s="2786">
        <f t="shared" si="5"/>
        <v>0</v>
      </c>
    </row>
    <row r="14" spans="1:24">
      <c r="A14" s="2044" t="s">
        <v>1087</v>
      </c>
      <c r="B14" s="2029">
        <v>0</v>
      </c>
      <c r="C14" s="2030">
        <v>12</v>
      </c>
      <c r="D14" s="2028" t="s">
        <v>921</v>
      </c>
      <c r="E14" s="2031">
        <f t="shared" si="1"/>
        <v>0</v>
      </c>
      <c r="F14" s="2032">
        <f t="shared" si="1"/>
        <v>0</v>
      </c>
      <c r="G14" s="2032">
        <f t="shared" si="1"/>
        <v>0</v>
      </c>
      <c r="H14" s="2032">
        <f>IF(AND($C14=1,H$2=5),$B14,IF(AND($C14=1,H$2=12),-$B14))
+IF(NOT(MOD(H$2,12/$C14)),$B14,0)    *    IF(OR($D14="No",H$3),1,0)</f>
        <v>0</v>
      </c>
      <c r="I14" s="2032">
        <f t="shared" si="1"/>
        <v>0</v>
      </c>
      <c r="J14" s="2032">
        <f t="shared" si="1"/>
        <v>0</v>
      </c>
      <c r="K14" s="2032">
        <f t="shared" si="1"/>
        <v>0</v>
      </c>
      <c r="L14" s="2032">
        <f t="shared" si="1"/>
        <v>0</v>
      </c>
      <c r="M14" s="2032">
        <f t="shared" si="1"/>
        <v>0</v>
      </c>
      <c r="N14" s="2032">
        <f t="shared" si="1"/>
        <v>0</v>
      </c>
      <c r="O14" s="2032">
        <f t="shared" si="1"/>
        <v>0</v>
      </c>
      <c r="P14" s="2033">
        <f t="shared" si="1"/>
        <v>0</v>
      </c>
      <c r="Q14" s="2875">
        <f t="shared" si="2"/>
        <v>0</v>
      </c>
      <c r="R14" s="2876">
        <f ca="1"/>
        <v>0</v>
      </c>
      <c r="T14" s="2791">
        <f t="shared" si="3"/>
        <v>0</v>
      </c>
      <c r="U14" s="2786">
        <f t="shared" si="4"/>
        <v>0</v>
      </c>
      <c r="V14" s="2786">
        <f t="shared" si="5"/>
        <v>0</v>
      </c>
      <c r="W14" s="2786">
        <f t="shared" si="5"/>
        <v>0</v>
      </c>
      <c r="X14" s="2786">
        <f t="shared" si="5"/>
        <v>0</v>
      </c>
    </row>
    <row r="15" spans="1:24">
      <c r="A15" s="2044" t="s">
        <v>929</v>
      </c>
      <c r="B15" s="2029">
        <v>0</v>
      </c>
      <c r="C15" s="2030">
        <v>1</v>
      </c>
      <c r="D15" s="2028" t="s">
        <v>921</v>
      </c>
      <c r="E15" s="2031">
        <f t="shared" si="1"/>
        <v>0</v>
      </c>
      <c r="F15" s="2032">
        <f t="shared" si="1"/>
        <v>0</v>
      </c>
      <c r="G15" s="2032">
        <f t="shared" si="1"/>
        <v>0</v>
      </c>
      <c r="H15" s="2032">
        <f t="shared" si="1"/>
        <v>0</v>
      </c>
      <c r="I15" s="2032">
        <f t="shared" si="1"/>
        <v>0</v>
      </c>
      <c r="J15" s="2032">
        <f t="shared" si="1"/>
        <v>0</v>
      </c>
      <c r="K15" s="2032">
        <f t="shared" si="1"/>
        <v>0</v>
      </c>
      <c r="L15" s="2032">
        <f t="shared" si="1"/>
        <v>0</v>
      </c>
      <c r="M15" s="2032">
        <f t="shared" si="1"/>
        <v>0</v>
      </c>
      <c r="N15" s="2032">
        <f t="shared" si="1"/>
        <v>0</v>
      </c>
      <c r="O15" s="2032">
        <f t="shared" si="1"/>
        <v>0</v>
      </c>
      <c r="P15" s="2033">
        <f t="shared" si="1"/>
        <v>0</v>
      </c>
      <c r="Q15" s="2875">
        <f>SUM(E15:P15)</f>
        <v>0</v>
      </c>
      <c r="R15" s="2876">
        <f ca="1"/>
        <v>0</v>
      </c>
      <c r="T15" s="2791">
        <f t="shared" si="3"/>
        <v>0</v>
      </c>
      <c r="U15" s="2786">
        <f t="shared" si="4"/>
        <v>0</v>
      </c>
      <c r="V15" s="2786">
        <f t="shared" si="5"/>
        <v>0</v>
      </c>
      <c r="W15" s="2786">
        <f t="shared" si="5"/>
        <v>0</v>
      </c>
      <c r="X15" s="2786">
        <f t="shared" si="5"/>
        <v>0</v>
      </c>
    </row>
    <row r="16" spans="1:24">
      <c r="A16" s="2044" t="s">
        <v>475</v>
      </c>
      <c r="B16" s="2029"/>
      <c r="C16" s="2030">
        <v>12</v>
      </c>
      <c r="D16" s="2028" t="s">
        <v>921</v>
      </c>
      <c r="E16" s="2031">
        <f t="shared" ref="E16:P27" si="6">IF(AND($C16=1,E$2=5),$B16,IF(AND($C16=1,E$2=12),-$B16))
+IF(NOT(MOD(E$2,12/$C16)),$B16,0)    *    IF(OR($D16="No",E$3),1,0)</f>
        <v>0</v>
      </c>
      <c r="F16" s="2032">
        <f t="shared" si="6"/>
        <v>0</v>
      </c>
      <c r="G16" s="2032">
        <f t="shared" si="6"/>
        <v>0</v>
      </c>
      <c r="H16" s="2032">
        <f t="shared" si="6"/>
        <v>0</v>
      </c>
      <c r="I16" s="2032">
        <f t="shared" si="6"/>
        <v>0</v>
      </c>
      <c r="J16" s="2032">
        <f t="shared" si="6"/>
        <v>0</v>
      </c>
      <c r="K16" s="2032">
        <f t="shared" si="6"/>
        <v>0</v>
      </c>
      <c r="L16" s="2032">
        <f t="shared" si="6"/>
        <v>0</v>
      </c>
      <c r="M16" s="2032">
        <f t="shared" si="6"/>
        <v>0</v>
      </c>
      <c r="N16" s="2032">
        <f t="shared" si="6"/>
        <v>0</v>
      </c>
      <c r="O16" s="2032">
        <f t="shared" si="6"/>
        <v>0</v>
      </c>
      <c r="P16" s="2033">
        <f t="shared" si="6"/>
        <v>0</v>
      </c>
      <c r="Q16" s="2875">
        <f>SUM(E16:P16)</f>
        <v>0</v>
      </c>
      <c r="R16" s="2876">
        <f ca="1"/>
        <v>0</v>
      </c>
      <c r="T16" s="2791">
        <f t="shared" si="3"/>
        <v>0</v>
      </c>
      <c r="U16" s="2786">
        <f t="shared" si="4"/>
        <v>0</v>
      </c>
      <c r="V16" s="2786">
        <f t="shared" si="5"/>
        <v>0</v>
      </c>
      <c r="W16" s="2786">
        <f t="shared" si="5"/>
        <v>0</v>
      </c>
      <c r="X16" s="2786">
        <f t="shared" si="5"/>
        <v>0</v>
      </c>
    </row>
    <row r="17" spans="1:24">
      <c r="A17" s="2044" t="s">
        <v>571</v>
      </c>
      <c r="B17" s="2029"/>
      <c r="C17" s="2030">
        <v>12</v>
      </c>
      <c r="D17" s="2028" t="s">
        <v>921</v>
      </c>
      <c r="E17" s="2031">
        <f t="shared" si="6"/>
        <v>0</v>
      </c>
      <c r="F17" s="2032">
        <f t="shared" si="6"/>
        <v>0</v>
      </c>
      <c r="G17" s="2032">
        <f t="shared" si="6"/>
        <v>0</v>
      </c>
      <c r="H17" s="2032">
        <f t="shared" si="6"/>
        <v>0</v>
      </c>
      <c r="I17" s="2032">
        <f t="shared" si="6"/>
        <v>0</v>
      </c>
      <c r="J17" s="2032">
        <f t="shared" si="6"/>
        <v>0</v>
      </c>
      <c r="K17" s="2032">
        <f t="shared" si="6"/>
        <v>0</v>
      </c>
      <c r="L17" s="2032">
        <f t="shared" si="6"/>
        <v>0</v>
      </c>
      <c r="M17" s="2032">
        <f t="shared" si="6"/>
        <v>0</v>
      </c>
      <c r="N17" s="2032">
        <f t="shared" si="6"/>
        <v>0</v>
      </c>
      <c r="O17" s="2032">
        <f t="shared" si="6"/>
        <v>0</v>
      </c>
      <c r="P17" s="2033">
        <f t="shared" si="6"/>
        <v>0</v>
      </c>
      <c r="Q17" s="2875">
        <f t="shared" si="2"/>
        <v>0</v>
      </c>
      <c r="R17" s="2876">
        <f ca="1"/>
        <v>0</v>
      </c>
      <c r="T17" s="2791">
        <f t="shared" si="3"/>
        <v>0</v>
      </c>
      <c r="U17" s="2786">
        <f t="shared" si="4"/>
        <v>0</v>
      </c>
      <c r="V17" s="2786">
        <f t="shared" si="5"/>
        <v>0</v>
      </c>
      <c r="W17" s="2786">
        <f t="shared" si="5"/>
        <v>0</v>
      </c>
      <c r="X17" s="2786">
        <f t="shared" si="5"/>
        <v>0</v>
      </c>
    </row>
    <row r="18" spans="1:24">
      <c r="A18" s="2044" t="s">
        <v>685</v>
      </c>
      <c r="B18" s="2029"/>
      <c r="C18" s="2030">
        <v>12</v>
      </c>
      <c r="D18" s="2028" t="s">
        <v>921</v>
      </c>
      <c r="E18" s="2031">
        <f t="shared" si="6"/>
        <v>0</v>
      </c>
      <c r="F18" s="2032">
        <f t="shared" si="6"/>
        <v>0</v>
      </c>
      <c r="G18" s="2032">
        <f t="shared" si="6"/>
        <v>0</v>
      </c>
      <c r="H18" s="2032">
        <f t="shared" si="6"/>
        <v>0</v>
      </c>
      <c r="I18" s="2032">
        <f t="shared" si="6"/>
        <v>0</v>
      </c>
      <c r="J18" s="2032">
        <f t="shared" si="6"/>
        <v>0</v>
      </c>
      <c r="K18" s="2032">
        <f t="shared" si="6"/>
        <v>0</v>
      </c>
      <c r="L18" s="2032">
        <f t="shared" si="6"/>
        <v>0</v>
      </c>
      <c r="M18" s="2032">
        <f t="shared" si="6"/>
        <v>0</v>
      </c>
      <c r="N18" s="2032">
        <f t="shared" si="6"/>
        <v>0</v>
      </c>
      <c r="O18" s="2032">
        <f t="shared" si="6"/>
        <v>0</v>
      </c>
      <c r="P18" s="2033">
        <f t="shared" si="6"/>
        <v>0</v>
      </c>
      <c r="Q18" s="2875">
        <f t="shared" si="2"/>
        <v>0</v>
      </c>
      <c r="R18" s="2876">
        <f ca="1"/>
        <v>0</v>
      </c>
      <c r="T18" s="2791">
        <f t="shared" si="3"/>
        <v>0</v>
      </c>
      <c r="U18" s="2786">
        <f t="shared" si="4"/>
        <v>0</v>
      </c>
      <c r="V18" s="2786">
        <f t="shared" si="5"/>
        <v>0</v>
      </c>
      <c r="W18" s="2786">
        <f t="shared" si="5"/>
        <v>0</v>
      </c>
      <c r="X18" s="2786">
        <f t="shared" si="5"/>
        <v>0</v>
      </c>
    </row>
    <row r="19" spans="1:24">
      <c r="A19" s="2044" t="s">
        <v>476</v>
      </c>
      <c r="B19" s="2029"/>
      <c r="C19" s="2030">
        <v>12</v>
      </c>
      <c r="D19" s="2028" t="s">
        <v>921</v>
      </c>
      <c r="E19" s="2031">
        <f t="shared" si="6"/>
        <v>0</v>
      </c>
      <c r="F19" s="2032">
        <f t="shared" si="6"/>
        <v>0</v>
      </c>
      <c r="G19" s="2032">
        <f t="shared" si="6"/>
        <v>0</v>
      </c>
      <c r="H19" s="2032">
        <f t="shared" si="6"/>
        <v>0</v>
      </c>
      <c r="I19" s="2032">
        <f t="shared" si="6"/>
        <v>0</v>
      </c>
      <c r="J19" s="2032">
        <f t="shared" si="6"/>
        <v>0</v>
      </c>
      <c r="K19" s="2032">
        <f t="shared" si="6"/>
        <v>0</v>
      </c>
      <c r="L19" s="2032">
        <f t="shared" si="6"/>
        <v>0</v>
      </c>
      <c r="M19" s="2032">
        <f t="shared" si="6"/>
        <v>0</v>
      </c>
      <c r="N19" s="2032">
        <f t="shared" si="6"/>
        <v>0</v>
      </c>
      <c r="O19" s="2032">
        <f t="shared" si="6"/>
        <v>0</v>
      </c>
      <c r="P19" s="2033">
        <f t="shared" si="6"/>
        <v>0</v>
      </c>
      <c r="Q19" s="2875">
        <f t="shared" si="2"/>
        <v>0</v>
      </c>
      <c r="R19" s="2876">
        <f ca="1"/>
        <v>0</v>
      </c>
      <c r="T19" s="2791">
        <f t="shared" si="3"/>
        <v>0</v>
      </c>
      <c r="U19" s="2786">
        <f t="shared" si="4"/>
        <v>0</v>
      </c>
      <c r="V19" s="2786">
        <f t="shared" si="5"/>
        <v>0</v>
      </c>
      <c r="W19" s="2786">
        <f t="shared" si="5"/>
        <v>0</v>
      </c>
      <c r="X19" s="2786">
        <f t="shared" si="5"/>
        <v>0</v>
      </c>
    </row>
    <row r="20" spans="1:24">
      <c r="A20" s="2044" t="s">
        <v>704</v>
      </c>
      <c r="B20" s="2029"/>
      <c r="C20" s="2030">
        <v>12</v>
      </c>
      <c r="D20" s="2028" t="s">
        <v>921</v>
      </c>
      <c r="E20" s="2031">
        <f t="shared" si="6"/>
        <v>0</v>
      </c>
      <c r="F20" s="2032">
        <f t="shared" si="6"/>
        <v>0</v>
      </c>
      <c r="G20" s="2032">
        <f t="shared" si="6"/>
        <v>0</v>
      </c>
      <c r="H20" s="2032">
        <f t="shared" si="6"/>
        <v>0</v>
      </c>
      <c r="I20" s="2032">
        <f t="shared" si="6"/>
        <v>0</v>
      </c>
      <c r="J20" s="2032">
        <f t="shared" si="6"/>
        <v>0</v>
      </c>
      <c r="K20" s="2032">
        <f t="shared" si="6"/>
        <v>0</v>
      </c>
      <c r="L20" s="2032">
        <f t="shared" si="6"/>
        <v>0</v>
      </c>
      <c r="M20" s="2032">
        <f t="shared" si="6"/>
        <v>0</v>
      </c>
      <c r="N20" s="2032">
        <f t="shared" si="6"/>
        <v>0</v>
      </c>
      <c r="O20" s="2032">
        <f t="shared" si="6"/>
        <v>0</v>
      </c>
      <c r="P20" s="2033">
        <f t="shared" si="6"/>
        <v>0</v>
      </c>
      <c r="Q20" s="2875">
        <f t="shared" si="2"/>
        <v>0</v>
      </c>
      <c r="R20" s="2876">
        <f ca="1"/>
        <v>0</v>
      </c>
      <c r="T20" s="2791">
        <f t="shared" si="3"/>
        <v>0</v>
      </c>
      <c r="U20" s="2786">
        <f t="shared" si="4"/>
        <v>0</v>
      </c>
      <c r="V20" s="2786">
        <f t="shared" si="5"/>
        <v>0</v>
      </c>
      <c r="W20" s="2786">
        <f t="shared" si="5"/>
        <v>0</v>
      </c>
      <c r="X20" s="2786">
        <f t="shared" si="5"/>
        <v>0</v>
      </c>
    </row>
    <row r="21" spans="1:24">
      <c r="A21" s="2044" t="s">
        <v>570</v>
      </c>
      <c r="B21" s="2029"/>
      <c r="C21" s="2030">
        <v>12</v>
      </c>
      <c r="D21" s="2028" t="s">
        <v>921</v>
      </c>
      <c r="E21" s="2031">
        <f t="shared" si="6"/>
        <v>0</v>
      </c>
      <c r="F21" s="2032">
        <f t="shared" si="6"/>
        <v>0</v>
      </c>
      <c r="G21" s="2032">
        <f t="shared" si="6"/>
        <v>0</v>
      </c>
      <c r="H21" s="2032">
        <f t="shared" si="6"/>
        <v>0</v>
      </c>
      <c r="I21" s="2032">
        <f t="shared" si="6"/>
        <v>0</v>
      </c>
      <c r="J21" s="2032">
        <f t="shared" si="6"/>
        <v>0</v>
      </c>
      <c r="K21" s="2032">
        <f t="shared" si="6"/>
        <v>0</v>
      </c>
      <c r="L21" s="2032">
        <f t="shared" si="6"/>
        <v>0</v>
      </c>
      <c r="M21" s="2032">
        <f t="shared" si="6"/>
        <v>0</v>
      </c>
      <c r="N21" s="2032">
        <f t="shared" si="6"/>
        <v>0</v>
      </c>
      <c r="O21" s="2032">
        <f t="shared" si="6"/>
        <v>0</v>
      </c>
      <c r="P21" s="2033">
        <f t="shared" si="6"/>
        <v>0</v>
      </c>
      <c r="Q21" s="2875">
        <f t="shared" si="2"/>
        <v>0</v>
      </c>
      <c r="R21" s="2876">
        <f ca="1"/>
        <v>0</v>
      </c>
      <c r="T21" s="2791">
        <f t="shared" si="3"/>
        <v>0</v>
      </c>
      <c r="U21" s="2786">
        <f t="shared" si="4"/>
        <v>0</v>
      </c>
      <c r="V21" s="2786">
        <f t="shared" si="5"/>
        <v>0</v>
      </c>
      <c r="W21" s="2786">
        <f t="shared" si="5"/>
        <v>0</v>
      </c>
      <c r="X21" s="2786">
        <f t="shared" si="5"/>
        <v>0</v>
      </c>
    </row>
    <row r="22" spans="1:24">
      <c r="A22" s="2044" t="s">
        <v>1205</v>
      </c>
      <c r="B22" s="2916">
        <f ca="1">+'Gastos de marketing'!F7/C22</f>
        <v>45.804924242424242</v>
      </c>
      <c r="C22" s="2030">
        <v>12</v>
      </c>
      <c r="D22" s="2028" t="s">
        <v>265</v>
      </c>
      <c r="E22" s="2031">
        <f t="shared" ca="1" si="6"/>
        <v>45.804924242424242</v>
      </c>
      <c r="F22" s="2032">
        <f t="shared" ca="1" si="6"/>
        <v>45.804924242424242</v>
      </c>
      <c r="G22" s="2032">
        <f t="shared" ca="1" si="6"/>
        <v>45.804924242424242</v>
      </c>
      <c r="H22" s="2032">
        <f t="shared" ca="1" si="6"/>
        <v>45.804924242424242</v>
      </c>
      <c r="I22" s="2032">
        <f t="shared" ca="1" si="6"/>
        <v>45.804924242424242</v>
      </c>
      <c r="J22" s="2032">
        <f t="shared" ca="1" si="6"/>
        <v>45.804924242424242</v>
      </c>
      <c r="K22" s="2032">
        <f t="shared" ca="1" si="6"/>
        <v>45.804924242424242</v>
      </c>
      <c r="L22" s="2032">
        <f t="shared" ca="1" si="6"/>
        <v>45.804924242424242</v>
      </c>
      <c r="M22" s="2032">
        <f t="shared" ca="1" si="6"/>
        <v>45.804924242424242</v>
      </c>
      <c r="N22" s="2032">
        <f t="shared" ca="1" si="6"/>
        <v>45.804924242424242</v>
      </c>
      <c r="O22" s="2032">
        <f t="shared" ca="1" si="6"/>
        <v>45.804924242424242</v>
      </c>
      <c r="P22" s="2033">
        <f t="shared" ca="1" si="6"/>
        <v>45.804924242424242</v>
      </c>
      <c r="Q22" s="2875">
        <f t="shared" ca="1" si="2"/>
        <v>549.65909090909088</v>
      </c>
      <c r="R22" s="2876">
        <f ca="1"/>
        <v>0.45454545454545453</v>
      </c>
      <c r="T22" s="2791">
        <f t="shared" ca="1" si="3"/>
        <v>549.65909090909088</v>
      </c>
      <c r="U22" s="2916">
        <f ca="1">'Gastos de marketing'!H7</f>
        <v>773.5</v>
      </c>
      <c r="V22" s="2916">
        <f ca="1">'Gastos de marketing'!J7</f>
        <v>796.70500000000004</v>
      </c>
      <c r="W22" s="2916">
        <f ca="1">'Gastos de marketing'!L7</f>
        <v>820.60615000000007</v>
      </c>
      <c r="X22" s="2916">
        <f ca="1">'Gastos de marketing'!N7</f>
        <v>845.22433450000017</v>
      </c>
    </row>
    <row r="23" spans="1:24">
      <c r="A23" s="2044" t="s">
        <v>1206</v>
      </c>
      <c r="B23" s="2916">
        <f>'Gastos de marketing'!C11</f>
        <v>0</v>
      </c>
      <c r="C23" s="2931">
        <f>'Gastos de marketing'!B11</f>
        <v>1</v>
      </c>
      <c r="D23" s="2028" t="s">
        <v>265</v>
      </c>
      <c r="E23" s="2031">
        <f t="shared" si="6"/>
        <v>0</v>
      </c>
      <c r="F23" s="2032">
        <f t="shared" si="6"/>
        <v>0</v>
      </c>
      <c r="G23" s="2032">
        <f t="shared" si="6"/>
        <v>0</v>
      </c>
      <c r="H23" s="2032">
        <f t="shared" si="6"/>
        <v>0</v>
      </c>
      <c r="I23" s="2032">
        <f t="shared" si="6"/>
        <v>0</v>
      </c>
      <c r="J23" s="2032">
        <f t="shared" si="6"/>
        <v>0</v>
      </c>
      <c r="K23" s="2032">
        <f t="shared" si="6"/>
        <v>0</v>
      </c>
      <c r="L23" s="2032">
        <f t="shared" si="6"/>
        <v>0</v>
      </c>
      <c r="M23" s="2032">
        <f t="shared" si="6"/>
        <v>0</v>
      </c>
      <c r="N23" s="2032">
        <f t="shared" si="6"/>
        <v>0</v>
      </c>
      <c r="O23" s="2032">
        <f t="shared" si="6"/>
        <v>0</v>
      </c>
      <c r="P23" s="2033">
        <f t="shared" si="6"/>
        <v>0</v>
      </c>
      <c r="Q23" s="2875">
        <f t="shared" ref="Q23" si="7">SUM(E23:P23)</f>
        <v>0</v>
      </c>
      <c r="R23" s="2876">
        <f ca="1"/>
        <v>0</v>
      </c>
      <c r="T23" s="2791"/>
      <c r="U23" s="2916">
        <f>'Gastos de marketing'!H11</f>
        <v>0</v>
      </c>
      <c r="V23" s="2916">
        <f>'Gastos de marketing'!J11</f>
        <v>0</v>
      </c>
      <c r="W23" s="2916">
        <f>'Gastos de marketing'!L11</f>
        <v>0</v>
      </c>
      <c r="X23" s="2916">
        <f>'Gastos de marketing'!N11</f>
        <v>0</v>
      </c>
    </row>
    <row r="24" spans="1:24">
      <c r="A24" s="2044" t="s">
        <v>1207</v>
      </c>
      <c r="B24" s="2916">
        <f ca="1">'Gastos de marketing'!F8/C24</f>
        <v>45.804924242424242</v>
      </c>
      <c r="C24" s="2030">
        <v>12</v>
      </c>
      <c r="D24" s="2028" t="s">
        <v>265</v>
      </c>
      <c r="E24" s="2031">
        <f t="shared" ca="1" si="6"/>
        <v>45.804924242424242</v>
      </c>
      <c r="F24" s="2032">
        <f t="shared" ca="1" si="6"/>
        <v>45.804924242424242</v>
      </c>
      <c r="G24" s="2032">
        <f t="shared" ca="1" si="6"/>
        <v>45.804924242424242</v>
      </c>
      <c r="H24" s="2032">
        <f t="shared" ca="1" si="6"/>
        <v>45.804924242424242</v>
      </c>
      <c r="I24" s="2032">
        <f t="shared" ca="1" si="6"/>
        <v>45.804924242424242</v>
      </c>
      <c r="J24" s="2032">
        <f t="shared" ca="1" si="6"/>
        <v>45.804924242424242</v>
      </c>
      <c r="K24" s="2032">
        <f t="shared" ca="1" si="6"/>
        <v>45.804924242424242</v>
      </c>
      <c r="L24" s="2032">
        <f t="shared" ca="1" si="6"/>
        <v>45.804924242424242</v>
      </c>
      <c r="M24" s="2032">
        <f t="shared" ca="1" si="6"/>
        <v>45.804924242424242</v>
      </c>
      <c r="N24" s="2032">
        <f t="shared" ca="1" si="6"/>
        <v>45.804924242424242</v>
      </c>
      <c r="O24" s="2032">
        <f t="shared" ca="1" si="6"/>
        <v>45.804924242424242</v>
      </c>
      <c r="P24" s="2033">
        <f t="shared" ca="1" si="6"/>
        <v>45.804924242424242</v>
      </c>
      <c r="Q24" s="2875">
        <f ca="1">SUM(E24:P24)</f>
        <v>549.65909090909088</v>
      </c>
      <c r="R24" s="2876">
        <f ca="1"/>
        <v>0.45454545454545453</v>
      </c>
      <c r="T24" s="2791"/>
      <c r="U24" s="2916">
        <f ca="1">'Gastos de marketing'!H8</f>
        <v>773.5</v>
      </c>
      <c r="V24" s="2916">
        <f ca="1">'Gastos de marketing'!J8</f>
        <v>796.70500000000004</v>
      </c>
      <c r="W24" s="2916">
        <f ca="1">'Gastos de marketing'!L8</f>
        <v>820.60615000000007</v>
      </c>
      <c r="X24" s="2916">
        <f ca="1">'Gastos de marketing'!N8</f>
        <v>845.22433450000017</v>
      </c>
    </row>
    <row r="25" spans="1:24">
      <c r="A25" s="2044" t="s">
        <v>1208</v>
      </c>
      <c r="B25" s="2916">
        <f>'Gastos de marketing'!C12</f>
        <v>0</v>
      </c>
      <c r="C25" s="2931">
        <f>'Gastos de marketing'!B12</f>
        <v>3</v>
      </c>
      <c r="D25" s="2028" t="s">
        <v>265</v>
      </c>
      <c r="E25" s="2031">
        <f t="shared" si="6"/>
        <v>0</v>
      </c>
      <c r="F25" s="2032">
        <f t="shared" si="6"/>
        <v>0</v>
      </c>
      <c r="G25" s="2032">
        <f t="shared" si="6"/>
        <v>0</v>
      </c>
      <c r="H25" s="2032">
        <f t="shared" si="6"/>
        <v>0</v>
      </c>
      <c r="I25" s="2032">
        <f t="shared" si="6"/>
        <v>0</v>
      </c>
      <c r="J25" s="2032">
        <f t="shared" si="6"/>
        <v>0</v>
      </c>
      <c r="K25" s="2032">
        <f t="shared" si="6"/>
        <v>0</v>
      </c>
      <c r="L25" s="2032">
        <f t="shared" si="6"/>
        <v>0</v>
      </c>
      <c r="M25" s="2032">
        <f t="shared" si="6"/>
        <v>0</v>
      </c>
      <c r="N25" s="2032">
        <f t="shared" si="6"/>
        <v>0</v>
      </c>
      <c r="O25" s="2032">
        <f t="shared" si="6"/>
        <v>0</v>
      </c>
      <c r="P25" s="2033">
        <f t="shared" si="6"/>
        <v>0</v>
      </c>
      <c r="Q25" s="2875">
        <f t="shared" ref="Q25" si="8">SUM(E25:P25)</f>
        <v>0</v>
      </c>
      <c r="R25" s="2876">
        <f ca="1"/>
        <v>0</v>
      </c>
      <c r="T25" s="2791"/>
      <c r="U25" s="2916">
        <f>'Gastos de marketing'!H12</f>
        <v>0</v>
      </c>
      <c r="V25" s="2916">
        <f>'Gastos de marketing'!J12</f>
        <v>0</v>
      </c>
      <c r="W25" s="2916">
        <f>'Gastos de marketing'!L12</f>
        <v>0</v>
      </c>
      <c r="X25" s="2916">
        <f>'Gastos de marketing'!N12</f>
        <v>0</v>
      </c>
    </row>
    <row r="26" spans="1:24">
      <c r="A26" s="2044" t="s">
        <v>1085</v>
      </c>
      <c r="B26" s="2029">
        <v>0</v>
      </c>
      <c r="C26" s="2030">
        <v>12</v>
      </c>
      <c r="D26" s="2028" t="s">
        <v>921</v>
      </c>
      <c r="E26" s="2031">
        <f t="shared" si="6"/>
        <v>0</v>
      </c>
      <c r="F26" s="2032">
        <f t="shared" si="6"/>
        <v>0</v>
      </c>
      <c r="G26" s="2032">
        <f t="shared" si="6"/>
        <v>0</v>
      </c>
      <c r="H26" s="2032">
        <f t="shared" si="6"/>
        <v>0</v>
      </c>
      <c r="I26" s="2032">
        <f t="shared" si="6"/>
        <v>0</v>
      </c>
      <c r="J26" s="2032">
        <f t="shared" si="6"/>
        <v>0</v>
      </c>
      <c r="K26" s="2032">
        <f t="shared" si="6"/>
        <v>0</v>
      </c>
      <c r="L26" s="2032">
        <f t="shared" si="6"/>
        <v>0</v>
      </c>
      <c r="M26" s="2032">
        <f t="shared" si="6"/>
        <v>0</v>
      </c>
      <c r="N26" s="2032">
        <f t="shared" si="6"/>
        <v>0</v>
      </c>
      <c r="O26" s="2032">
        <f t="shared" si="6"/>
        <v>0</v>
      </c>
      <c r="P26" s="2033">
        <f t="shared" si="6"/>
        <v>0</v>
      </c>
      <c r="Q26" s="2875">
        <f t="shared" si="2"/>
        <v>0</v>
      </c>
      <c r="R26" s="2876">
        <f ca="1"/>
        <v>0</v>
      </c>
      <c r="T26" s="2791">
        <f t="shared" si="3"/>
        <v>0</v>
      </c>
      <c r="U26" s="2786">
        <f t="shared" si="4"/>
        <v>0</v>
      </c>
      <c r="V26" s="2786">
        <f>'Gastos de marketing'!J12</f>
        <v>0</v>
      </c>
      <c r="W26" s="2786">
        <f>'Gastos de marketing'!L12</f>
        <v>0</v>
      </c>
      <c r="X26" s="2786">
        <f>'Gastos de marketing'!N12</f>
        <v>0</v>
      </c>
    </row>
    <row r="27" spans="1:24" ht="15.75" thickBot="1">
      <c r="A27" s="2044" t="s">
        <v>564</v>
      </c>
      <c r="B27" s="2029">
        <f ca="1">SUM(Q6:Q26)/C27*10%</f>
        <v>9.1609848484848495</v>
      </c>
      <c r="C27" s="2030">
        <v>12</v>
      </c>
      <c r="D27" s="2028" t="s">
        <v>921</v>
      </c>
      <c r="E27" s="2031">
        <f t="shared" ca="1" si="6"/>
        <v>9.1609848484848495</v>
      </c>
      <c r="F27" s="2032">
        <f t="shared" ca="1" si="6"/>
        <v>9.1609848484848495</v>
      </c>
      <c r="G27" s="2032">
        <f t="shared" ca="1" si="6"/>
        <v>9.1609848484848495</v>
      </c>
      <c r="H27" s="2032">
        <f t="shared" ca="1" si="6"/>
        <v>9.1609848484848495</v>
      </c>
      <c r="I27" s="2032">
        <f t="shared" ca="1" si="6"/>
        <v>9.1609848484848495</v>
      </c>
      <c r="J27" s="2032">
        <f t="shared" ca="1" si="6"/>
        <v>9.1609848484848495</v>
      </c>
      <c r="K27" s="2032">
        <f t="shared" ca="1" si="6"/>
        <v>9.1609848484848495</v>
      </c>
      <c r="L27" s="2032">
        <f t="shared" ca="1" si="6"/>
        <v>9.1609848484848495</v>
      </c>
      <c r="M27" s="2032">
        <f t="shared" ca="1" si="6"/>
        <v>9.1609848484848495</v>
      </c>
      <c r="N27" s="2032">
        <f t="shared" ca="1" si="6"/>
        <v>9.1609848484848495</v>
      </c>
      <c r="O27" s="2032">
        <f t="shared" ca="1" si="6"/>
        <v>9.1609848484848495</v>
      </c>
      <c r="P27" s="2033">
        <f t="shared" ca="1" si="6"/>
        <v>9.1609848484848495</v>
      </c>
      <c r="Q27" s="2875">
        <f t="shared" ca="1" si="2"/>
        <v>109.93181818181817</v>
      </c>
      <c r="R27" s="2876">
        <f ca="1"/>
        <v>9.0909090909090898E-2</v>
      </c>
      <c r="T27" s="2791">
        <f t="shared" ca="1" si="3"/>
        <v>109.93181818181817</v>
      </c>
      <c r="U27" s="2786">
        <f t="shared" ca="1" si="4"/>
        <v>114.32909090909091</v>
      </c>
      <c r="V27" s="2786">
        <f t="shared" ca="1" si="5"/>
        <v>118.90225454545455</v>
      </c>
      <c r="W27" s="2786">
        <f t="shared" ca="1" si="5"/>
        <v>123.65834472727273</v>
      </c>
      <c r="X27" s="2786">
        <f t="shared" ca="1" si="5"/>
        <v>128.60467851636363</v>
      </c>
    </row>
    <row r="28" spans="1:24" ht="15.75" thickBot="1">
      <c r="A28" s="2034" t="s">
        <v>153</v>
      </c>
      <c r="B28" s="2035"/>
      <c r="C28" s="2036"/>
      <c r="D28" s="2037"/>
      <c r="E28" s="2038">
        <f t="shared" ref="E28:Q28" ca="1" si="9">SUM(E6:E27)</f>
        <v>100.77083333333333</v>
      </c>
      <c r="F28" s="2039">
        <f t="shared" ca="1" si="9"/>
        <v>100.77083333333333</v>
      </c>
      <c r="G28" s="2039">
        <f t="shared" ca="1" si="9"/>
        <v>100.77083333333333</v>
      </c>
      <c r="H28" s="2039">
        <f t="shared" ca="1" si="9"/>
        <v>100.77083333333333</v>
      </c>
      <c r="I28" s="2039">
        <f t="shared" ca="1" si="9"/>
        <v>100.77083333333333</v>
      </c>
      <c r="J28" s="2039">
        <f t="shared" ca="1" si="9"/>
        <v>100.77083333333333</v>
      </c>
      <c r="K28" s="2039">
        <f t="shared" ca="1" si="9"/>
        <v>100.77083333333333</v>
      </c>
      <c r="L28" s="2039">
        <f t="shared" ca="1" si="9"/>
        <v>100.77083333333333</v>
      </c>
      <c r="M28" s="2039">
        <f t="shared" ca="1" si="9"/>
        <v>100.77083333333333</v>
      </c>
      <c r="N28" s="2039">
        <f t="shared" ca="1" si="9"/>
        <v>100.77083333333333</v>
      </c>
      <c r="O28" s="2039">
        <f t="shared" ca="1" si="9"/>
        <v>100.77083333333333</v>
      </c>
      <c r="P28" s="2040">
        <f t="shared" ca="1" si="9"/>
        <v>100.77083333333333</v>
      </c>
      <c r="Q28" s="2877">
        <f t="shared" ca="1" si="9"/>
        <v>1209.25</v>
      </c>
      <c r="R28" s="2878">
        <f ca="1">SUM(R6:R27)</f>
        <v>1</v>
      </c>
      <c r="T28" s="2792">
        <f ca="1">SUM(T6:T27)</f>
        <v>659.59090909090901</v>
      </c>
      <c r="U28" s="2787">
        <f ca="1">SUM(U6:U27)</f>
        <v>1661.3290909090908</v>
      </c>
      <c r="V28" s="2788">
        <f ca="1">SUM(V6:V27)</f>
        <v>1712.3122545454546</v>
      </c>
      <c r="W28" s="2789">
        <f ca="1">SUM(W6:W27)</f>
        <v>1764.870644727273</v>
      </c>
      <c r="X28" s="2789">
        <f ca="1">SUM(X6:X27)</f>
        <v>1819.0533475163641</v>
      </c>
    </row>
    <row r="29" spans="1:24" ht="15.75" thickTop="1"/>
    <row r="30" spans="1:24" ht="15.75" thickBot="1"/>
    <row r="31" spans="1:24" ht="15.75" thickBot="1">
      <c r="A31" s="68" t="s">
        <v>381</v>
      </c>
      <c r="B31" s="62"/>
      <c r="C31" s="63"/>
      <c r="D31" s="348"/>
    </row>
    <row r="32" spans="1:24" ht="15.75" thickBot="1">
      <c r="A32" s="64"/>
      <c r="B32" s="65" t="s">
        <v>309</v>
      </c>
      <c r="C32" s="66">
        <v>2</v>
      </c>
      <c r="D32" s="348"/>
    </row>
    <row r="33" spans="1:4" ht="15.75" thickBot="1">
      <c r="A33" s="64"/>
      <c r="B33" s="65" t="s">
        <v>257</v>
      </c>
      <c r="C33" s="66">
        <v>3</v>
      </c>
      <c r="D33" s="348"/>
    </row>
  </sheetData>
  <sheetProtection sheet="1" objects="1" scenarios="1"/>
  <phoneticPr fontId="6" type="noConversion"/>
  <dataValidations xWindow="150" yWindow="524" count="5">
    <dataValidation allowBlank="1" showInputMessage="1" showErrorMessage="1" prompt="En esta hoja de gastos fijos para el año 0 se pueden modificar las etiquetas de las distintas partidas de gastos fijos y automáticamente se transladarán a las hojas de gastos fijos de los otros dos años." sqref="A1 A6:A27" xr:uid="{00000000-0002-0000-1100-000000000000}"/>
    <dataValidation type="whole" allowBlank="1" showInputMessage="1" showErrorMessage="1" sqref="C32:C33" xr:uid="{00000000-0002-0000-1100-000001000000}">
      <formula1>0</formula1>
      <formula2>12</formula2>
    </dataValidation>
    <dataValidation allowBlank="1" showInputMessage="1" showErrorMessage="1" prompt="Tipo de IPC o inflacción anual prevista (entre el 0% y el 8%)" sqref="T6:X27" xr:uid="{00000000-0002-0000-1100-000002000000}"/>
    <dataValidation type="list" allowBlank="1" showInputMessage="1" showErrorMessage="1" sqref="C6:C27" xr:uid="{00000000-0002-0000-1100-000003000000}">
      <formula1>"12,6,4,3,2,1"</formula1>
    </dataValidation>
    <dataValidation type="list" allowBlank="1" showInputMessage="1" showErrorMessage="1" sqref="D6:D27" xr:uid="{00000000-0002-0000-1100-000004000000}">
      <formula1>"Sí,No"</formula1>
    </dataValidation>
  </dataValidations>
  <printOptions horizontalCentered="1"/>
  <pageMargins left="0.43307086614173229" right="0.74803149606299213" top="0.62" bottom="0.42" header="0" footer="0"/>
  <pageSetup paperSize="9" orientation="landscape" horizontalDpi="300" r:id="rId1"/>
  <headerFooter alignWithMargins="0">
    <oddFooter>&amp;C&amp;"Tahoma,Normal"&amp;10&amp;A</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58">
    <tabColor indexed="50"/>
    <pageSetUpPr fitToPage="1"/>
  </sheetPr>
  <dimension ref="A1:K64"/>
  <sheetViews>
    <sheetView workbookViewId="0"/>
  </sheetViews>
  <sheetFormatPr baseColWidth="10" defaultColWidth="11" defaultRowHeight="15"/>
  <cols>
    <col min="1" max="1" width="26.25" style="35" customWidth="1"/>
    <col min="2" max="10" width="10" style="35" customWidth="1"/>
    <col min="11" max="11" width="10.875" style="35" customWidth="1"/>
    <col min="12" max="16384" width="11" style="35"/>
  </cols>
  <sheetData>
    <row r="1" spans="1:11" s="98" customFormat="1" ht="22.5">
      <c r="A1" s="67" t="s">
        <v>242</v>
      </c>
      <c r="B1" s="67"/>
      <c r="C1" s="67"/>
      <c r="D1" s="67"/>
      <c r="E1" s="67"/>
    </row>
    <row r="2" spans="1:11" s="98" customFormat="1" ht="22.5">
      <c r="A2" s="67" t="s">
        <v>243</v>
      </c>
      <c r="B2" s="67"/>
      <c r="C2" s="67"/>
      <c r="D2" s="67"/>
      <c r="E2" s="67"/>
    </row>
    <row r="3" spans="1:11" s="98" customFormat="1" ht="22.5">
      <c r="A3" s="67" t="str">
        <f>'Datos Básicos'!B9</f>
        <v>nombre empresa</v>
      </c>
      <c r="B3" s="67"/>
      <c r="C3" s="67"/>
      <c r="D3" s="67"/>
      <c r="E3" s="67"/>
    </row>
    <row r="4" spans="1:11" s="98" customFormat="1" ht="20.25" customHeight="1">
      <c r="A4" s="67"/>
      <c r="B4" s="67"/>
      <c r="C4" s="67"/>
      <c r="D4" s="67"/>
      <c r="E4" s="67"/>
    </row>
    <row r="5" spans="1:11" s="98" customFormat="1" ht="23.25" thickBot="1">
      <c r="A5" s="67" t="s">
        <v>404</v>
      </c>
      <c r="B5" s="67"/>
      <c r="C5" s="67"/>
    </row>
    <row r="6" spans="1:11" ht="44.25" customHeight="1" thickBot="1">
      <c r="A6" s="1765" t="s">
        <v>137</v>
      </c>
      <c r="B6" s="393" t="str">
        <f>+Parametros!B77</f>
        <v>Año 0:  2026</v>
      </c>
      <c r="C6" s="402" t="str">
        <f>+Parametros!C77</f>
        <v>Año 1:  2027</v>
      </c>
      <c r="D6" s="401"/>
      <c r="E6" s="402" t="str">
        <f>+Parametros!D77</f>
        <v>Año 2:  2028</v>
      </c>
      <c r="F6" s="401"/>
      <c r="G6" s="402" t="str">
        <f>+Parametros!E77</f>
        <v>Año 3:  2029</v>
      </c>
      <c r="H6" s="401"/>
      <c r="I6" s="402" t="str">
        <f>+Parametros!F77</f>
        <v>Año 4:  2030</v>
      </c>
      <c r="J6" s="401"/>
      <c r="K6" s="98"/>
    </row>
    <row r="7" spans="1:11" s="48" customFormat="1" ht="17.25" customHeight="1">
      <c r="A7" s="1361" t="s">
        <v>1294</v>
      </c>
      <c r="B7" s="2795">
        <v>3.5</v>
      </c>
      <c r="C7" s="403">
        <v>0</v>
      </c>
      <c r="D7" s="3232">
        <f t="array" ref="D7:D14">B7:B14*(1+C7:C14)</f>
        <v>3.5</v>
      </c>
      <c r="E7" s="403">
        <f>C7</f>
        <v>0</v>
      </c>
      <c r="F7" s="3232">
        <f t="array" ref="F7:F14">D7:D14*(1+E7:E14)</f>
        <v>3.5</v>
      </c>
      <c r="G7" s="403">
        <f t="shared" ref="G7:G14" si="0">E7</f>
        <v>0</v>
      </c>
      <c r="H7" s="3232">
        <f t="array" ref="H7:H14">F7:F14*(1+G7:G14)</f>
        <v>3.5</v>
      </c>
      <c r="I7" s="403">
        <f>G7</f>
        <v>0</v>
      </c>
      <c r="J7" s="3232">
        <f t="array" ref="J7:J14">H7:H14*(1+I7:I14)</f>
        <v>3.5</v>
      </c>
      <c r="K7" s="98"/>
    </row>
    <row r="8" spans="1:11" s="48" customFormat="1" ht="17.25" customHeight="1">
      <c r="A8" s="52"/>
      <c r="B8" s="2793">
        <v>0</v>
      </c>
      <c r="C8" s="404">
        <f t="shared" ref="C8:C14" si="1">C7</f>
        <v>0</v>
      </c>
      <c r="D8" s="3233">
        <v>0</v>
      </c>
      <c r="E8" s="404">
        <f t="shared" ref="E8:E14" si="2">E7</f>
        <v>0</v>
      </c>
      <c r="F8" s="3233">
        <v>0</v>
      </c>
      <c r="G8" s="404">
        <f t="shared" si="0"/>
        <v>0</v>
      </c>
      <c r="H8" s="3233">
        <v>0</v>
      </c>
      <c r="I8" s="404">
        <f t="shared" ref="I8:I14" si="3">I7</f>
        <v>0</v>
      </c>
      <c r="J8" s="3233">
        <v>0</v>
      </c>
      <c r="K8" s="35"/>
    </row>
    <row r="9" spans="1:11" s="48" customFormat="1" ht="17.25" customHeight="1">
      <c r="A9" s="52"/>
      <c r="B9" s="2793"/>
      <c r="C9" s="404">
        <f t="shared" si="1"/>
        <v>0</v>
      </c>
      <c r="D9" s="3233">
        <v>0</v>
      </c>
      <c r="E9" s="404">
        <f t="shared" si="2"/>
        <v>0</v>
      </c>
      <c r="F9" s="3233">
        <v>0</v>
      </c>
      <c r="G9" s="404">
        <f t="shared" si="0"/>
        <v>0</v>
      </c>
      <c r="H9" s="3233">
        <v>0</v>
      </c>
      <c r="I9" s="404">
        <f t="shared" si="3"/>
        <v>0</v>
      </c>
      <c r="J9" s="3233">
        <v>0</v>
      </c>
      <c r="K9" s="35"/>
    </row>
    <row r="10" spans="1:11" s="48" customFormat="1" ht="17.25" customHeight="1">
      <c r="A10" s="52"/>
      <c r="B10" s="2793"/>
      <c r="C10" s="404">
        <f t="shared" si="1"/>
        <v>0</v>
      </c>
      <c r="D10" s="3233">
        <v>0</v>
      </c>
      <c r="E10" s="404">
        <f t="shared" si="2"/>
        <v>0</v>
      </c>
      <c r="F10" s="3233">
        <v>0</v>
      </c>
      <c r="G10" s="404">
        <f t="shared" si="0"/>
        <v>0</v>
      </c>
      <c r="H10" s="3233">
        <v>0</v>
      </c>
      <c r="I10" s="404">
        <f t="shared" si="3"/>
        <v>0</v>
      </c>
      <c r="J10" s="3233">
        <v>0</v>
      </c>
      <c r="K10" s="35"/>
    </row>
    <row r="11" spans="1:11" s="48" customFormat="1" ht="17.25" customHeight="1">
      <c r="A11" s="52"/>
      <c r="B11" s="2793"/>
      <c r="C11" s="404">
        <f t="shared" si="1"/>
        <v>0</v>
      </c>
      <c r="D11" s="3233">
        <v>0</v>
      </c>
      <c r="E11" s="404">
        <f t="shared" si="2"/>
        <v>0</v>
      </c>
      <c r="F11" s="3233">
        <v>0</v>
      </c>
      <c r="G11" s="404">
        <f t="shared" si="0"/>
        <v>0</v>
      </c>
      <c r="H11" s="3233">
        <v>0</v>
      </c>
      <c r="I11" s="404">
        <f t="shared" si="3"/>
        <v>0</v>
      </c>
      <c r="J11" s="3233">
        <v>0</v>
      </c>
      <c r="K11" s="35"/>
    </row>
    <row r="12" spans="1:11" s="48" customFormat="1" ht="17.25" customHeight="1">
      <c r="A12" s="52"/>
      <c r="B12" s="2793"/>
      <c r="C12" s="404">
        <f t="shared" si="1"/>
        <v>0</v>
      </c>
      <c r="D12" s="3233">
        <v>0</v>
      </c>
      <c r="E12" s="404">
        <f t="shared" si="2"/>
        <v>0</v>
      </c>
      <c r="F12" s="3233">
        <v>0</v>
      </c>
      <c r="G12" s="404">
        <f t="shared" si="0"/>
        <v>0</v>
      </c>
      <c r="H12" s="3233">
        <v>0</v>
      </c>
      <c r="I12" s="404">
        <f t="shared" si="3"/>
        <v>0</v>
      </c>
      <c r="J12" s="3233">
        <v>0</v>
      </c>
      <c r="K12" s="35"/>
    </row>
    <row r="13" spans="1:11" s="48" customFormat="1" ht="17.25" customHeight="1">
      <c r="A13" s="52"/>
      <c r="B13" s="2793"/>
      <c r="C13" s="404">
        <f t="shared" si="1"/>
        <v>0</v>
      </c>
      <c r="D13" s="3233">
        <v>0</v>
      </c>
      <c r="E13" s="404">
        <f t="shared" si="2"/>
        <v>0</v>
      </c>
      <c r="F13" s="3233">
        <v>0</v>
      </c>
      <c r="G13" s="404">
        <f t="shared" si="0"/>
        <v>0</v>
      </c>
      <c r="H13" s="3233">
        <v>0</v>
      </c>
      <c r="I13" s="404">
        <f t="shared" si="3"/>
        <v>0</v>
      </c>
      <c r="J13" s="3233">
        <v>0</v>
      </c>
      <c r="K13" s="35"/>
    </row>
    <row r="14" spans="1:11" s="48" customFormat="1" ht="17.25" customHeight="1" thickBot="1">
      <c r="A14" s="53"/>
      <c r="B14" s="2794"/>
      <c r="C14" s="405">
        <f t="shared" si="1"/>
        <v>0</v>
      </c>
      <c r="D14" s="3234">
        <v>0</v>
      </c>
      <c r="E14" s="405">
        <f t="shared" si="2"/>
        <v>0</v>
      </c>
      <c r="F14" s="3234">
        <v>0</v>
      </c>
      <c r="G14" s="405">
        <f t="shared" si="0"/>
        <v>0</v>
      </c>
      <c r="H14" s="3234">
        <v>0</v>
      </c>
      <c r="I14" s="405">
        <f t="shared" si="3"/>
        <v>0</v>
      </c>
      <c r="J14" s="3234">
        <v>0</v>
      </c>
      <c r="K14" s="35"/>
    </row>
    <row r="15" spans="1:11">
      <c r="A15" s="61" t="s">
        <v>66</v>
      </c>
    </row>
    <row r="17" spans="1:11" ht="26.25" thickBot="1">
      <c r="A17" s="67" t="s">
        <v>244</v>
      </c>
      <c r="H17" s="388"/>
    </row>
    <row r="18" spans="1:11" s="48" customFormat="1" ht="48" customHeight="1" thickBot="1">
      <c r="A18" s="389" t="str">
        <f t="array" ref="A18:C18">A6:C6</f>
        <v>Familias de Productos
(productos o servicios)</v>
      </c>
      <c r="B18" s="393" t="str">
        <v>Año 0:  2026</v>
      </c>
      <c r="C18" s="402" t="str">
        <v>Año 1:  2027</v>
      </c>
      <c r="D18" s="401"/>
      <c r="E18" s="402" t="str">
        <f>E6</f>
        <v>Año 2:  2028</v>
      </c>
      <c r="F18" s="401"/>
      <c r="G18" s="402" t="str">
        <f>G6</f>
        <v>Año 3:  2029</v>
      </c>
      <c r="H18" s="401"/>
      <c r="I18" s="402" t="str">
        <f>I6</f>
        <v>Año 4:  2030</v>
      </c>
      <c r="J18" s="401"/>
    </row>
    <row r="19" spans="1:11" s="48" customFormat="1" ht="17.25" customHeight="1">
      <c r="A19" s="70" t="str">
        <f t="shared" ref="A19:A26" si="4">IF(A7="","",A7)</f>
        <v>producto o servicio</v>
      </c>
      <c r="B19" s="2795">
        <f t="shared" ref="B19:B26" si="5">B7*10%</f>
        <v>0.35000000000000003</v>
      </c>
      <c r="C19" s="403">
        <f>C7</f>
        <v>0</v>
      </c>
      <c r="D19" s="3232">
        <f t="array" ref="D19:D26">B19:B26*(1+C19:C26)</f>
        <v>0.35000000000000003</v>
      </c>
      <c r="E19" s="403">
        <f>C19</f>
        <v>0</v>
      </c>
      <c r="F19" s="3232">
        <f t="array" ref="F19:F26">D19:D26*(1+E19:E26)</f>
        <v>0.35000000000000003</v>
      </c>
      <c r="G19" s="403">
        <f>E19</f>
        <v>0</v>
      </c>
      <c r="H19" s="3232">
        <f t="array" ref="H19:H26">F19:F26*(1+G19:G26)</f>
        <v>0.35000000000000003</v>
      </c>
      <c r="I19" s="403">
        <f>G19</f>
        <v>0</v>
      </c>
      <c r="J19" s="3232">
        <f t="array" ref="J19:J26">H19:H26*(1+I19:I26)</f>
        <v>0.35000000000000003</v>
      </c>
    </row>
    <row r="20" spans="1:11" s="48" customFormat="1" ht="17.25" customHeight="1">
      <c r="A20" s="1362" t="str">
        <f t="shared" si="4"/>
        <v/>
      </c>
      <c r="B20" s="2793">
        <f t="shared" si="5"/>
        <v>0</v>
      </c>
      <c r="C20" s="404">
        <f t="shared" ref="C20:C26" si="6">C19</f>
        <v>0</v>
      </c>
      <c r="D20" s="3233">
        <v>0</v>
      </c>
      <c r="E20" s="404">
        <f t="shared" ref="E20:I26" si="7">E19</f>
        <v>0</v>
      </c>
      <c r="F20" s="3233">
        <v>0</v>
      </c>
      <c r="G20" s="404">
        <f t="shared" si="7"/>
        <v>0</v>
      </c>
      <c r="H20" s="3233">
        <v>0</v>
      </c>
      <c r="I20" s="404">
        <f t="shared" si="7"/>
        <v>0</v>
      </c>
      <c r="J20" s="3233">
        <v>0</v>
      </c>
    </row>
    <row r="21" spans="1:11" s="48" customFormat="1" ht="17.25" customHeight="1">
      <c r="A21" s="1362" t="str">
        <f t="shared" si="4"/>
        <v/>
      </c>
      <c r="B21" s="2793">
        <f t="shared" si="5"/>
        <v>0</v>
      </c>
      <c r="C21" s="404">
        <f t="shared" si="6"/>
        <v>0</v>
      </c>
      <c r="D21" s="3233">
        <v>0</v>
      </c>
      <c r="E21" s="404">
        <f t="shared" si="7"/>
        <v>0</v>
      </c>
      <c r="F21" s="3233">
        <v>0</v>
      </c>
      <c r="G21" s="404">
        <f t="shared" si="7"/>
        <v>0</v>
      </c>
      <c r="H21" s="3233">
        <v>0</v>
      </c>
      <c r="I21" s="404">
        <f t="shared" si="7"/>
        <v>0</v>
      </c>
      <c r="J21" s="3233">
        <v>0</v>
      </c>
    </row>
    <row r="22" spans="1:11" s="48" customFormat="1" ht="17.25" customHeight="1">
      <c r="A22" s="1362" t="str">
        <f t="shared" si="4"/>
        <v/>
      </c>
      <c r="B22" s="2793">
        <f t="shared" si="5"/>
        <v>0</v>
      </c>
      <c r="C22" s="404">
        <f t="shared" si="6"/>
        <v>0</v>
      </c>
      <c r="D22" s="3233">
        <v>0</v>
      </c>
      <c r="E22" s="404">
        <f t="shared" si="7"/>
        <v>0</v>
      </c>
      <c r="F22" s="3233">
        <v>0</v>
      </c>
      <c r="G22" s="404">
        <f t="shared" si="7"/>
        <v>0</v>
      </c>
      <c r="H22" s="3233">
        <v>0</v>
      </c>
      <c r="I22" s="404">
        <f t="shared" si="7"/>
        <v>0</v>
      </c>
      <c r="J22" s="3233">
        <v>0</v>
      </c>
    </row>
    <row r="23" spans="1:11" s="48" customFormat="1" ht="17.25" customHeight="1">
      <c r="A23" s="1362" t="str">
        <f t="shared" si="4"/>
        <v/>
      </c>
      <c r="B23" s="2793">
        <f t="shared" si="5"/>
        <v>0</v>
      </c>
      <c r="C23" s="404">
        <f t="shared" si="6"/>
        <v>0</v>
      </c>
      <c r="D23" s="3233">
        <v>0</v>
      </c>
      <c r="E23" s="404">
        <f t="shared" si="7"/>
        <v>0</v>
      </c>
      <c r="F23" s="3233">
        <v>0</v>
      </c>
      <c r="G23" s="404">
        <f t="shared" si="7"/>
        <v>0</v>
      </c>
      <c r="H23" s="3233">
        <v>0</v>
      </c>
      <c r="I23" s="404">
        <f t="shared" si="7"/>
        <v>0</v>
      </c>
      <c r="J23" s="3233">
        <v>0</v>
      </c>
    </row>
    <row r="24" spans="1:11" s="48" customFormat="1" ht="17.25" customHeight="1">
      <c r="A24" s="1362" t="str">
        <f t="shared" si="4"/>
        <v/>
      </c>
      <c r="B24" s="2793">
        <f t="shared" si="5"/>
        <v>0</v>
      </c>
      <c r="C24" s="404">
        <f t="shared" si="6"/>
        <v>0</v>
      </c>
      <c r="D24" s="3233">
        <v>0</v>
      </c>
      <c r="E24" s="404">
        <f t="shared" si="7"/>
        <v>0</v>
      </c>
      <c r="F24" s="3233">
        <v>0</v>
      </c>
      <c r="G24" s="404">
        <f t="shared" si="7"/>
        <v>0</v>
      </c>
      <c r="H24" s="3233">
        <v>0</v>
      </c>
      <c r="I24" s="404">
        <f t="shared" si="7"/>
        <v>0</v>
      </c>
      <c r="J24" s="3233">
        <v>0</v>
      </c>
    </row>
    <row r="25" spans="1:11" s="48" customFormat="1" ht="17.25" customHeight="1">
      <c r="A25" s="1362" t="str">
        <f t="shared" si="4"/>
        <v/>
      </c>
      <c r="B25" s="2793">
        <f t="shared" si="5"/>
        <v>0</v>
      </c>
      <c r="C25" s="404">
        <f t="shared" si="6"/>
        <v>0</v>
      </c>
      <c r="D25" s="3233">
        <v>0</v>
      </c>
      <c r="E25" s="404">
        <f t="shared" si="7"/>
        <v>0</v>
      </c>
      <c r="F25" s="3233">
        <v>0</v>
      </c>
      <c r="G25" s="404">
        <f t="shared" si="7"/>
        <v>0</v>
      </c>
      <c r="H25" s="3233">
        <v>0</v>
      </c>
      <c r="I25" s="404">
        <f t="shared" si="7"/>
        <v>0</v>
      </c>
      <c r="J25" s="3233">
        <v>0</v>
      </c>
    </row>
    <row r="26" spans="1:11" s="48" customFormat="1" ht="17.25" customHeight="1" thickBot="1">
      <c r="A26" s="71" t="str">
        <f t="shared" si="4"/>
        <v/>
      </c>
      <c r="B26" s="2794">
        <f t="shared" si="5"/>
        <v>0</v>
      </c>
      <c r="C26" s="405">
        <f t="shared" si="6"/>
        <v>0</v>
      </c>
      <c r="D26" s="3234">
        <v>0</v>
      </c>
      <c r="E26" s="405">
        <f t="shared" si="7"/>
        <v>0</v>
      </c>
      <c r="F26" s="3234">
        <v>0</v>
      </c>
      <c r="G26" s="405">
        <f t="shared" si="7"/>
        <v>0</v>
      </c>
      <c r="H26" s="3234">
        <v>0</v>
      </c>
      <c r="I26" s="405">
        <f t="shared" si="7"/>
        <v>0</v>
      </c>
      <c r="J26" s="3234">
        <v>0</v>
      </c>
    </row>
    <row r="27" spans="1:11">
      <c r="A27" s="61" t="s">
        <v>563</v>
      </c>
    </row>
    <row r="28" spans="1:11">
      <c r="A28" s="61"/>
    </row>
    <row r="30" spans="1:11" ht="20.25" thickBot="1">
      <c r="A30" s="398" t="s">
        <v>239</v>
      </c>
    </row>
    <row r="31" spans="1:11" ht="32.25" customHeight="1" thickBot="1">
      <c r="A31" s="390" t="s">
        <v>32</v>
      </c>
      <c r="B31" s="399" t="str">
        <f>B6</f>
        <v>Año 0:  2026</v>
      </c>
      <c r="C31" s="400"/>
      <c r="D31" s="399" t="str">
        <f>C6</f>
        <v>Año 1:  2027</v>
      </c>
      <c r="E31" s="400"/>
      <c r="F31" s="399" t="str">
        <f>E6</f>
        <v>Año 2:  2028</v>
      </c>
      <c r="G31" s="400"/>
      <c r="H31" s="399" t="str">
        <f>G6</f>
        <v>Año 3:  2029</v>
      </c>
      <c r="I31" s="400"/>
      <c r="J31" s="399" t="str">
        <f>I6</f>
        <v>Año 4:  2030</v>
      </c>
      <c r="K31" s="400"/>
    </row>
    <row r="32" spans="1:11" ht="30.75" thickBot="1">
      <c r="A32" s="391" t="s">
        <v>137</v>
      </c>
      <c r="B32" s="392" t="s">
        <v>240</v>
      </c>
      <c r="C32" s="392" t="s">
        <v>241</v>
      </c>
      <c r="D32" s="392" t="str">
        <f t="array" ref="D32:E32">$B32:$C32</f>
        <v>C.V.
Unitario</v>
      </c>
      <c r="E32" s="392" t="str">
        <v>margen</v>
      </c>
      <c r="F32" s="392" t="str">
        <f t="array" ref="F32:G32">$B32:$C32</f>
        <v>C.V.
Unitario</v>
      </c>
      <c r="G32" s="392" t="str">
        <v>margen</v>
      </c>
      <c r="H32" s="392" t="str">
        <f t="array" ref="H32:I32">$B32:$C32</f>
        <v>C.V.
Unitario</v>
      </c>
      <c r="I32" s="392" t="str">
        <v>margen</v>
      </c>
      <c r="J32" s="392" t="str">
        <f t="array" ref="J32:K32">$B32:$C32</f>
        <v>C.V.
Unitario</v>
      </c>
      <c r="K32" s="392" t="str">
        <v>margen</v>
      </c>
    </row>
    <row r="33" spans="1:11">
      <c r="A33" s="1363" t="str">
        <f t="array" ref="A33:A40">productos</f>
        <v>producto o servicio</v>
      </c>
      <c r="B33" s="394">
        <f t="array" ref="B33:B40">IF(B7:B14=0,"",B19:B26/B7:B14)</f>
        <v>0.1</v>
      </c>
      <c r="C33" s="394">
        <f t="array" ref="C33:C40">IF(B33:B40="","",1-B33:B40)</f>
        <v>0.9</v>
      </c>
      <c r="D33" s="394">
        <f t="array" ref="D33:D40">IF(D7:D14=0,"",D19:D26/D7:D14)</f>
        <v>0.1</v>
      </c>
      <c r="E33" s="394">
        <f t="array" ref="E33:E40">IF(D33:D40="","",1-D33:D40)</f>
        <v>0.9</v>
      </c>
      <c r="F33" s="394">
        <f t="array" ref="F33:F40">IF(F7:F14=0,"",F19:F26/F7:F14)</f>
        <v>0.1</v>
      </c>
      <c r="G33" s="394">
        <f t="array" ref="G33:G40">IF(F33:F40="","",1-F33:F40)</f>
        <v>0.9</v>
      </c>
      <c r="H33" s="394">
        <f t="array" ref="H33:H40">IF(H7:H14=0,"",H19:H26/H7:H14)</f>
        <v>0.1</v>
      </c>
      <c r="I33" s="394">
        <f t="array" ref="I33:I40">IF(H33:H40="","",1-H33:H40)</f>
        <v>0.9</v>
      </c>
      <c r="J33" s="394">
        <f t="array" ref="J33:J40">IF(J7:J14=0,"",J19:J26/J7:J14)</f>
        <v>0.1</v>
      </c>
      <c r="K33" s="394">
        <f t="array" ref="K33:K40">IF(J33:J40="","",1-J33:J40)</f>
        <v>0.9</v>
      </c>
    </row>
    <row r="34" spans="1:11">
      <c r="A34" s="1364" t="str">
        <v/>
      </c>
      <c r="B34" s="394" t="str">
        <v/>
      </c>
      <c r="C34" s="394" t="str">
        <v/>
      </c>
      <c r="D34" s="394" t="str">
        <v/>
      </c>
      <c r="E34" s="394" t="str">
        <v/>
      </c>
      <c r="F34" s="394" t="str">
        <v/>
      </c>
      <c r="G34" s="394" t="str">
        <v/>
      </c>
      <c r="H34" s="394" t="str">
        <v/>
      </c>
      <c r="I34" s="394" t="str">
        <v/>
      </c>
      <c r="J34" s="394" t="str">
        <v/>
      </c>
      <c r="K34" s="394" t="str">
        <v/>
      </c>
    </row>
    <row r="35" spans="1:11">
      <c r="A35" s="1364" t="str">
        <v/>
      </c>
      <c r="B35" s="394" t="str">
        <v/>
      </c>
      <c r="C35" s="394" t="str">
        <v/>
      </c>
      <c r="D35" s="394" t="str">
        <v/>
      </c>
      <c r="E35" s="394" t="str">
        <v/>
      </c>
      <c r="F35" s="394" t="str">
        <v/>
      </c>
      <c r="G35" s="394" t="str">
        <v/>
      </c>
      <c r="H35" s="394" t="str">
        <v/>
      </c>
      <c r="I35" s="394" t="str">
        <v/>
      </c>
      <c r="J35" s="394" t="str">
        <v/>
      </c>
      <c r="K35" s="394" t="str">
        <v/>
      </c>
    </row>
    <row r="36" spans="1:11">
      <c r="A36" s="1364" t="str">
        <v/>
      </c>
      <c r="B36" s="394" t="str">
        <v/>
      </c>
      <c r="C36" s="394" t="str">
        <v/>
      </c>
      <c r="D36" s="394" t="str">
        <v/>
      </c>
      <c r="E36" s="394" t="str">
        <v/>
      </c>
      <c r="F36" s="394" t="str">
        <v/>
      </c>
      <c r="G36" s="394" t="str">
        <v/>
      </c>
      <c r="H36" s="394" t="str">
        <v/>
      </c>
      <c r="I36" s="394" t="str">
        <v/>
      </c>
      <c r="J36" s="394" t="str">
        <v/>
      </c>
      <c r="K36" s="394" t="str">
        <v/>
      </c>
    </row>
    <row r="37" spans="1:11">
      <c r="A37" s="1364" t="str">
        <v/>
      </c>
      <c r="B37" s="394" t="str">
        <v/>
      </c>
      <c r="C37" s="394" t="str">
        <v/>
      </c>
      <c r="D37" s="394" t="str">
        <v/>
      </c>
      <c r="E37" s="394" t="str">
        <v/>
      </c>
      <c r="F37" s="394" t="str">
        <v/>
      </c>
      <c r="G37" s="394" t="str">
        <v/>
      </c>
      <c r="H37" s="394" t="str">
        <v/>
      </c>
      <c r="I37" s="394" t="str">
        <v/>
      </c>
      <c r="J37" s="394" t="str">
        <v/>
      </c>
      <c r="K37" s="394" t="str">
        <v/>
      </c>
    </row>
    <row r="38" spans="1:11">
      <c r="A38" s="1364" t="str">
        <v/>
      </c>
      <c r="B38" s="394" t="str">
        <v/>
      </c>
      <c r="C38" s="394" t="str">
        <v/>
      </c>
      <c r="D38" s="394" t="str">
        <v/>
      </c>
      <c r="E38" s="394" t="str">
        <v/>
      </c>
      <c r="F38" s="394" t="str">
        <v/>
      </c>
      <c r="G38" s="394" t="str">
        <v/>
      </c>
      <c r="H38" s="394" t="str">
        <v/>
      </c>
      <c r="I38" s="394" t="str">
        <v/>
      </c>
      <c r="J38" s="394" t="str">
        <v/>
      </c>
      <c r="K38" s="394" t="str">
        <v/>
      </c>
    </row>
    <row r="39" spans="1:11">
      <c r="A39" s="1364" t="str">
        <v/>
      </c>
      <c r="B39" s="394" t="str">
        <v/>
      </c>
      <c r="C39" s="395" t="str">
        <v/>
      </c>
      <c r="D39" s="394" t="str">
        <v/>
      </c>
      <c r="E39" s="395" t="str">
        <v/>
      </c>
      <c r="F39" s="394" t="str">
        <v/>
      </c>
      <c r="G39" s="395" t="str">
        <v/>
      </c>
      <c r="H39" s="394" t="str">
        <v/>
      </c>
      <c r="I39" s="395" t="str">
        <v/>
      </c>
      <c r="J39" s="394" t="str">
        <v/>
      </c>
      <c r="K39" s="395" t="str">
        <v/>
      </c>
    </row>
    <row r="40" spans="1:11" ht="15.75" thickBot="1">
      <c r="A40" s="1365" t="str">
        <v/>
      </c>
      <c r="B40" s="396" t="str">
        <v/>
      </c>
      <c r="C40" s="397" t="str">
        <v/>
      </c>
      <c r="D40" s="396" t="str">
        <v/>
      </c>
      <c r="E40" s="397" t="str">
        <v/>
      </c>
      <c r="F40" s="396" t="str">
        <v/>
      </c>
      <c r="G40" s="397" t="str">
        <v/>
      </c>
      <c r="H40" s="396" t="str">
        <v/>
      </c>
      <c r="I40" s="397" t="str">
        <v/>
      </c>
      <c r="J40" s="396" t="str">
        <v/>
      </c>
      <c r="K40" s="397" t="str">
        <v/>
      </c>
    </row>
    <row r="43" spans="1:11" s="20" customFormat="1" ht="26.25" thickBot="1">
      <c r="A43" s="295" t="s">
        <v>302</v>
      </c>
      <c r="B43" s="546"/>
      <c r="C43" s="543"/>
      <c r="D43" s="547"/>
      <c r="F43" s="543"/>
      <c r="G43" s="543"/>
      <c r="H43" s="543"/>
      <c r="I43" s="548"/>
    </row>
    <row r="44" spans="1:11" s="34" customFormat="1" ht="19.5" customHeight="1" thickBot="1">
      <c r="A44" s="167" t="s">
        <v>77</v>
      </c>
      <c r="B44" s="555" t="s">
        <v>78</v>
      </c>
      <c r="C44" s="556">
        <v>30</v>
      </c>
      <c r="D44" s="556">
        <v>60</v>
      </c>
      <c r="E44" s="556">
        <v>90</v>
      </c>
      <c r="F44" s="556">
        <v>120</v>
      </c>
      <c r="G44" s="556">
        <v>150</v>
      </c>
      <c r="H44" s="556">
        <v>180</v>
      </c>
      <c r="I44" s="555" t="s">
        <v>15</v>
      </c>
      <c r="J44" s="555" t="s">
        <v>879</v>
      </c>
    </row>
    <row r="45" spans="1:11" s="20" customFormat="1">
      <c r="A45" s="1363" t="str">
        <f t="array" ref="A45:A52">productos</f>
        <v>producto o servicio</v>
      </c>
      <c r="B45" s="1759">
        <f t="shared" ref="B45:B52" si="8">IF(SUM(C45:H45)&gt;1,"ERROR",1-SUM(C45:H45))</f>
        <v>1</v>
      </c>
      <c r="C45" s="1760">
        <v>0</v>
      </c>
      <c r="D45" s="1760">
        <v>0</v>
      </c>
      <c r="E45" s="1760">
        <v>0</v>
      </c>
      <c r="F45" s="1760">
        <v>0</v>
      </c>
      <c r="G45" s="1760">
        <v>0</v>
      </c>
      <c r="H45" s="1760">
        <v>0</v>
      </c>
      <c r="I45" s="1761">
        <f t="shared" ref="I45:I52" si="9">SUM(B45:H45)</f>
        <v>1</v>
      </c>
      <c r="J45" s="1962">
        <f t="array" ref="J45">SUM($C$44:$H$44*C45:H45)</f>
        <v>0</v>
      </c>
      <c r="K45" s="1758" t="str">
        <f t="shared" ref="K45:K52" si="10">IF(I45&lt;&gt;1,"ERROR EN PORCENTAJES","")</f>
        <v/>
      </c>
    </row>
    <row r="46" spans="1:11" s="20" customFormat="1">
      <c r="A46" s="1364" t="str">
        <v/>
      </c>
      <c r="B46" s="1759">
        <f t="shared" si="8"/>
        <v>1</v>
      </c>
      <c r="C46" s="1760">
        <v>0</v>
      </c>
      <c r="D46" s="1760">
        <v>0</v>
      </c>
      <c r="E46" s="1760">
        <v>0</v>
      </c>
      <c r="F46" s="1760">
        <v>0</v>
      </c>
      <c r="G46" s="1760">
        <v>0</v>
      </c>
      <c r="H46" s="1760">
        <v>0</v>
      </c>
      <c r="I46" s="1761">
        <f t="shared" si="9"/>
        <v>1</v>
      </c>
      <c r="J46" s="1962">
        <f t="array" ref="J46">SUM($C$44:$H$44*C46:H46)</f>
        <v>0</v>
      </c>
      <c r="K46" s="1758" t="str">
        <f t="shared" si="10"/>
        <v/>
      </c>
    </row>
    <row r="47" spans="1:11" s="20" customFormat="1">
      <c r="A47" s="1364" t="str">
        <v/>
      </c>
      <c r="B47" s="1759">
        <f t="shared" si="8"/>
        <v>1</v>
      </c>
      <c r="C47" s="1760">
        <v>0</v>
      </c>
      <c r="D47" s="1760">
        <v>0</v>
      </c>
      <c r="E47" s="1760">
        <v>0</v>
      </c>
      <c r="F47" s="1760">
        <v>0</v>
      </c>
      <c r="G47" s="1760">
        <v>0</v>
      </c>
      <c r="H47" s="1760">
        <v>0</v>
      </c>
      <c r="I47" s="1761">
        <f t="shared" si="9"/>
        <v>1</v>
      </c>
      <c r="J47" s="1962">
        <f t="array" ref="J47">SUM($C$44:$H$44*C47:H47)</f>
        <v>0</v>
      </c>
      <c r="K47" s="1758" t="str">
        <f t="shared" si="10"/>
        <v/>
      </c>
    </row>
    <row r="48" spans="1:11" s="20" customFormat="1">
      <c r="A48" s="1364" t="str">
        <v/>
      </c>
      <c r="B48" s="1759">
        <f t="shared" si="8"/>
        <v>1</v>
      </c>
      <c r="C48" s="1760">
        <v>0</v>
      </c>
      <c r="D48" s="1760">
        <v>0</v>
      </c>
      <c r="E48" s="1760">
        <v>0</v>
      </c>
      <c r="F48" s="1760">
        <v>0</v>
      </c>
      <c r="G48" s="1760">
        <v>0</v>
      </c>
      <c r="H48" s="1760">
        <v>0</v>
      </c>
      <c r="I48" s="1761">
        <f t="shared" si="9"/>
        <v>1</v>
      </c>
      <c r="J48" s="1962">
        <f t="array" ref="J48">SUM($C$44:$H$44*C48:H48)</f>
        <v>0</v>
      </c>
      <c r="K48" s="1758" t="str">
        <f t="shared" si="10"/>
        <v/>
      </c>
    </row>
    <row r="49" spans="1:11" s="20" customFormat="1">
      <c r="A49" s="1364" t="str">
        <v/>
      </c>
      <c r="B49" s="1759">
        <f t="shared" si="8"/>
        <v>1</v>
      </c>
      <c r="C49" s="1760">
        <v>0</v>
      </c>
      <c r="D49" s="1760">
        <v>0</v>
      </c>
      <c r="E49" s="1760">
        <v>0</v>
      </c>
      <c r="F49" s="1760">
        <v>0</v>
      </c>
      <c r="G49" s="1760">
        <v>0</v>
      </c>
      <c r="H49" s="1760">
        <v>0</v>
      </c>
      <c r="I49" s="1761">
        <f t="shared" si="9"/>
        <v>1</v>
      </c>
      <c r="J49" s="1962">
        <f t="array" ref="J49">SUM($C$44:$H$44*C49:H49)</f>
        <v>0</v>
      </c>
      <c r="K49" s="1758" t="str">
        <f t="shared" si="10"/>
        <v/>
      </c>
    </row>
    <row r="50" spans="1:11" s="20" customFormat="1">
      <c r="A50" s="1364" t="str">
        <v/>
      </c>
      <c r="B50" s="1759">
        <f t="shared" si="8"/>
        <v>1</v>
      </c>
      <c r="C50" s="1760">
        <v>0</v>
      </c>
      <c r="D50" s="1760">
        <v>0</v>
      </c>
      <c r="E50" s="1760">
        <v>0</v>
      </c>
      <c r="F50" s="1760">
        <v>0</v>
      </c>
      <c r="G50" s="1760">
        <v>0</v>
      </c>
      <c r="H50" s="1760">
        <v>0</v>
      </c>
      <c r="I50" s="1761">
        <f t="shared" si="9"/>
        <v>1</v>
      </c>
      <c r="J50" s="1962">
        <f t="array" ref="J50">SUM($C$44:$H$44*C50:H50)</f>
        <v>0</v>
      </c>
      <c r="K50" s="1758" t="str">
        <f t="shared" si="10"/>
        <v/>
      </c>
    </row>
    <row r="51" spans="1:11" s="20" customFormat="1">
      <c r="A51" s="1364" t="str">
        <v/>
      </c>
      <c r="B51" s="1759">
        <f t="shared" si="8"/>
        <v>1</v>
      </c>
      <c r="C51" s="1760">
        <v>0</v>
      </c>
      <c r="D51" s="1760">
        <v>0</v>
      </c>
      <c r="E51" s="1760">
        <v>0</v>
      </c>
      <c r="F51" s="1760">
        <v>0</v>
      </c>
      <c r="G51" s="1760">
        <v>0</v>
      </c>
      <c r="H51" s="1760">
        <v>0</v>
      </c>
      <c r="I51" s="1761">
        <f t="shared" si="9"/>
        <v>1</v>
      </c>
      <c r="J51" s="1962">
        <f t="array" ref="J51">SUM($C$44:$H$44*C51:H51)</f>
        <v>0</v>
      </c>
      <c r="K51" s="1758" t="str">
        <f t="shared" si="10"/>
        <v/>
      </c>
    </row>
    <row r="52" spans="1:11" s="20" customFormat="1" ht="15.75" thickBot="1">
      <c r="A52" s="1365" t="str">
        <v/>
      </c>
      <c r="B52" s="1762">
        <f t="shared" si="8"/>
        <v>1</v>
      </c>
      <c r="C52" s="1763">
        <v>0</v>
      </c>
      <c r="D52" s="1763">
        <v>0</v>
      </c>
      <c r="E52" s="1763">
        <v>0</v>
      </c>
      <c r="F52" s="1763">
        <v>0</v>
      </c>
      <c r="G52" s="1763">
        <v>0</v>
      </c>
      <c r="H52" s="1763">
        <v>0</v>
      </c>
      <c r="I52" s="1764">
        <f t="shared" si="9"/>
        <v>1</v>
      </c>
      <c r="J52" s="1963">
        <f t="array" ref="J52">SUM($C$44:$H$44*C52:H52)</f>
        <v>0</v>
      </c>
      <c r="K52" s="1758" t="str">
        <f t="shared" si="10"/>
        <v/>
      </c>
    </row>
    <row r="53" spans="1:11" s="20" customFormat="1">
      <c r="K53" s="34"/>
    </row>
    <row r="54" spans="1:11" s="20" customFormat="1">
      <c r="K54" s="34"/>
    </row>
    <row r="55" spans="1:11" s="20" customFormat="1" ht="26.25" thickBot="1">
      <c r="A55" s="295" t="s">
        <v>301</v>
      </c>
      <c r="B55" s="546"/>
      <c r="C55" s="543"/>
      <c r="D55" s="547"/>
      <c r="E55" s="277"/>
      <c r="F55" s="543"/>
      <c r="G55" s="543"/>
      <c r="H55" s="543"/>
      <c r="I55" s="548"/>
      <c r="J55" s="548"/>
      <c r="K55" s="34"/>
    </row>
    <row r="56" spans="1:11" s="34" customFormat="1" ht="19.5" customHeight="1" thickBot="1">
      <c r="A56" s="167" t="str">
        <f t="array" ref="A56:J56">A44:J44</f>
        <v>Productos</v>
      </c>
      <c r="B56" s="555" t="str">
        <v>% contado</v>
      </c>
      <c r="C56" s="556">
        <v>30</v>
      </c>
      <c r="D56" s="556">
        <v>60</v>
      </c>
      <c r="E56" s="556">
        <v>90</v>
      </c>
      <c r="F56" s="556">
        <v>120</v>
      </c>
      <c r="G56" s="556">
        <v>150</v>
      </c>
      <c r="H56" s="556">
        <v>180</v>
      </c>
      <c r="I56" s="555" t="str">
        <v>Totales</v>
      </c>
      <c r="J56" s="555" t="str">
        <v>días media</v>
      </c>
    </row>
    <row r="57" spans="1:11" s="34" customFormat="1">
      <c r="A57" s="1363" t="str">
        <f t="array" ref="A57:A64">productos</f>
        <v>producto o servicio</v>
      </c>
      <c r="B57" s="1759">
        <f t="shared" ref="B57:B64" si="11">IF(SUM(C57:H57)&gt;1,"ERROR",1-SUM(C57:H57))</f>
        <v>1</v>
      </c>
      <c r="C57" s="1760">
        <v>0</v>
      </c>
      <c r="D57" s="1760">
        <v>0</v>
      </c>
      <c r="E57" s="1760">
        <v>0</v>
      </c>
      <c r="F57" s="1760">
        <v>0</v>
      </c>
      <c r="G57" s="1760">
        <v>0</v>
      </c>
      <c r="H57" s="1760">
        <v>0</v>
      </c>
      <c r="I57" s="1761">
        <f t="shared" ref="I57:I64" si="12">SUM(B57:H57)</f>
        <v>1</v>
      </c>
      <c r="J57" s="1962">
        <f t="array" ref="J57">SUM($C$56:$H$56*C57:H57)</f>
        <v>0</v>
      </c>
      <c r="K57" s="1758" t="str">
        <f t="shared" ref="K57:K64" si="13">IF(I57&lt;&gt;1,"ERROR EN PORCENTAJES","")</f>
        <v/>
      </c>
    </row>
    <row r="58" spans="1:11" s="34" customFormat="1">
      <c r="A58" s="1364" t="str">
        <v/>
      </c>
      <c r="B58" s="1759">
        <f t="shared" si="11"/>
        <v>1</v>
      </c>
      <c r="C58" s="1760">
        <v>0</v>
      </c>
      <c r="D58" s="1760">
        <v>0</v>
      </c>
      <c r="E58" s="1760">
        <v>0</v>
      </c>
      <c r="F58" s="1760">
        <v>0</v>
      </c>
      <c r="G58" s="1760">
        <v>0</v>
      </c>
      <c r="H58" s="1760">
        <v>0</v>
      </c>
      <c r="I58" s="1761">
        <f t="shared" si="12"/>
        <v>1</v>
      </c>
      <c r="J58" s="1962">
        <f t="array" ref="J58">SUM($C$56:$H$56*C58:H58)</f>
        <v>0</v>
      </c>
      <c r="K58" s="1758" t="str">
        <f t="shared" si="13"/>
        <v/>
      </c>
    </row>
    <row r="59" spans="1:11" s="34" customFormat="1">
      <c r="A59" s="1364" t="str">
        <v/>
      </c>
      <c r="B59" s="1759">
        <f t="shared" si="11"/>
        <v>1</v>
      </c>
      <c r="C59" s="1760">
        <v>0</v>
      </c>
      <c r="D59" s="1760">
        <v>0</v>
      </c>
      <c r="E59" s="1760">
        <v>0</v>
      </c>
      <c r="F59" s="1760">
        <v>0</v>
      </c>
      <c r="G59" s="1760">
        <v>0</v>
      </c>
      <c r="H59" s="1760">
        <v>0</v>
      </c>
      <c r="I59" s="1761">
        <f t="shared" si="12"/>
        <v>1</v>
      </c>
      <c r="J59" s="1962">
        <f t="array" ref="J59">SUM($C$56:$H$56*C59:H59)</f>
        <v>0</v>
      </c>
      <c r="K59" s="1758" t="str">
        <f t="shared" si="13"/>
        <v/>
      </c>
    </row>
    <row r="60" spans="1:11" s="34" customFormat="1">
      <c r="A60" s="1364" t="str">
        <v/>
      </c>
      <c r="B60" s="1759">
        <f t="shared" si="11"/>
        <v>1</v>
      </c>
      <c r="C60" s="1760">
        <v>0</v>
      </c>
      <c r="D60" s="1760">
        <v>0</v>
      </c>
      <c r="E60" s="1760">
        <v>0</v>
      </c>
      <c r="F60" s="1760">
        <v>0</v>
      </c>
      <c r="G60" s="1760">
        <v>0</v>
      </c>
      <c r="H60" s="1760">
        <v>0</v>
      </c>
      <c r="I60" s="1761">
        <f t="shared" si="12"/>
        <v>1</v>
      </c>
      <c r="J60" s="1962">
        <f t="array" ref="J60">SUM($C$56:$H$56*C60:H60)</f>
        <v>0</v>
      </c>
      <c r="K60" s="1758" t="str">
        <f t="shared" si="13"/>
        <v/>
      </c>
    </row>
    <row r="61" spans="1:11" s="34" customFormat="1">
      <c r="A61" s="1364" t="str">
        <v/>
      </c>
      <c r="B61" s="1759">
        <f t="shared" si="11"/>
        <v>1</v>
      </c>
      <c r="C61" s="1760">
        <v>0</v>
      </c>
      <c r="D61" s="1760">
        <v>0</v>
      </c>
      <c r="E61" s="1760">
        <v>0</v>
      </c>
      <c r="F61" s="1760">
        <v>0</v>
      </c>
      <c r="G61" s="1760">
        <v>0</v>
      </c>
      <c r="H61" s="1760">
        <v>0</v>
      </c>
      <c r="I61" s="1761">
        <f t="shared" si="12"/>
        <v>1</v>
      </c>
      <c r="J61" s="1962">
        <f t="array" ref="J61">SUM($C$56:$H$56*C61:H61)</f>
        <v>0</v>
      </c>
      <c r="K61" s="1758" t="str">
        <f t="shared" si="13"/>
        <v/>
      </c>
    </row>
    <row r="62" spans="1:11" s="34" customFormat="1">
      <c r="A62" s="1364" t="str">
        <v/>
      </c>
      <c r="B62" s="1759">
        <f t="shared" si="11"/>
        <v>1</v>
      </c>
      <c r="C62" s="1760">
        <v>0</v>
      </c>
      <c r="D62" s="1760">
        <v>0</v>
      </c>
      <c r="E62" s="1760">
        <v>0</v>
      </c>
      <c r="F62" s="1760">
        <v>0</v>
      </c>
      <c r="G62" s="1760">
        <v>0</v>
      </c>
      <c r="H62" s="1760">
        <v>0</v>
      </c>
      <c r="I62" s="1761">
        <f t="shared" si="12"/>
        <v>1</v>
      </c>
      <c r="J62" s="1962">
        <f t="array" ref="J62">SUM($C$56:$H$56*C62:H62)</f>
        <v>0</v>
      </c>
      <c r="K62" s="1758" t="str">
        <f t="shared" si="13"/>
        <v/>
      </c>
    </row>
    <row r="63" spans="1:11" s="34" customFormat="1">
      <c r="A63" s="1364" t="str">
        <v/>
      </c>
      <c r="B63" s="1759">
        <f t="shared" si="11"/>
        <v>1</v>
      </c>
      <c r="C63" s="1760">
        <v>0</v>
      </c>
      <c r="D63" s="1760">
        <v>0</v>
      </c>
      <c r="E63" s="1760">
        <v>0</v>
      </c>
      <c r="F63" s="1760">
        <v>0</v>
      </c>
      <c r="G63" s="1760">
        <v>0</v>
      </c>
      <c r="H63" s="1760">
        <v>0</v>
      </c>
      <c r="I63" s="1761">
        <f t="shared" si="12"/>
        <v>1</v>
      </c>
      <c r="J63" s="1962">
        <f t="array" ref="J63">SUM($C$56:$H$56*C63:H63)</f>
        <v>0</v>
      </c>
      <c r="K63" s="1758" t="str">
        <f t="shared" si="13"/>
        <v/>
      </c>
    </row>
    <row r="64" spans="1:11" s="34" customFormat="1" ht="15.75" thickBot="1">
      <c r="A64" s="1365" t="str">
        <v/>
      </c>
      <c r="B64" s="1762">
        <f t="shared" si="11"/>
        <v>1</v>
      </c>
      <c r="C64" s="1763">
        <v>0</v>
      </c>
      <c r="D64" s="1763">
        <v>0</v>
      </c>
      <c r="E64" s="1763">
        <v>0</v>
      </c>
      <c r="F64" s="1763">
        <v>0</v>
      </c>
      <c r="G64" s="1763">
        <v>0</v>
      </c>
      <c r="H64" s="1763">
        <v>0</v>
      </c>
      <c r="I64" s="1764">
        <f t="shared" si="12"/>
        <v>1</v>
      </c>
      <c r="J64" s="1963">
        <f t="array" ref="J64">SUM($C$56:$H$56*C64:H64)</f>
        <v>0</v>
      </c>
      <c r="K64" s="1758" t="str">
        <f t="shared" si="13"/>
        <v/>
      </c>
    </row>
  </sheetData>
  <sheetProtection sheet="1" objects="1" scenarios="1"/>
  <phoneticPr fontId="6" type="noConversion"/>
  <conditionalFormatting sqref="B44">
    <cfRule type="cellIs" dxfId="28" priority="2" stopIfTrue="1" operator="equal">
      <formula>"ERROR"</formula>
    </cfRule>
  </conditionalFormatting>
  <conditionalFormatting sqref="B33:K40">
    <cfRule type="expression" dxfId="27" priority="1" stopIfTrue="1">
      <formula>$A33=""</formula>
    </cfRule>
  </conditionalFormatting>
  <dataValidations xWindow="647" yWindow="492" count="2">
    <dataValidation type="decimal" allowBlank="1" showInputMessage="1" showErrorMessage="1" sqref="C45:H52 F15:Q15 C57:H64 L7:M14 K8:K14" xr:uid="{00000000-0002-0000-1200-000000000000}">
      <formula1>0</formula1>
      <formula2>1</formula2>
    </dataValidation>
    <dataValidation type="textLength" allowBlank="1" showInputMessage="1" showErrorMessage="1" prompt="Nombre del producto o servicio o de la familia (una por linea)_x000a_O bien Ventas globales si se estiman conjuntamente las ventas." sqref="A7:A14" xr:uid="{00000000-0002-0000-1200-000001000000}">
      <formula1>0</formula1>
      <formula2>32</formula2>
    </dataValidation>
  </dataValidations>
  <printOptions horizontalCentered="1"/>
  <pageMargins left="0.35433070866141736" right="0.75" top="0.48" bottom="0.35433070866141736" header="0" footer="0"/>
  <pageSetup paperSize="9" scale="66" orientation="portrait" horizontalDpi="300" r:id="rId1"/>
  <headerFooter alignWithMargins="0">
    <oddFooter>&amp;C&amp;"Tahoma,Normal"&amp;10&amp;A</oddFooter>
  </headerFooter>
  <rowBreaks count="1" manualBreakCount="1">
    <brk id="16" max="10"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5">
    <tabColor indexed="26"/>
    <pageSetUpPr fitToPage="1"/>
  </sheetPr>
  <dimension ref="A1"/>
  <sheetViews>
    <sheetView workbookViewId="0"/>
  </sheetViews>
  <sheetFormatPr baseColWidth="10" defaultRowHeight="15.75"/>
  <sheetData/>
  <sheetProtection sheet="1" objects="1" scenarios="1"/>
  <phoneticPr fontId="6" type="noConversion"/>
  <pageMargins left="0.78740157480314965" right="0.78740157480314965" top="0.59055118110236227" bottom="0.68" header="0" footer="0"/>
  <pageSetup paperSize="9" scale="72" orientation="portrait" r:id="rId1"/>
  <headerFooter alignWithMargins="0">
    <oddHeader>&amp;C&amp;F  &amp;A</oddHeader>
  </headerFooter>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5">
    <tabColor indexed="43"/>
  </sheetPr>
  <dimension ref="A1:J95"/>
  <sheetViews>
    <sheetView workbookViewId="0"/>
  </sheetViews>
  <sheetFormatPr baseColWidth="10" defaultColWidth="11" defaultRowHeight="15"/>
  <cols>
    <col min="1" max="1" width="25" style="20" customWidth="1"/>
    <col min="2" max="8" width="11" style="20"/>
    <col min="9" max="9" width="7.875" style="20" customWidth="1"/>
    <col min="10" max="16384" width="11" style="20"/>
  </cols>
  <sheetData>
    <row r="1" spans="1:10" ht="22.5">
      <c r="A1" s="450" t="str">
        <f>'Datos Básicos'!$B$9</f>
        <v>nombre empresa</v>
      </c>
    </row>
    <row r="4" spans="1:10" ht="25.5">
      <c r="A4" s="326" t="str">
        <f>CONCATENATE("Política de Cobros por Ventas para el ",Parametros!$B$77)</f>
        <v>Política de Cobros por Ventas para el Año 0:  2026</v>
      </c>
      <c r="B4" s="546"/>
      <c r="C4" s="543"/>
      <c r="D4" s="547"/>
      <c r="F4" s="543"/>
      <c r="G4" s="543"/>
      <c r="H4" s="543"/>
      <c r="I4" s="548"/>
    </row>
    <row r="5" spans="1:10" ht="7.5" customHeight="1" thickBot="1">
      <c r="A5" s="279"/>
      <c r="B5" s="281"/>
      <c r="C5" s="87"/>
      <c r="D5" s="87"/>
      <c r="E5" s="87"/>
      <c r="F5" s="87"/>
      <c r="G5" s="87"/>
      <c r="H5" s="87"/>
      <c r="I5" s="87"/>
    </row>
    <row r="6" spans="1:10" s="34" customFormat="1" ht="19.5" customHeight="1" thickBot="1">
      <c r="A6" s="167" t="str">
        <f t="array" ref="A6:J6">'Precios-CV'!A44:J44</f>
        <v>Productos</v>
      </c>
      <c r="B6" s="555" t="str">
        <v>% contado</v>
      </c>
      <c r="C6" s="556">
        <v>30</v>
      </c>
      <c r="D6" s="556">
        <v>60</v>
      </c>
      <c r="E6" s="556">
        <v>90</v>
      </c>
      <c r="F6" s="556">
        <v>120</v>
      </c>
      <c r="G6" s="556">
        <v>150</v>
      </c>
      <c r="H6" s="556">
        <v>180</v>
      </c>
      <c r="I6" s="555" t="str">
        <v>Totales</v>
      </c>
      <c r="J6" s="555" t="str">
        <v>días media</v>
      </c>
    </row>
    <row r="7" spans="1:10">
      <c r="A7" s="1363" t="str">
        <f t="array" ref="A7:A14">productos</f>
        <v>producto o servicio</v>
      </c>
      <c r="B7" s="544">
        <f>IF(SUM(C7:H7)&gt;1,"ERROR",1-SUM(C7:H7))</f>
        <v>1</v>
      </c>
      <c r="C7" s="545">
        <f>'Precios-CV'!C45</f>
        <v>0</v>
      </c>
      <c r="D7" s="545">
        <f>'Precios-CV'!D45</f>
        <v>0</v>
      </c>
      <c r="E7" s="545">
        <f>'Precios-CV'!E45</f>
        <v>0</v>
      </c>
      <c r="F7" s="545">
        <f>'Precios-CV'!F45</f>
        <v>0</v>
      </c>
      <c r="G7" s="545">
        <f>'Precios-CV'!G45</f>
        <v>0</v>
      </c>
      <c r="H7" s="545">
        <f>'Precios-CV'!H45</f>
        <v>0</v>
      </c>
      <c r="I7" s="551">
        <f t="shared" ref="I7:I14" si="0">SUM(B7:H7)</f>
        <v>1</v>
      </c>
      <c r="J7" s="1962">
        <f t="array" ref="J7">SUM($C$6:$H$6*C7:H7)</f>
        <v>0</v>
      </c>
    </row>
    <row r="8" spans="1:10">
      <c r="A8" s="1364" t="str">
        <v/>
      </c>
      <c r="B8" s="544">
        <f t="shared" ref="B8:B14" si="1">IF(SUM(C8:H8)&gt;1,"ERROR",1-SUM(C8:H8))</f>
        <v>1</v>
      </c>
      <c r="C8" s="545">
        <f>'Precios-CV'!C46</f>
        <v>0</v>
      </c>
      <c r="D8" s="545">
        <f>'Precios-CV'!D46</f>
        <v>0</v>
      </c>
      <c r="E8" s="545">
        <f>'Precios-CV'!E46</f>
        <v>0</v>
      </c>
      <c r="F8" s="545">
        <f>'Precios-CV'!F46</f>
        <v>0</v>
      </c>
      <c r="G8" s="545">
        <f>'Precios-CV'!G46</f>
        <v>0</v>
      </c>
      <c r="H8" s="545">
        <f>'Precios-CV'!H46</f>
        <v>0</v>
      </c>
      <c r="I8" s="551">
        <f t="shared" si="0"/>
        <v>1</v>
      </c>
      <c r="J8" s="1962">
        <f t="array" ref="J8">SUM($C$6:$H$6*C8:H8)</f>
        <v>0</v>
      </c>
    </row>
    <row r="9" spans="1:10">
      <c r="A9" s="1364" t="str">
        <v/>
      </c>
      <c r="B9" s="544">
        <f t="shared" si="1"/>
        <v>1</v>
      </c>
      <c r="C9" s="545">
        <f>'Precios-CV'!C47</f>
        <v>0</v>
      </c>
      <c r="D9" s="545">
        <f>'Precios-CV'!D47</f>
        <v>0</v>
      </c>
      <c r="E9" s="545">
        <f>'Precios-CV'!E47</f>
        <v>0</v>
      </c>
      <c r="F9" s="545">
        <f>'Precios-CV'!F47</f>
        <v>0</v>
      </c>
      <c r="G9" s="545">
        <f>'Precios-CV'!G47</f>
        <v>0</v>
      </c>
      <c r="H9" s="545">
        <f>'Precios-CV'!H47</f>
        <v>0</v>
      </c>
      <c r="I9" s="551">
        <f t="shared" si="0"/>
        <v>1</v>
      </c>
      <c r="J9" s="1962">
        <f t="array" ref="J9">SUM($C$6:$H$6*C9:H9)</f>
        <v>0</v>
      </c>
    </row>
    <row r="10" spans="1:10">
      <c r="A10" s="1364" t="str">
        <v/>
      </c>
      <c r="B10" s="544">
        <f t="shared" si="1"/>
        <v>1</v>
      </c>
      <c r="C10" s="545">
        <f>'Precios-CV'!C48</f>
        <v>0</v>
      </c>
      <c r="D10" s="545">
        <f>'Precios-CV'!D48</f>
        <v>0</v>
      </c>
      <c r="E10" s="545">
        <f>'Precios-CV'!E48</f>
        <v>0</v>
      </c>
      <c r="F10" s="545">
        <f>'Precios-CV'!F48</f>
        <v>0</v>
      </c>
      <c r="G10" s="545">
        <f>'Precios-CV'!G48</f>
        <v>0</v>
      </c>
      <c r="H10" s="545">
        <f>'Precios-CV'!H48</f>
        <v>0</v>
      </c>
      <c r="I10" s="551">
        <f t="shared" si="0"/>
        <v>1</v>
      </c>
      <c r="J10" s="1962">
        <f t="array" ref="J10">SUM($C$6:$H$6*C10:H10)</f>
        <v>0</v>
      </c>
    </row>
    <row r="11" spans="1:10">
      <c r="A11" s="1364" t="str">
        <v/>
      </c>
      <c r="B11" s="544">
        <f t="shared" si="1"/>
        <v>1</v>
      </c>
      <c r="C11" s="545">
        <f>'Precios-CV'!C49</f>
        <v>0</v>
      </c>
      <c r="D11" s="545">
        <f>'Precios-CV'!D49</f>
        <v>0</v>
      </c>
      <c r="E11" s="545">
        <f>'Precios-CV'!E49</f>
        <v>0</v>
      </c>
      <c r="F11" s="545">
        <f>'Precios-CV'!F49</f>
        <v>0</v>
      </c>
      <c r="G11" s="545">
        <f>'Precios-CV'!G49</f>
        <v>0</v>
      </c>
      <c r="H11" s="545">
        <f>'Precios-CV'!H49</f>
        <v>0</v>
      </c>
      <c r="I11" s="551">
        <f t="shared" si="0"/>
        <v>1</v>
      </c>
      <c r="J11" s="1962">
        <f t="array" ref="J11">SUM($C$6:$H$6*C11:H11)</f>
        <v>0</v>
      </c>
    </row>
    <row r="12" spans="1:10">
      <c r="A12" s="1364" t="str">
        <v/>
      </c>
      <c r="B12" s="544">
        <f t="shared" si="1"/>
        <v>1</v>
      </c>
      <c r="C12" s="545">
        <f>'Precios-CV'!C50</f>
        <v>0</v>
      </c>
      <c r="D12" s="545">
        <f>'Precios-CV'!D50</f>
        <v>0</v>
      </c>
      <c r="E12" s="545">
        <f>'Precios-CV'!E50</f>
        <v>0</v>
      </c>
      <c r="F12" s="545">
        <f>'Precios-CV'!F50</f>
        <v>0</v>
      </c>
      <c r="G12" s="545">
        <f>'Precios-CV'!G50</f>
        <v>0</v>
      </c>
      <c r="H12" s="545">
        <f>'Precios-CV'!H50</f>
        <v>0</v>
      </c>
      <c r="I12" s="551">
        <f t="shared" si="0"/>
        <v>1</v>
      </c>
      <c r="J12" s="1962">
        <f t="array" ref="J12">SUM($C$6:$H$6*C12:H12)</f>
        <v>0</v>
      </c>
    </row>
    <row r="13" spans="1:10">
      <c r="A13" s="1364" t="str">
        <v/>
      </c>
      <c r="B13" s="544">
        <f t="shared" si="1"/>
        <v>1</v>
      </c>
      <c r="C13" s="545">
        <f>'Precios-CV'!C51</f>
        <v>0</v>
      </c>
      <c r="D13" s="545">
        <f>'Precios-CV'!D51</f>
        <v>0</v>
      </c>
      <c r="E13" s="545">
        <f>'Precios-CV'!E51</f>
        <v>0</v>
      </c>
      <c r="F13" s="545">
        <f>'Precios-CV'!F51</f>
        <v>0</v>
      </c>
      <c r="G13" s="545">
        <f>'Precios-CV'!G51</f>
        <v>0</v>
      </c>
      <c r="H13" s="545">
        <f>'Precios-CV'!H51</f>
        <v>0</v>
      </c>
      <c r="I13" s="551">
        <f t="shared" si="0"/>
        <v>1</v>
      </c>
      <c r="J13" s="1962">
        <f t="array" ref="J13">SUM($C$6:$H$6*C13:H13)</f>
        <v>0</v>
      </c>
    </row>
    <row r="14" spans="1:10" ht="15.75" thickBot="1">
      <c r="A14" s="1365" t="str">
        <v/>
      </c>
      <c r="B14" s="552">
        <f t="shared" si="1"/>
        <v>1</v>
      </c>
      <c r="C14" s="553">
        <f>'Precios-CV'!C52</f>
        <v>0</v>
      </c>
      <c r="D14" s="553">
        <f>'Precios-CV'!D52</f>
        <v>0</v>
      </c>
      <c r="E14" s="553">
        <f>'Precios-CV'!E52</f>
        <v>0</v>
      </c>
      <c r="F14" s="553">
        <f>'Precios-CV'!F52</f>
        <v>0</v>
      </c>
      <c r="G14" s="553">
        <f>'Precios-CV'!G52</f>
        <v>0</v>
      </c>
      <c r="H14" s="553">
        <f>'Precios-CV'!H52</f>
        <v>0</v>
      </c>
      <c r="I14" s="554">
        <f t="shared" si="0"/>
        <v>1</v>
      </c>
      <c r="J14" s="1962">
        <f t="array" ref="J14">SUM($C$6:$H$6*C14:H14)</f>
        <v>0</v>
      </c>
    </row>
    <row r="17" spans="1:10" ht="23.25" thickBot="1">
      <c r="A17" s="326" t="s">
        <v>414</v>
      </c>
    </row>
    <row r="18" spans="1:10" s="34" customFormat="1" ht="27" customHeight="1" thickBot="1">
      <c r="A18" s="167" t="s">
        <v>128</v>
      </c>
      <c r="B18" s="2063" t="s">
        <v>258</v>
      </c>
      <c r="C18" s="2064" t="str">
        <f>CONCATENATE(Parametros!B75,"
 ( ",C6," días )")</f>
        <v>enero
 ( 30 días )</v>
      </c>
      <c r="D18" s="2064" t="str">
        <f>CONCATENATE(Parametros!C75,"
 ( ",D6," días )")</f>
        <v>febrero
 ( 60 días )</v>
      </c>
      <c r="E18" s="2064" t="str">
        <f>CONCATENATE(Parametros!D75,"
 ( ",E6," días )")</f>
        <v>marzo
 ( 90 días )</v>
      </c>
      <c r="F18" s="2064" t="str">
        <f>CONCATENATE(Parametros!E75,"
 ( ",F6," días )")</f>
        <v>abril
 ( 120 días )</v>
      </c>
      <c r="G18" s="2064" t="str">
        <f>CONCATENATE(Parametros!F75,"
 ( ",G6," días )")</f>
        <v>mayo
 ( 150 días )</v>
      </c>
      <c r="H18" s="2064" t="str">
        <f>CONCATENATE(Parametros!G75,"
 ( ",H6," días )")</f>
        <v>junio
 ( 180 días )</v>
      </c>
      <c r="I18" s="555" t="s">
        <v>15</v>
      </c>
    </row>
    <row r="19" spans="1:10" ht="16.5" thickTop="1" thickBot="1">
      <c r="A19" s="2065" t="s">
        <v>130</v>
      </c>
      <c r="B19" s="2066" t="str">
        <f>IF(SUM(H7:H14)&lt;&gt;0,180,IF(SUM(G7:G14)&lt;&gt;0,150,IF(SUM(F7:F14)&lt;&gt;0,120,IF(SUM(E7:E14)&lt;&gt;0,90,IF(SUM(D7:D14)&lt;&gt;0,60,IF(SUM(C7:C14)&lt;&gt;0,30,"CONTADO"))))))</f>
        <v>CONTADO</v>
      </c>
      <c r="C19" s="2067">
        <f>1-SUM(D19:H19)</f>
        <v>1</v>
      </c>
      <c r="D19" s="2068">
        <f>IF($B19=180,1/6,IF($B19=150,1/5,IF($B19=120,1/4,IF($B19=90,1/3,IF($B19=60,1/2,0)))))</f>
        <v>0</v>
      </c>
      <c r="E19" s="2068">
        <f>IF($B19=180,1/6,IF($B19=150,1/5,IF($B19=120,1/4,IF($B19=90,1/3,0))))</f>
        <v>0</v>
      </c>
      <c r="F19" s="2068">
        <f>IF($B19=180,1/6,IF($B19=150,1/5,IF($B19=120,1/4,0)))</f>
        <v>0</v>
      </c>
      <c r="G19" s="2068">
        <f>IF($B19=180,1/6,IF($B19=150,1/5,0))</f>
        <v>0</v>
      </c>
      <c r="H19" s="2068">
        <f>IF(B19=180,1/6,0)</f>
        <v>0</v>
      </c>
      <c r="I19" s="554">
        <f>SUM(C19:H19)</f>
        <v>1</v>
      </c>
      <c r="J19" s="549" t="str">
        <f>IF(I19&lt;&gt;1,"ERROR EN PORCENTAJES","")</f>
        <v/>
      </c>
    </row>
    <row r="21" spans="1:10" ht="25.5">
      <c r="A21" s="326" t="str">
        <f>CONCATENATE("Política de Cobros por Ventas para el Año ",Parametros!$B$78)</f>
        <v>Política de Cobros por Ventas para el Año Año 1:  2027</v>
      </c>
      <c r="B21" s="546"/>
      <c r="C21" s="543"/>
      <c r="D21" s="547"/>
      <c r="E21" s="277"/>
      <c r="F21" s="543"/>
      <c r="G21" s="543"/>
      <c r="H21" s="543"/>
      <c r="I21" s="548"/>
    </row>
    <row r="22" spans="1:10" ht="7.5" customHeight="1" thickBot="1">
      <c r="A22" s="279"/>
      <c r="B22" s="281"/>
      <c r="C22" s="87"/>
      <c r="D22" s="87"/>
      <c r="E22" s="87"/>
      <c r="F22" s="87"/>
      <c r="G22" s="87"/>
      <c r="H22" s="87"/>
      <c r="I22" s="87"/>
    </row>
    <row r="23" spans="1:10" s="34" customFormat="1" ht="19.5" customHeight="1" thickBot="1">
      <c r="A23" s="167" t="str">
        <f t="array" ref="A23:J23">A$6:J$6</f>
        <v>Productos</v>
      </c>
      <c r="B23" s="555" t="str">
        <v>% contado</v>
      </c>
      <c r="C23" s="556">
        <v>30</v>
      </c>
      <c r="D23" s="556">
        <v>60</v>
      </c>
      <c r="E23" s="556">
        <v>90</v>
      </c>
      <c r="F23" s="556">
        <v>120</v>
      </c>
      <c r="G23" s="556">
        <v>150</v>
      </c>
      <c r="H23" s="556">
        <v>180</v>
      </c>
      <c r="I23" s="555" t="str">
        <v>Totales</v>
      </c>
      <c r="J23" s="555" t="str">
        <v>días media</v>
      </c>
    </row>
    <row r="24" spans="1:10">
      <c r="A24" s="1363" t="str">
        <f t="array" ref="A24:A31">productos</f>
        <v>producto o servicio</v>
      </c>
      <c r="B24" s="544">
        <f>IF(SUM(C24:H24)&gt;1,"ERROR",1-SUM(C24:H24))</f>
        <v>1</v>
      </c>
      <c r="C24" s="545">
        <f t="shared" ref="C24:H31" si="2">C7</f>
        <v>0</v>
      </c>
      <c r="D24" s="545">
        <f t="shared" si="2"/>
        <v>0</v>
      </c>
      <c r="E24" s="545">
        <f t="shared" si="2"/>
        <v>0</v>
      </c>
      <c r="F24" s="545">
        <f t="shared" si="2"/>
        <v>0</v>
      </c>
      <c r="G24" s="545">
        <f t="shared" si="2"/>
        <v>0</v>
      </c>
      <c r="H24" s="545">
        <f t="shared" si="2"/>
        <v>0</v>
      </c>
      <c r="I24" s="551">
        <f t="shared" ref="I24:I31" si="3">SUM(B24:H24)</f>
        <v>1</v>
      </c>
      <c r="J24" s="1962">
        <f t="array" ref="J24">SUM($C$6:$H$6*C24:H24)</f>
        <v>0</v>
      </c>
    </row>
    <row r="25" spans="1:10">
      <c r="A25" s="1364" t="str">
        <v/>
      </c>
      <c r="B25" s="544">
        <f t="shared" ref="B25:B31" si="4">IF(SUM(C25:H25)&gt;1,"ERROR",1-SUM(C25:H25))</f>
        <v>1</v>
      </c>
      <c r="C25" s="545">
        <f t="shared" si="2"/>
        <v>0</v>
      </c>
      <c r="D25" s="545">
        <f t="shared" si="2"/>
        <v>0</v>
      </c>
      <c r="E25" s="545">
        <f t="shared" si="2"/>
        <v>0</v>
      </c>
      <c r="F25" s="545">
        <f t="shared" si="2"/>
        <v>0</v>
      </c>
      <c r="G25" s="545">
        <f t="shared" si="2"/>
        <v>0</v>
      </c>
      <c r="H25" s="545">
        <f t="shared" si="2"/>
        <v>0</v>
      </c>
      <c r="I25" s="551">
        <f t="shared" si="3"/>
        <v>1</v>
      </c>
      <c r="J25" s="1962">
        <f t="array" ref="J25">SUM($C$6:$H$6*C25:H25)</f>
        <v>0</v>
      </c>
    </row>
    <row r="26" spans="1:10">
      <c r="A26" s="1364" t="str">
        <v/>
      </c>
      <c r="B26" s="544">
        <f t="shared" si="4"/>
        <v>1</v>
      </c>
      <c r="C26" s="545">
        <f t="shared" si="2"/>
        <v>0</v>
      </c>
      <c r="D26" s="545">
        <f t="shared" si="2"/>
        <v>0</v>
      </c>
      <c r="E26" s="545">
        <f t="shared" si="2"/>
        <v>0</v>
      </c>
      <c r="F26" s="545">
        <f t="shared" si="2"/>
        <v>0</v>
      </c>
      <c r="G26" s="545">
        <f t="shared" si="2"/>
        <v>0</v>
      </c>
      <c r="H26" s="545">
        <f t="shared" si="2"/>
        <v>0</v>
      </c>
      <c r="I26" s="551">
        <f t="shared" si="3"/>
        <v>1</v>
      </c>
      <c r="J26" s="1962">
        <f t="array" ref="J26">SUM($C$6:$H$6*C26:H26)</f>
        <v>0</v>
      </c>
    </row>
    <row r="27" spans="1:10">
      <c r="A27" s="1364" t="str">
        <v/>
      </c>
      <c r="B27" s="544">
        <f t="shared" si="4"/>
        <v>1</v>
      </c>
      <c r="C27" s="545">
        <f t="shared" si="2"/>
        <v>0</v>
      </c>
      <c r="D27" s="545">
        <f t="shared" si="2"/>
        <v>0</v>
      </c>
      <c r="E27" s="545">
        <f t="shared" si="2"/>
        <v>0</v>
      </c>
      <c r="F27" s="545">
        <f t="shared" si="2"/>
        <v>0</v>
      </c>
      <c r="G27" s="545">
        <f t="shared" si="2"/>
        <v>0</v>
      </c>
      <c r="H27" s="545">
        <f t="shared" si="2"/>
        <v>0</v>
      </c>
      <c r="I27" s="551">
        <f t="shared" si="3"/>
        <v>1</v>
      </c>
      <c r="J27" s="1962">
        <f t="array" ref="J27">SUM($C$6:$H$6*C27:H27)</f>
        <v>0</v>
      </c>
    </row>
    <row r="28" spans="1:10">
      <c r="A28" s="1364" t="str">
        <v/>
      </c>
      <c r="B28" s="544">
        <f t="shared" si="4"/>
        <v>1</v>
      </c>
      <c r="C28" s="545">
        <f t="shared" si="2"/>
        <v>0</v>
      </c>
      <c r="D28" s="545">
        <f t="shared" si="2"/>
        <v>0</v>
      </c>
      <c r="E28" s="545">
        <f t="shared" si="2"/>
        <v>0</v>
      </c>
      <c r="F28" s="545">
        <f t="shared" si="2"/>
        <v>0</v>
      </c>
      <c r="G28" s="545">
        <f t="shared" si="2"/>
        <v>0</v>
      </c>
      <c r="H28" s="545">
        <f t="shared" si="2"/>
        <v>0</v>
      </c>
      <c r="I28" s="551">
        <f t="shared" si="3"/>
        <v>1</v>
      </c>
      <c r="J28" s="1962">
        <f t="array" ref="J28">SUM($C$6:$H$6*C28:H28)</f>
        <v>0</v>
      </c>
    </row>
    <row r="29" spans="1:10">
      <c r="A29" s="1364" t="str">
        <v/>
      </c>
      <c r="B29" s="544">
        <f t="shared" si="4"/>
        <v>1</v>
      </c>
      <c r="C29" s="545">
        <f t="shared" si="2"/>
        <v>0</v>
      </c>
      <c r="D29" s="545">
        <f t="shared" si="2"/>
        <v>0</v>
      </c>
      <c r="E29" s="545">
        <f t="shared" si="2"/>
        <v>0</v>
      </c>
      <c r="F29" s="545">
        <f t="shared" si="2"/>
        <v>0</v>
      </c>
      <c r="G29" s="545">
        <f t="shared" si="2"/>
        <v>0</v>
      </c>
      <c r="H29" s="545">
        <f t="shared" si="2"/>
        <v>0</v>
      </c>
      <c r="I29" s="551">
        <f t="shared" si="3"/>
        <v>1</v>
      </c>
      <c r="J29" s="1962">
        <f t="array" ref="J29">SUM($C$6:$H$6*C29:H29)</f>
        <v>0</v>
      </c>
    </row>
    <row r="30" spans="1:10">
      <c r="A30" s="1364" t="str">
        <v/>
      </c>
      <c r="B30" s="544">
        <f t="shared" si="4"/>
        <v>1</v>
      </c>
      <c r="C30" s="545">
        <f t="shared" si="2"/>
        <v>0</v>
      </c>
      <c r="D30" s="545">
        <f t="shared" si="2"/>
        <v>0</v>
      </c>
      <c r="E30" s="545">
        <f t="shared" si="2"/>
        <v>0</v>
      </c>
      <c r="F30" s="545">
        <f t="shared" si="2"/>
        <v>0</v>
      </c>
      <c r="G30" s="545">
        <f t="shared" si="2"/>
        <v>0</v>
      </c>
      <c r="H30" s="545">
        <f t="shared" si="2"/>
        <v>0</v>
      </c>
      <c r="I30" s="551">
        <f t="shared" si="3"/>
        <v>1</v>
      </c>
      <c r="J30" s="1962">
        <f t="array" ref="J30">SUM($C$6:$H$6*C30:H30)</f>
        <v>0</v>
      </c>
    </row>
    <row r="31" spans="1:10" ht="15.75" thickBot="1">
      <c r="A31" s="1365" t="str">
        <v/>
      </c>
      <c r="B31" s="552">
        <f t="shared" si="4"/>
        <v>1</v>
      </c>
      <c r="C31" s="553">
        <f t="shared" si="2"/>
        <v>0</v>
      </c>
      <c r="D31" s="553">
        <f t="shared" si="2"/>
        <v>0</v>
      </c>
      <c r="E31" s="553">
        <f t="shared" si="2"/>
        <v>0</v>
      </c>
      <c r="F31" s="553">
        <f t="shared" si="2"/>
        <v>0</v>
      </c>
      <c r="G31" s="553">
        <f t="shared" si="2"/>
        <v>0</v>
      </c>
      <c r="H31" s="553">
        <f t="shared" si="2"/>
        <v>0</v>
      </c>
      <c r="I31" s="554">
        <f t="shared" si="3"/>
        <v>1</v>
      </c>
      <c r="J31" s="1962">
        <f t="array" ref="J31">SUM($C$6:$H$6*C31:H31)</f>
        <v>0</v>
      </c>
    </row>
    <row r="36" spans="1:10" ht="25.5">
      <c r="A36" s="326" t="str">
        <f>CONCATENATE("Política de Cobros por Ventas para el resto de años ( ",Parametros!F65,", ",Parametros!G65," y ",Parametros!H65," )")</f>
        <v>Política de Cobros por Ventas para el resto de años ( 2028, 2029 y 2030 )</v>
      </c>
      <c r="B36" s="546"/>
      <c r="C36" s="543"/>
      <c r="D36" s="547"/>
      <c r="E36" s="277"/>
      <c r="F36" s="543"/>
      <c r="G36" s="543"/>
      <c r="H36" s="543"/>
      <c r="I36" s="548"/>
    </row>
    <row r="37" spans="1:10" ht="6" customHeight="1" thickBot="1">
      <c r="A37" s="279"/>
      <c r="B37" s="281"/>
      <c r="C37" s="87"/>
      <c r="D37" s="87"/>
      <c r="E37" s="87"/>
      <c r="F37" s="87"/>
      <c r="G37" s="87"/>
      <c r="H37" s="87"/>
      <c r="I37" s="87"/>
    </row>
    <row r="38" spans="1:10" s="34" customFormat="1" ht="19.5" customHeight="1" thickBot="1">
      <c r="A38" s="167" t="str">
        <f t="array" ref="A38:J38">A$6:J$6</f>
        <v>Productos</v>
      </c>
      <c r="B38" s="555" t="str">
        <v>% contado</v>
      </c>
      <c r="C38" s="556">
        <v>30</v>
      </c>
      <c r="D38" s="556">
        <v>60</v>
      </c>
      <c r="E38" s="556">
        <v>90</v>
      </c>
      <c r="F38" s="556">
        <v>120</v>
      </c>
      <c r="G38" s="556">
        <v>150</v>
      </c>
      <c r="H38" s="556">
        <v>180</v>
      </c>
      <c r="I38" s="555" t="str">
        <v>Totales</v>
      </c>
      <c r="J38" s="555" t="str">
        <v>días media</v>
      </c>
    </row>
    <row r="39" spans="1:10">
      <c r="A39" s="1363" t="str">
        <f t="array" ref="A39:A46">productos</f>
        <v>producto o servicio</v>
      </c>
      <c r="B39" s="544">
        <f>IF(SUM(C39:H39)&gt;1,"ERROR",1-SUM(C39:H39))</f>
        <v>1</v>
      </c>
      <c r="C39" s="545">
        <f t="shared" ref="C39:H46" si="5">C24</f>
        <v>0</v>
      </c>
      <c r="D39" s="545">
        <f t="shared" si="5"/>
        <v>0</v>
      </c>
      <c r="E39" s="545">
        <f t="shared" si="5"/>
        <v>0</v>
      </c>
      <c r="F39" s="545">
        <f t="shared" si="5"/>
        <v>0</v>
      </c>
      <c r="G39" s="545">
        <f t="shared" si="5"/>
        <v>0</v>
      </c>
      <c r="H39" s="545">
        <f t="shared" si="5"/>
        <v>0</v>
      </c>
      <c r="I39" s="551">
        <f t="shared" ref="I39:I46" si="6">SUM(B39:H39)</f>
        <v>1</v>
      </c>
      <c r="J39" s="1962">
        <f t="array" ref="J39">SUM($C$6:$H$6*C39:H39)</f>
        <v>0</v>
      </c>
    </row>
    <row r="40" spans="1:10">
      <c r="A40" s="1364" t="str">
        <v/>
      </c>
      <c r="B40" s="544">
        <f t="shared" ref="B40:B46" si="7">IF(SUM(C40:H40)&gt;1,"ERROR",1-SUM(C40:H40))</f>
        <v>1</v>
      </c>
      <c r="C40" s="545">
        <f t="shared" si="5"/>
        <v>0</v>
      </c>
      <c r="D40" s="545">
        <f t="shared" si="5"/>
        <v>0</v>
      </c>
      <c r="E40" s="545">
        <f t="shared" si="5"/>
        <v>0</v>
      </c>
      <c r="F40" s="545">
        <f t="shared" si="5"/>
        <v>0</v>
      </c>
      <c r="G40" s="545">
        <f t="shared" si="5"/>
        <v>0</v>
      </c>
      <c r="H40" s="545">
        <f t="shared" si="5"/>
        <v>0</v>
      </c>
      <c r="I40" s="551">
        <f t="shared" si="6"/>
        <v>1</v>
      </c>
      <c r="J40" s="1962">
        <f t="array" ref="J40">SUM($C$6:$H$6*C40:H40)</f>
        <v>0</v>
      </c>
    </row>
    <row r="41" spans="1:10">
      <c r="A41" s="1364" t="str">
        <v/>
      </c>
      <c r="B41" s="544">
        <f t="shared" si="7"/>
        <v>1</v>
      </c>
      <c r="C41" s="545">
        <f t="shared" si="5"/>
        <v>0</v>
      </c>
      <c r="D41" s="545">
        <f t="shared" si="5"/>
        <v>0</v>
      </c>
      <c r="E41" s="545">
        <f t="shared" si="5"/>
        <v>0</v>
      </c>
      <c r="F41" s="545">
        <f t="shared" si="5"/>
        <v>0</v>
      </c>
      <c r="G41" s="545">
        <f t="shared" si="5"/>
        <v>0</v>
      </c>
      <c r="H41" s="545">
        <f t="shared" si="5"/>
        <v>0</v>
      </c>
      <c r="I41" s="551">
        <f t="shared" si="6"/>
        <v>1</v>
      </c>
      <c r="J41" s="1962">
        <f t="array" ref="J41">SUM($C$6:$H$6*C41:H41)</f>
        <v>0</v>
      </c>
    </row>
    <row r="42" spans="1:10">
      <c r="A42" s="1364" t="str">
        <v/>
      </c>
      <c r="B42" s="544">
        <f t="shared" si="7"/>
        <v>1</v>
      </c>
      <c r="C42" s="545">
        <f t="shared" si="5"/>
        <v>0</v>
      </c>
      <c r="D42" s="545">
        <f t="shared" si="5"/>
        <v>0</v>
      </c>
      <c r="E42" s="545">
        <f t="shared" si="5"/>
        <v>0</v>
      </c>
      <c r="F42" s="545">
        <f t="shared" si="5"/>
        <v>0</v>
      </c>
      <c r="G42" s="545">
        <f t="shared" si="5"/>
        <v>0</v>
      </c>
      <c r="H42" s="545">
        <f t="shared" si="5"/>
        <v>0</v>
      </c>
      <c r="I42" s="551">
        <f t="shared" si="6"/>
        <v>1</v>
      </c>
      <c r="J42" s="1962">
        <f t="array" ref="J42">SUM($C$6:$H$6*C42:H42)</f>
        <v>0</v>
      </c>
    </row>
    <row r="43" spans="1:10">
      <c r="A43" s="1364" t="str">
        <v/>
      </c>
      <c r="B43" s="544">
        <f t="shared" si="7"/>
        <v>1</v>
      </c>
      <c r="C43" s="545">
        <f t="shared" si="5"/>
        <v>0</v>
      </c>
      <c r="D43" s="545">
        <f t="shared" si="5"/>
        <v>0</v>
      </c>
      <c r="E43" s="545">
        <f t="shared" si="5"/>
        <v>0</v>
      </c>
      <c r="F43" s="545">
        <f t="shared" si="5"/>
        <v>0</v>
      </c>
      <c r="G43" s="545">
        <f t="shared" si="5"/>
        <v>0</v>
      </c>
      <c r="H43" s="545">
        <f t="shared" si="5"/>
        <v>0</v>
      </c>
      <c r="I43" s="551">
        <f t="shared" si="6"/>
        <v>1</v>
      </c>
      <c r="J43" s="1962">
        <f t="array" ref="J43">SUM($C$6:$H$6*C43:H43)</f>
        <v>0</v>
      </c>
    </row>
    <row r="44" spans="1:10">
      <c r="A44" s="1364" t="str">
        <v/>
      </c>
      <c r="B44" s="544">
        <f t="shared" si="7"/>
        <v>1</v>
      </c>
      <c r="C44" s="545">
        <f t="shared" si="5"/>
        <v>0</v>
      </c>
      <c r="D44" s="545">
        <f t="shared" si="5"/>
        <v>0</v>
      </c>
      <c r="E44" s="545">
        <f t="shared" si="5"/>
        <v>0</v>
      </c>
      <c r="F44" s="545">
        <f t="shared" si="5"/>
        <v>0</v>
      </c>
      <c r="G44" s="545">
        <f t="shared" si="5"/>
        <v>0</v>
      </c>
      <c r="H44" s="545">
        <f t="shared" si="5"/>
        <v>0</v>
      </c>
      <c r="I44" s="551">
        <f t="shared" si="6"/>
        <v>1</v>
      </c>
      <c r="J44" s="1962">
        <f t="array" ref="J44">SUM($C$6:$H$6*C44:H44)</f>
        <v>0</v>
      </c>
    </row>
    <row r="45" spans="1:10">
      <c r="A45" s="1364" t="str">
        <v/>
      </c>
      <c r="B45" s="544">
        <f t="shared" si="7"/>
        <v>1</v>
      </c>
      <c r="C45" s="545">
        <f t="shared" si="5"/>
        <v>0</v>
      </c>
      <c r="D45" s="545">
        <f t="shared" si="5"/>
        <v>0</v>
      </c>
      <c r="E45" s="545">
        <f t="shared" si="5"/>
        <v>0</v>
      </c>
      <c r="F45" s="545">
        <f t="shared" si="5"/>
        <v>0</v>
      </c>
      <c r="G45" s="545">
        <f t="shared" si="5"/>
        <v>0</v>
      </c>
      <c r="H45" s="545">
        <f t="shared" si="5"/>
        <v>0</v>
      </c>
      <c r="I45" s="551">
        <f t="shared" si="6"/>
        <v>1</v>
      </c>
      <c r="J45" s="1962">
        <f t="array" ref="J45">SUM($C$6:$H$6*C45:H45)</f>
        <v>0</v>
      </c>
    </row>
    <row r="46" spans="1:10" ht="15.75" thickBot="1">
      <c r="A46" s="1365" t="str">
        <v/>
      </c>
      <c r="B46" s="552">
        <f t="shared" si="7"/>
        <v>1</v>
      </c>
      <c r="C46" s="553">
        <f t="shared" si="5"/>
        <v>0</v>
      </c>
      <c r="D46" s="553">
        <f t="shared" si="5"/>
        <v>0</v>
      </c>
      <c r="E46" s="553">
        <f t="shared" si="5"/>
        <v>0</v>
      </c>
      <c r="F46" s="553">
        <f t="shared" si="5"/>
        <v>0</v>
      </c>
      <c r="G46" s="553">
        <f t="shared" si="5"/>
        <v>0</v>
      </c>
      <c r="H46" s="553">
        <f t="shared" si="5"/>
        <v>0</v>
      </c>
      <c r="I46" s="554">
        <f t="shared" si="6"/>
        <v>1</v>
      </c>
      <c r="J46" s="1962">
        <f t="array" ref="J46">SUM($C$6:$H$6*C46:H46)</f>
        <v>0</v>
      </c>
    </row>
    <row r="52" spans="1:10" ht="25.5">
      <c r="A52" s="326" t="str">
        <f>CONCATENATE("Política de Pagos por Compras y Costes Variables para el  ",Parametros!$B$77)</f>
        <v>Política de Pagos por Compras y Costes Variables para el  Año 0:  2026</v>
      </c>
      <c r="B52" s="546"/>
      <c r="C52" s="543"/>
      <c r="D52" s="547"/>
      <c r="E52" s="277"/>
      <c r="F52" s="543"/>
      <c r="G52" s="543"/>
      <c r="H52" s="543"/>
      <c r="I52" s="548"/>
    </row>
    <row r="53" spans="1:10" ht="10.5" customHeight="1" thickBot="1">
      <c r="A53" s="550"/>
      <c r="B53" s="550"/>
      <c r="C53" s="550"/>
      <c r="D53" s="550"/>
      <c r="E53" s="550"/>
      <c r="F53" s="550"/>
      <c r="G53" s="550"/>
      <c r="H53" s="550"/>
      <c r="I53" s="550"/>
    </row>
    <row r="54" spans="1:10" s="34" customFormat="1" ht="19.5" customHeight="1" thickBot="1">
      <c r="A54" s="167" t="str">
        <f t="array" ref="A54:J54">A$6:J$6</f>
        <v>Productos</v>
      </c>
      <c r="B54" s="555" t="str">
        <v>% contado</v>
      </c>
      <c r="C54" s="556">
        <v>30</v>
      </c>
      <c r="D54" s="556">
        <v>60</v>
      </c>
      <c r="E54" s="556">
        <v>90</v>
      </c>
      <c r="F54" s="556">
        <v>120</v>
      </c>
      <c r="G54" s="556">
        <v>150</v>
      </c>
      <c r="H54" s="556">
        <v>180</v>
      </c>
      <c r="I54" s="555" t="str">
        <v>Totales</v>
      </c>
      <c r="J54" s="555" t="str">
        <v>días media</v>
      </c>
    </row>
    <row r="55" spans="1:10">
      <c r="A55" s="1363" t="str">
        <f t="array" ref="A55:A62">productos</f>
        <v>producto o servicio</v>
      </c>
      <c r="B55" s="544">
        <f>IF(SUM(C55:H55)&gt;1,"ERROR",1-SUM(C55:H55))</f>
        <v>1</v>
      </c>
      <c r="C55" s="545">
        <f>'Precios-CV'!C57</f>
        <v>0</v>
      </c>
      <c r="D55" s="545">
        <f>'Precios-CV'!D57</f>
        <v>0</v>
      </c>
      <c r="E55" s="545">
        <f>'Precios-CV'!E57</f>
        <v>0</v>
      </c>
      <c r="F55" s="545">
        <f>'Precios-CV'!F57</f>
        <v>0</v>
      </c>
      <c r="G55" s="545">
        <f>'Precios-CV'!G57</f>
        <v>0</v>
      </c>
      <c r="H55" s="545">
        <f>'Precios-CV'!H57</f>
        <v>0</v>
      </c>
      <c r="I55" s="551">
        <f t="shared" ref="I55:I62" si="8">SUM(B55:H55)</f>
        <v>1</v>
      </c>
      <c r="J55" s="1962">
        <f t="array" ref="J55">SUM($C$6:$H$6*C55:H55)</f>
        <v>0</v>
      </c>
    </row>
    <row r="56" spans="1:10">
      <c r="A56" s="1364" t="str">
        <v/>
      </c>
      <c r="B56" s="544">
        <f t="shared" ref="B56:B62" si="9">IF(SUM(C56:H56)&gt;1,"ERROR",1-SUM(C56:H56))</f>
        <v>1</v>
      </c>
      <c r="C56" s="545">
        <f>'Precios-CV'!C58</f>
        <v>0</v>
      </c>
      <c r="D56" s="545">
        <f>'Precios-CV'!D58</f>
        <v>0</v>
      </c>
      <c r="E56" s="545">
        <f>'Precios-CV'!E58</f>
        <v>0</v>
      </c>
      <c r="F56" s="545">
        <f>'Precios-CV'!F58</f>
        <v>0</v>
      </c>
      <c r="G56" s="545">
        <f>'Precios-CV'!G58</f>
        <v>0</v>
      </c>
      <c r="H56" s="545">
        <f>'Precios-CV'!H58</f>
        <v>0</v>
      </c>
      <c r="I56" s="551">
        <f t="shared" si="8"/>
        <v>1</v>
      </c>
      <c r="J56" s="1962">
        <f t="array" ref="J56">SUM($C$6:$H$6*C56:H56)</f>
        <v>0</v>
      </c>
    </row>
    <row r="57" spans="1:10">
      <c r="A57" s="1364" t="str">
        <v/>
      </c>
      <c r="B57" s="544">
        <f t="shared" si="9"/>
        <v>1</v>
      </c>
      <c r="C57" s="545">
        <f>'Precios-CV'!C59</f>
        <v>0</v>
      </c>
      <c r="D57" s="545">
        <f>'Precios-CV'!D59</f>
        <v>0</v>
      </c>
      <c r="E57" s="545">
        <f>'Precios-CV'!E59</f>
        <v>0</v>
      </c>
      <c r="F57" s="545">
        <f>'Precios-CV'!F59</f>
        <v>0</v>
      </c>
      <c r="G57" s="545">
        <f>'Precios-CV'!G59</f>
        <v>0</v>
      </c>
      <c r="H57" s="545">
        <f>'Precios-CV'!H59</f>
        <v>0</v>
      </c>
      <c r="I57" s="551">
        <f t="shared" si="8"/>
        <v>1</v>
      </c>
      <c r="J57" s="1962">
        <f t="array" ref="J57">SUM($C$6:$H$6*C57:H57)</f>
        <v>0</v>
      </c>
    </row>
    <row r="58" spans="1:10">
      <c r="A58" s="1364" t="str">
        <v/>
      </c>
      <c r="B58" s="544">
        <f t="shared" si="9"/>
        <v>1</v>
      </c>
      <c r="C58" s="545">
        <f>'Precios-CV'!C60</f>
        <v>0</v>
      </c>
      <c r="D58" s="545">
        <f>'Precios-CV'!D60</f>
        <v>0</v>
      </c>
      <c r="E58" s="545">
        <f>'Precios-CV'!E60</f>
        <v>0</v>
      </c>
      <c r="F58" s="545">
        <f>'Precios-CV'!F60</f>
        <v>0</v>
      </c>
      <c r="G58" s="545">
        <f>'Precios-CV'!G60</f>
        <v>0</v>
      </c>
      <c r="H58" s="545">
        <f>'Precios-CV'!H60</f>
        <v>0</v>
      </c>
      <c r="I58" s="551">
        <f t="shared" si="8"/>
        <v>1</v>
      </c>
      <c r="J58" s="1962">
        <f t="array" ref="J58">SUM($C$6:$H$6*C58:H58)</f>
        <v>0</v>
      </c>
    </row>
    <row r="59" spans="1:10">
      <c r="A59" s="1364" t="str">
        <v/>
      </c>
      <c r="B59" s="544">
        <f t="shared" si="9"/>
        <v>1</v>
      </c>
      <c r="C59" s="545">
        <f>'Precios-CV'!C61</f>
        <v>0</v>
      </c>
      <c r="D59" s="545">
        <f>'Precios-CV'!D61</f>
        <v>0</v>
      </c>
      <c r="E59" s="545">
        <f>'Precios-CV'!E61</f>
        <v>0</v>
      </c>
      <c r="F59" s="545">
        <f>'Precios-CV'!F61</f>
        <v>0</v>
      </c>
      <c r="G59" s="545">
        <f>'Precios-CV'!G61</f>
        <v>0</v>
      </c>
      <c r="H59" s="545">
        <f>'Precios-CV'!H61</f>
        <v>0</v>
      </c>
      <c r="I59" s="551">
        <f t="shared" si="8"/>
        <v>1</v>
      </c>
      <c r="J59" s="1962">
        <f t="array" ref="J59">SUM($C$6:$H$6*C59:H59)</f>
        <v>0</v>
      </c>
    </row>
    <row r="60" spans="1:10">
      <c r="A60" s="1364" t="str">
        <v/>
      </c>
      <c r="B60" s="544">
        <f t="shared" si="9"/>
        <v>1</v>
      </c>
      <c r="C60" s="545">
        <f>'Precios-CV'!C62</f>
        <v>0</v>
      </c>
      <c r="D60" s="545">
        <f>'Precios-CV'!D62</f>
        <v>0</v>
      </c>
      <c r="E60" s="545">
        <f>'Precios-CV'!E62</f>
        <v>0</v>
      </c>
      <c r="F60" s="545">
        <f>'Precios-CV'!F62</f>
        <v>0</v>
      </c>
      <c r="G60" s="545">
        <f>'Precios-CV'!G62</f>
        <v>0</v>
      </c>
      <c r="H60" s="545">
        <f>'Precios-CV'!H62</f>
        <v>0</v>
      </c>
      <c r="I60" s="551">
        <f t="shared" si="8"/>
        <v>1</v>
      </c>
      <c r="J60" s="1962">
        <f t="array" ref="J60">SUM($C$6:$H$6*C60:H60)</f>
        <v>0</v>
      </c>
    </row>
    <row r="61" spans="1:10">
      <c r="A61" s="1364" t="str">
        <v/>
      </c>
      <c r="B61" s="544">
        <f t="shared" si="9"/>
        <v>1</v>
      </c>
      <c r="C61" s="545">
        <f>'Precios-CV'!C63</f>
        <v>0</v>
      </c>
      <c r="D61" s="545">
        <f>'Precios-CV'!D63</f>
        <v>0</v>
      </c>
      <c r="E61" s="545">
        <f>'Precios-CV'!E63</f>
        <v>0</v>
      </c>
      <c r="F61" s="545">
        <f>'Precios-CV'!F63</f>
        <v>0</v>
      </c>
      <c r="G61" s="545">
        <f>'Precios-CV'!G63</f>
        <v>0</v>
      </c>
      <c r="H61" s="545">
        <f>'Precios-CV'!H63</f>
        <v>0</v>
      </c>
      <c r="I61" s="551">
        <f t="shared" si="8"/>
        <v>1</v>
      </c>
      <c r="J61" s="1962">
        <f t="array" ref="J61">SUM($C$6:$H$6*C61:H61)</f>
        <v>0</v>
      </c>
    </row>
    <row r="62" spans="1:10" ht="15.75" thickBot="1">
      <c r="A62" s="1365" t="str">
        <v/>
      </c>
      <c r="B62" s="552">
        <f t="shared" si="9"/>
        <v>1</v>
      </c>
      <c r="C62" s="553">
        <f>'Precios-CV'!C64</f>
        <v>0</v>
      </c>
      <c r="D62" s="553">
        <f>'Precios-CV'!D64</f>
        <v>0</v>
      </c>
      <c r="E62" s="553">
        <f>'Precios-CV'!E64</f>
        <v>0</v>
      </c>
      <c r="F62" s="553">
        <f>'Precios-CV'!F64</f>
        <v>0</v>
      </c>
      <c r="G62" s="553">
        <f>'Precios-CV'!G64</f>
        <v>0</v>
      </c>
      <c r="H62" s="553">
        <f>'Precios-CV'!H64</f>
        <v>0</v>
      </c>
      <c r="I62" s="554">
        <f t="shared" si="8"/>
        <v>1</v>
      </c>
      <c r="J62" s="1962">
        <f t="array" ref="J62">SUM($C$6:$H$6*C62:H62)</f>
        <v>0</v>
      </c>
    </row>
    <row r="65" spans="1:10" ht="23.25" thickBot="1">
      <c r="A65" s="326" t="s">
        <v>415</v>
      </c>
    </row>
    <row r="66" spans="1:10" s="34" customFormat="1" ht="27" customHeight="1" thickBot="1">
      <c r="A66" s="167" t="s">
        <v>159</v>
      </c>
      <c r="B66" s="2063" t="s">
        <v>259</v>
      </c>
      <c r="C66" s="2064" t="str">
        <f t="array" ref="C66:I66">C18:I18</f>
        <v>enero
 ( 30 días )</v>
      </c>
      <c r="D66" s="2064" t="str">
        <v>febrero
 ( 60 días )</v>
      </c>
      <c r="E66" s="2064" t="str">
        <v>marzo
 ( 90 días )</v>
      </c>
      <c r="F66" s="2064" t="str">
        <v>abril
 ( 120 días )</v>
      </c>
      <c r="G66" s="2064" t="str">
        <v>mayo
 ( 150 días )</v>
      </c>
      <c r="H66" s="2064" t="str">
        <v>junio
 ( 180 días )</v>
      </c>
      <c r="I66" s="555" t="str">
        <v>Totales</v>
      </c>
    </row>
    <row r="67" spans="1:10" ht="16.5" thickTop="1" thickBot="1">
      <c r="A67" s="2069" t="s">
        <v>131</v>
      </c>
      <c r="B67" s="2066" t="str">
        <f>IF(SUM(H55:H62)&lt;&gt;0,180,IF(SUM(G55:G62)&lt;&gt;0,150,IF(SUM(F55:F62)&lt;&gt;0,120,IF(SUM(E55:E62)&lt;&gt;0,90,IF(SUM(D55:D62)&lt;&gt;0,60,IF(SUM(C55:C62)&lt;&gt;0,30,"CONTADO"))))))</f>
        <v>CONTADO</v>
      </c>
      <c r="C67" s="2067">
        <f>1-SUM(D67:H67)</f>
        <v>1</v>
      </c>
      <c r="D67" s="2068">
        <f>IF($B67=180,1/6,IF($B67=150,1/5,IF($B67=120,1/4,IF($B67=90,1/3,IF($B67=60,1/2,0)))))</f>
        <v>0</v>
      </c>
      <c r="E67" s="2068">
        <f>IF($B67=180,1/6,IF($B67=150,1/5,IF($B67=120,1/4,IF($B67=90,1/3,0))))</f>
        <v>0</v>
      </c>
      <c r="F67" s="2068">
        <f>IF($B67=180,1/6,IF($B67=150,1/5,IF($B67=120,1/4,0)))</f>
        <v>0</v>
      </c>
      <c r="G67" s="2068">
        <f>IF($B67=180,1/6,IF($B67=150,1/5,0))</f>
        <v>0</v>
      </c>
      <c r="H67" s="2068">
        <f>IF(B67=180,1/6,0)</f>
        <v>0</v>
      </c>
      <c r="I67" s="554">
        <f>SUM(C67:H67)</f>
        <v>1</v>
      </c>
      <c r="J67" s="549" t="str">
        <f>IF(I67&lt;&gt;1,"ERROR EN PORCENTAJES","")</f>
        <v/>
      </c>
    </row>
    <row r="70" spans="1:10" ht="25.5">
      <c r="A70" s="326" t="str">
        <f>CONCATENATE("Política de Pagos por Compras y Costes Variables para el  ",Parametros!$B$78)</f>
        <v>Política de Pagos por Compras y Costes Variables para el  Año 1:  2027</v>
      </c>
      <c r="B70" s="546"/>
      <c r="C70" s="543"/>
      <c r="D70" s="547"/>
      <c r="E70" s="277"/>
      <c r="F70" s="543"/>
      <c r="G70" s="543"/>
      <c r="H70" s="543"/>
      <c r="I70" s="548"/>
    </row>
    <row r="71" spans="1:10" ht="6" customHeight="1" thickBot="1">
      <c r="A71" s="550"/>
      <c r="B71" s="550"/>
      <c r="C71" s="550"/>
      <c r="D71" s="550"/>
      <c r="E71" s="550"/>
      <c r="F71" s="550"/>
      <c r="G71" s="550"/>
      <c r="H71" s="550"/>
      <c r="I71" s="550"/>
    </row>
    <row r="72" spans="1:10" s="34" customFormat="1" ht="19.5" customHeight="1" thickBot="1">
      <c r="A72" s="167" t="str">
        <f t="array" ref="A72:J72">A$6:J$6</f>
        <v>Productos</v>
      </c>
      <c r="B72" s="555" t="str">
        <v>% contado</v>
      </c>
      <c r="C72" s="556">
        <v>30</v>
      </c>
      <c r="D72" s="556">
        <v>60</v>
      </c>
      <c r="E72" s="556">
        <v>90</v>
      </c>
      <c r="F72" s="556">
        <v>120</v>
      </c>
      <c r="G72" s="556">
        <v>150</v>
      </c>
      <c r="H72" s="556">
        <v>180</v>
      </c>
      <c r="I72" s="555" t="str">
        <v>Totales</v>
      </c>
      <c r="J72" s="555" t="str">
        <v>días media</v>
      </c>
    </row>
    <row r="73" spans="1:10">
      <c r="A73" s="1363" t="str">
        <f t="array" ref="A73:A80">productos</f>
        <v>producto o servicio</v>
      </c>
      <c r="B73" s="544">
        <f>IF(SUM(C73:H73)&gt;1,"ERROR",1-SUM(C73:H73))</f>
        <v>1</v>
      </c>
      <c r="C73" s="545">
        <f t="shared" ref="C73:H80" si="10">C55</f>
        <v>0</v>
      </c>
      <c r="D73" s="545">
        <f t="shared" si="10"/>
        <v>0</v>
      </c>
      <c r="E73" s="545">
        <f t="shared" si="10"/>
        <v>0</v>
      </c>
      <c r="F73" s="545">
        <f t="shared" si="10"/>
        <v>0</v>
      </c>
      <c r="G73" s="545">
        <f t="shared" si="10"/>
        <v>0</v>
      </c>
      <c r="H73" s="545">
        <f t="shared" si="10"/>
        <v>0</v>
      </c>
      <c r="I73" s="551">
        <f t="shared" ref="I73:I80" si="11">SUM(B73:H73)</f>
        <v>1</v>
      </c>
      <c r="J73" s="1962">
        <f t="array" ref="J73">SUM($C$6:$H$6*C73:H73)</f>
        <v>0</v>
      </c>
    </row>
    <row r="74" spans="1:10">
      <c r="A74" s="1364" t="str">
        <v/>
      </c>
      <c r="B74" s="544">
        <f t="shared" ref="B74:B80" si="12">IF(SUM(C74:H74)&gt;1,"ERROR",1-SUM(C74:H74))</f>
        <v>1</v>
      </c>
      <c r="C74" s="545">
        <f t="shared" si="10"/>
        <v>0</v>
      </c>
      <c r="D74" s="545">
        <f t="shared" si="10"/>
        <v>0</v>
      </c>
      <c r="E74" s="545">
        <f t="shared" si="10"/>
        <v>0</v>
      </c>
      <c r="F74" s="545">
        <f t="shared" si="10"/>
        <v>0</v>
      </c>
      <c r="G74" s="545">
        <f t="shared" si="10"/>
        <v>0</v>
      </c>
      <c r="H74" s="545">
        <f t="shared" si="10"/>
        <v>0</v>
      </c>
      <c r="I74" s="551">
        <f t="shared" si="11"/>
        <v>1</v>
      </c>
      <c r="J74" s="1962">
        <f t="array" ref="J74">SUM($C$6:$H$6*C74:H74)</f>
        <v>0</v>
      </c>
    </row>
    <row r="75" spans="1:10">
      <c r="A75" s="1364" t="str">
        <v/>
      </c>
      <c r="B75" s="544">
        <f t="shared" si="12"/>
        <v>1</v>
      </c>
      <c r="C75" s="545">
        <f t="shared" si="10"/>
        <v>0</v>
      </c>
      <c r="D75" s="545">
        <f t="shared" si="10"/>
        <v>0</v>
      </c>
      <c r="E75" s="545">
        <f t="shared" si="10"/>
        <v>0</v>
      </c>
      <c r="F75" s="545">
        <f t="shared" si="10"/>
        <v>0</v>
      </c>
      <c r="G75" s="545">
        <f t="shared" si="10"/>
        <v>0</v>
      </c>
      <c r="H75" s="545">
        <f t="shared" si="10"/>
        <v>0</v>
      </c>
      <c r="I75" s="551">
        <f t="shared" si="11"/>
        <v>1</v>
      </c>
      <c r="J75" s="1962">
        <f t="array" ref="J75">SUM($C$6:$H$6*C75:H75)</f>
        <v>0</v>
      </c>
    </row>
    <row r="76" spans="1:10">
      <c r="A76" s="1364" t="str">
        <v/>
      </c>
      <c r="B76" s="544">
        <f t="shared" si="12"/>
        <v>1</v>
      </c>
      <c r="C76" s="545">
        <f t="shared" si="10"/>
        <v>0</v>
      </c>
      <c r="D76" s="545">
        <f t="shared" si="10"/>
        <v>0</v>
      </c>
      <c r="E76" s="545">
        <f t="shared" si="10"/>
        <v>0</v>
      </c>
      <c r="F76" s="545">
        <f t="shared" si="10"/>
        <v>0</v>
      </c>
      <c r="G76" s="545">
        <f t="shared" si="10"/>
        <v>0</v>
      </c>
      <c r="H76" s="545">
        <f t="shared" si="10"/>
        <v>0</v>
      </c>
      <c r="I76" s="551">
        <f t="shared" si="11"/>
        <v>1</v>
      </c>
      <c r="J76" s="1962">
        <f t="array" ref="J76">SUM($C$6:$H$6*C76:H76)</f>
        <v>0</v>
      </c>
    </row>
    <row r="77" spans="1:10">
      <c r="A77" s="1364" t="str">
        <v/>
      </c>
      <c r="B77" s="544">
        <f t="shared" si="12"/>
        <v>1</v>
      </c>
      <c r="C77" s="545">
        <f t="shared" si="10"/>
        <v>0</v>
      </c>
      <c r="D77" s="545">
        <f t="shared" si="10"/>
        <v>0</v>
      </c>
      <c r="E77" s="545">
        <f t="shared" si="10"/>
        <v>0</v>
      </c>
      <c r="F77" s="545">
        <f t="shared" si="10"/>
        <v>0</v>
      </c>
      <c r="G77" s="545">
        <f t="shared" si="10"/>
        <v>0</v>
      </c>
      <c r="H77" s="545">
        <f t="shared" si="10"/>
        <v>0</v>
      </c>
      <c r="I77" s="551">
        <f t="shared" si="11"/>
        <v>1</v>
      </c>
      <c r="J77" s="1962">
        <f t="array" ref="J77">SUM($C$6:$H$6*C77:H77)</f>
        <v>0</v>
      </c>
    </row>
    <row r="78" spans="1:10">
      <c r="A78" s="1364" t="str">
        <v/>
      </c>
      <c r="B78" s="544">
        <f t="shared" si="12"/>
        <v>1</v>
      </c>
      <c r="C78" s="545">
        <f t="shared" si="10"/>
        <v>0</v>
      </c>
      <c r="D78" s="545">
        <f t="shared" si="10"/>
        <v>0</v>
      </c>
      <c r="E78" s="545">
        <f t="shared" si="10"/>
        <v>0</v>
      </c>
      <c r="F78" s="545">
        <f t="shared" si="10"/>
        <v>0</v>
      </c>
      <c r="G78" s="545">
        <f t="shared" si="10"/>
        <v>0</v>
      </c>
      <c r="H78" s="545">
        <f t="shared" si="10"/>
        <v>0</v>
      </c>
      <c r="I78" s="551">
        <f t="shared" si="11"/>
        <v>1</v>
      </c>
      <c r="J78" s="1962">
        <f t="array" ref="J78">SUM($C$6:$H$6*C78:H78)</f>
        <v>0</v>
      </c>
    </row>
    <row r="79" spans="1:10">
      <c r="A79" s="1364" t="str">
        <v/>
      </c>
      <c r="B79" s="544">
        <f t="shared" si="12"/>
        <v>1</v>
      </c>
      <c r="C79" s="545">
        <f t="shared" si="10"/>
        <v>0</v>
      </c>
      <c r="D79" s="545">
        <f t="shared" si="10"/>
        <v>0</v>
      </c>
      <c r="E79" s="545">
        <f t="shared" si="10"/>
        <v>0</v>
      </c>
      <c r="F79" s="545">
        <f t="shared" si="10"/>
        <v>0</v>
      </c>
      <c r="G79" s="545">
        <f t="shared" si="10"/>
        <v>0</v>
      </c>
      <c r="H79" s="545">
        <f t="shared" si="10"/>
        <v>0</v>
      </c>
      <c r="I79" s="551">
        <f t="shared" si="11"/>
        <v>1</v>
      </c>
      <c r="J79" s="1962">
        <f t="array" ref="J79">SUM($C$6:$H$6*C79:H79)</f>
        <v>0</v>
      </c>
    </row>
    <row r="80" spans="1:10" ht="15.75" thickBot="1">
      <c r="A80" s="1365" t="str">
        <v/>
      </c>
      <c r="B80" s="552">
        <f t="shared" si="12"/>
        <v>1</v>
      </c>
      <c r="C80" s="553">
        <f t="shared" si="10"/>
        <v>0</v>
      </c>
      <c r="D80" s="553">
        <f t="shared" si="10"/>
        <v>0</v>
      </c>
      <c r="E80" s="553">
        <f t="shared" si="10"/>
        <v>0</v>
      </c>
      <c r="F80" s="553">
        <f t="shared" si="10"/>
        <v>0</v>
      </c>
      <c r="G80" s="553">
        <f t="shared" si="10"/>
        <v>0</v>
      </c>
      <c r="H80" s="553">
        <f t="shared" si="10"/>
        <v>0</v>
      </c>
      <c r="I80" s="554">
        <f t="shared" si="11"/>
        <v>1</v>
      </c>
      <c r="J80" s="1962">
        <f t="array" ref="J80">SUM($C$6:$H$6*C80:H80)</f>
        <v>0</v>
      </c>
    </row>
    <row r="83" spans="1:10">
      <c r="A83" s="1544"/>
    </row>
    <row r="85" spans="1:10" ht="25.5">
      <c r="A85" s="326" t="str">
        <f>CONCATENATE("Política de Pagos de Compras y Costes Variables para los años (",Parametros!F65,", ",Parametros!G65," y ",Parametros!H65,")")</f>
        <v>Política de Pagos de Compras y Costes Variables para los años (2028, 2029 y 2030)</v>
      </c>
      <c r="B85" s="546"/>
      <c r="C85" s="543"/>
      <c r="D85" s="547"/>
      <c r="E85" s="277"/>
      <c r="F85" s="543"/>
      <c r="G85" s="543"/>
      <c r="H85" s="543"/>
      <c r="I85" s="548"/>
    </row>
    <row r="86" spans="1:10" ht="15.75" thickBot="1">
      <c r="A86" s="550"/>
      <c r="B86" s="550"/>
      <c r="C86" s="550"/>
      <c r="D86" s="550"/>
      <c r="E86" s="550"/>
      <c r="F86" s="550"/>
      <c r="G86" s="550"/>
      <c r="H86" s="550"/>
      <c r="I86" s="550"/>
    </row>
    <row r="87" spans="1:10" s="34" customFormat="1" ht="19.5" customHeight="1" thickBot="1">
      <c r="A87" s="167" t="str">
        <f t="array" ref="A87:J87">A$6:J$6</f>
        <v>Productos</v>
      </c>
      <c r="B87" s="555" t="str">
        <v>% contado</v>
      </c>
      <c r="C87" s="556">
        <v>30</v>
      </c>
      <c r="D87" s="556">
        <v>60</v>
      </c>
      <c r="E87" s="556">
        <v>90</v>
      </c>
      <c r="F87" s="556">
        <v>120</v>
      </c>
      <c r="G87" s="556">
        <v>150</v>
      </c>
      <c r="H87" s="556">
        <v>180</v>
      </c>
      <c r="I87" s="555" t="str">
        <v>Totales</v>
      </c>
      <c r="J87" s="555" t="str">
        <v>días media</v>
      </c>
    </row>
    <row r="88" spans="1:10">
      <c r="A88" s="1363" t="str">
        <f t="array" ref="A88:A95">productos</f>
        <v>producto o servicio</v>
      </c>
      <c r="B88" s="544">
        <f>IF(SUM(C88:H88)&gt;1,"ERROR",1-SUM(C88:H88))</f>
        <v>1</v>
      </c>
      <c r="C88" s="545">
        <f t="shared" ref="C88:H95" si="13">C73</f>
        <v>0</v>
      </c>
      <c r="D88" s="545">
        <f t="shared" si="13"/>
        <v>0</v>
      </c>
      <c r="E88" s="545">
        <f t="shared" si="13"/>
        <v>0</v>
      </c>
      <c r="F88" s="545">
        <f t="shared" si="13"/>
        <v>0</v>
      </c>
      <c r="G88" s="545">
        <f t="shared" si="13"/>
        <v>0</v>
      </c>
      <c r="H88" s="545">
        <f t="shared" si="13"/>
        <v>0</v>
      </c>
      <c r="I88" s="551">
        <f t="shared" ref="I88:I95" si="14">SUM(B88:H88)</f>
        <v>1</v>
      </c>
      <c r="J88" s="1962">
        <f t="array" ref="J88">SUM($C$6:$H$6*C88:H88)</f>
        <v>0</v>
      </c>
    </row>
    <row r="89" spans="1:10">
      <c r="A89" s="1364" t="str">
        <v/>
      </c>
      <c r="B89" s="544">
        <f t="shared" ref="B89:B95" si="15">IF(SUM(C89:H89)&gt;1,"ERROR",1-SUM(C89:H89))</f>
        <v>1</v>
      </c>
      <c r="C89" s="545">
        <f t="shared" si="13"/>
        <v>0</v>
      </c>
      <c r="D89" s="545">
        <f t="shared" si="13"/>
        <v>0</v>
      </c>
      <c r="E89" s="545">
        <f t="shared" si="13"/>
        <v>0</v>
      </c>
      <c r="F89" s="545">
        <f t="shared" si="13"/>
        <v>0</v>
      </c>
      <c r="G89" s="545">
        <f t="shared" si="13"/>
        <v>0</v>
      </c>
      <c r="H89" s="545">
        <f t="shared" si="13"/>
        <v>0</v>
      </c>
      <c r="I89" s="551">
        <f t="shared" si="14"/>
        <v>1</v>
      </c>
      <c r="J89" s="1962">
        <f t="array" ref="J89">SUM($C$6:$H$6*C89:H89)</f>
        <v>0</v>
      </c>
    </row>
    <row r="90" spans="1:10">
      <c r="A90" s="1364" t="str">
        <v/>
      </c>
      <c r="B90" s="544">
        <f t="shared" si="15"/>
        <v>1</v>
      </c>
      <c r="C90" s="545">
        <f t="shared" si="13"/>
        <v>0</v>
      </c>
      <c r="D90" s="545">
        <f t="shared" si="13"/>
        <v>0</v>
      </c>
      <c r="E90" s="545">
        <f t="shared" si="13"/>
        <v>0</v>
      </c>
      <c r="F90" s="545">
        <f t="shared" si="13"/>
        <v>0</v>
      </c>
      <c r="G90" s="545">
        <f t="shared" si="13"/>
        <v>0</v>
      </c>
      <c r="H90" s="545">
        <f t="shared" si="13"/>
        <v>0</v>
      </c>
      <c r="I90" s="551">
        <f t="shared" si="14"/>
        <v>1</v>
      </c>
      <c r="J90" s="1962">
        <f t="array" ref="J90">SUM($C$6:$H$6*C90:H90)</f>
        <v>0</v>
      </c>
    </row>
    <row r="91" spans="1:10">
      <c r="A91" s="1364" t="str">
        <v/>
      </c>
      <c r="B91" s="544">
        <f t="shared" si="15"/>
        <v>1</v>
      </c>
      <c r="C91" s="545">
        <f t="shared" si="13"/>
        <v>0</v>
      </c>
      <c r="D91" s="545">
        <f t="shared" si="13"/>
        <v>0</v>
      </c>
      <c r="E91" s="545">
        <f t="shared" si="13"/>
        <v>0</v>
      </c>
      <c r="F91" s="545">
        <f t="shared" si="13"/>
        <v>0</v>
      </c>
      <c r="G91" s="545">
        <f t="shared" si="13"/>
        <v>0</v>
      </c>
      <c r="H91" s="545">
        <f t="shared" si="13"/>
        <v>0</v>
      </c>
      <c r="I91" s="551">
        <f t="shared" si="14"/>
        <v>1</v>
      </c>
      <c r="J91" s="1962">
        <f t="array" ref="J91">SUM($C$6:$H$6*C91:H91)</f>
        <v>0</v>
      </c>
    </row>
    <row r="92" spans="1:10">
      <c r="A92" s="1364" t="str">
        <v/>
      </c>
      <c r="B92" s="544">
        <f t="shared" si="15"/>
        <v>1</v>
      </c>
      <c r="C92" s="545">
        <f t="shared" si="13"/>
        <v>0</v>
      </c>
      <c r="D92" s="545">
        <f t="shared" si="13"/>
        <v>0</v>
      </c>
      <c r="E92" s="545">
        <f t="shared" si="13"/>
        <v>0</v>
      </c>
      <c r="F92" s="545">
        <f t="shared" si="13"/>
        <v>0</v>
      </c>
      <c r="G92" s="545">
        <f t="shared" si="13"/>
        <v>0</v>
      </c>
      <c r="H92" s="545">
        <f t="shared" si="13"/>
        <v>0</v>
      </c>
      <c r="I92" s="551">
        <f t="shared" si="14"/>
        <v>1</v>
      </c>
      <c r="J92" s="1962">
        <f t="array" ref="J92">SUM($C$6:$H$6*C92:H92)</f>
        <v>0</v>
      </c>
    </row>
    <row r="93" spans="1:10">
      <c r="A93" s="1364" t="str">
        <v/>
      </c>
      <c r="B93" s="544">
        <f t="shared" si="15"/>
        <v>1</v>
      </c>
      <c r="C93" s="545">
        <f t="shared" si="13"/>
        <v>0</v>
      </c>
      <c r="D93" s="545">
        <f t="shared" si="13"/>
        <v>0</v>
      </c>
      <c r="E93" s="545">
        <f t="shared" si="13"/>
        <v>0</v>
      </c>
      <c r="F93" s="545">
        <f t="shared" si="13"/>
        <v>0</v>
      </c>
      <c r="G93" s="545">
        <f t="shared" si="13"/>
        <v>0</v>
      </c>
      <c r="H93" s="545">
        <f t="shared" si="13"/>
        <v>0</v>
      </c>
      <c r="I93" s="551">
        <f t="shared" si="14"/>
        <v>1</v>
      </c>
      <c r="J93" s="1962">
        <f t="array" ref="J93">SUM($C$6:$H$6*C93:H93)</f>
        <v>0</v>
      </c>
    </row>
    <row r="94" spans="1:10">
      <c r="A94" s="1364" t="str">
        <v/>
      </c>
      <c r="B94" s="544">
        <f t="shared" si="15"/>
        <v>1</v>
      </c>
      <c r="C94" s="545">
        <f t="shared" si="13"/>
        <v>0</v>
      </c>
      <c r="D94" s="545">
        <f t="shared" si="13"/>
        <v>0</v>
      </c>
      <c r="E94" s="545">
        <f t="shared" si="13"/>
        <v>0</v>
      </c>
      <c r="F94" s="545">
        <f t="shared" si="13"/>
        <v>0</v>
      </c>
      <c r="G94" s="545">
        <f t="shared" si="13"/>
        <v>0</v>
      </c>
      <c r="H94" s="545">
        <f t="shared" si="13"/>
        <v>0</v>
      </c>
      <c r="I94" s="551">
        <f t="shared" si="14"/>
        <v>1</v>
      </c>
      <c r="J94" s="1962">
        <f t="array" ref="J94">SUM($C$6:$H$6*C94:H94)</f>
        <v>0</v>
      </c>
    </row>
    <row r="95" spans="1:10" ht="15.75" thickBot="1">
      <c r="A95" s="1365" t="str">
        <v/>
      </c>
      <c r="B95" s="552">
        <f t="shared" si="15"/>
        <v>1</v>
      </c>
      <c r="C95" s="553">
        <f t="shared" si="13"/>
        <v>0</v>
      </c>
      <c r="D95" s="553">
        <f t="shared" si="13"/>
        <v>0</v>
      </c>
      <c r="E95" s="553">
        <f t="shared" si="13"/>
        <v>0</v>
      </c>
      <c r="F95" s="553">
        <f t="shared" si="13"/>
        <v>0</v>
      </c>
      <c r="G95" s="553">
        <f t="shared" si="13"/>
        <v>0</v>
      </c>
      <c r="H95" s="553">
        <f t="shared" si="13"/>
        <v>0</v>
      </c>
      <c r="I95" s="554">
        <f t="shared" si="14"/>
        <v>1</v>
      </c>
      <c r="J95" s="1962">
        <f t="array" ref="J95">SUM($C$6:$H$6*C95:H95)</f>
        <v>0</v>
      </c>
    </row>
  </sheetData>
  <sheetProtection sheet="1" objects="1" scenarios="1"/>
  <phoneticPr fontId="6" type="noConversion"/>
  <dataValidations count="1">
    <dataValidation type="decimal" allowBlank="1" showInputMessage="1" showErrorMessage="1" sqref="C67:H67 C55:H62 C73:H80 C88:H95 C39:H46 C24:H31 C7:H14 C19:H19" xr:uid="{00000000-0002-0000-1300-000000000000}">
      <formula1>0</formula1>
      <formula2>1</formula2>
    </dataValidation>
  </dataValidations>
  <printOptions horizontalCentered="1"/>
  <pageMargins left="0.51181102362204722" right="0.31496062992125984" top="0.86614173228346458" bottom="2.0078740157480315" header="0" footer="0"/>
  <pageSetup paperSize="9" scale="73" fitToHeight="2" orientation="portrait" horizontalDpi="300" r:id="rId1"/>
  <headerFooter alignWithMargins="0"/>
  <rowBreaks count="1" manualBreakCount="1">
    <brk id="49" max="9"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21">
    <tabColor indexed="50"/>
    <pageSetUpPr fitToPage="1"/>
  </sheetPr>
  <dimension ref="A1:Q79"/>
  <sheetViews>
    <sheetView workbookViewId="0"/>
  </sheetViews>
  <sheetFormatPr baseColWidth="10" defaultColWidth="11" defaultRowHeight="12.75"/>
  <cols>
    <col min="1" max="1" width="23.75" style="232" customWidth="1"/>
    <col min="2" max="2" width="13" style="61" customWidth="1"/>
    <col min="3" max="3" width="9.875" style="61" bestFit="1" customWidth="1"/>
    <col min="4" max="4" width="11" style="61"/>
    <col min="5" max="5" width="10.375" style="61" customWidth="1"/>
    <col min="6" max="6" width="10.125" style="61" bestFit="1" customWidth="1"/>
    <col min="7" max="7" width="10.125" style="61" customWidth="1"/>
    <col min="8" max="8" width="9.25" style="61" customWidth="1"/>
    <col min="9" max="9" width="10.625" style="61" customWidth="1"/>
    <col min="10" max="10" width="11.75" style="61" customWidth="1"/>
    <col min="11" max="11" width="10" style="61" customWidth="1"/>
    <col min="12" max="13" width="10.5" style="61" customWidth="1"/>
    <col min="14" max="14" width="10.5" style="232" customWidth="1"/>
    <col min="15" max="16384" width="11" style="61"/>
  </cols>
  <sheetData>
    <row r="1" spans="1:17" ht="22.5">
      <c r="A1" s="67" t="s">
        <v>332</v>
      </c>
      <c r="F1" s="3106"/>
      <c r="G1" s="3106"/>
      <c r="H1" s="3106"/>
      <c r="I1" s="3106"/>
      <c r="J1" s="3106"/>
      <c r="K1" s="3106"/>
      <c r="L1" s="3106"/>
      <c r="M1" s="3106"/>
      <c r="N1" s="3107"/>
    </row>
    <row r="2" spans="1:17" ht="22.5">
      <c r="A2" s="67" t="str">
        <f>'Datos Básicos'!B9</f>
        <v>nombre empresa</v>
      </c>
      <c r="F2" s="3106"/>
      <c r="G2" s="3106"/>
      <c r="H2" s="3106"/>
      <c r="I2" s="3106"/>
      <c r="J2" s="3106"/>
      <c r="K2" s="3106"/>
      <c r="L2" s="3106"/>
      <c r="M2" s="3106"/>
      <c r="N2" s="3107"/>
      <c r="Q2" s="3106" t="s">
        <v>1297</v>
      </c>
    </row>
    <row r="3" spans="1:17" ht="18" customHeight="1">
      <c r="A3" s="59"/>
      <c r="F3" s="3106"/>
      <c r="G3" s="3106"/>
      <c r="H3" s="3106"/>
      <c r="I3" s="3106"/>
      <c r="J3" s="3106"/>
      <c r="K3" s="3106"/>
      <c r="L3" s="3106"/>
      <c r="M3" s="3106"/>
      <c r="N3" s="3107"/>
      <c r="Q3" s="3348">
        <v>12</v>
      </c>
    </row>
    <row r="4" spans="1:17" ht="20.25" thickBot="1">
      <c r="A4" s="243" t="s">
        <v>299</v>
      </c>
      <c r="E4" s="2702" t="str">
        <f>Parametros!B$77</f>
        <v>Año 0:  2026</v>
      </c>
      <c r="F4" s="238"/>
    </row>
    <row r="5" spans="1:17" ht="31.5" customHeight="1" thickBot="1">
      <c r="A5" s="242" t="s">
        <v>167</v>
      </c>
      <c r="B5" s="240" t="str">
        <f t="array" ref="B5:M5">CONCATENATE(meses," 
",Parametros!B$76:M$76)</f>
        <v>enero 
2026</v>
      </c>
      <c r="C5" s="240" t="str">
        <v>febrero 
2026</v>
      </c>
      <c r="D5" s="240" t="str">
        <v>marzo 
2026</v>
      </c>
      <c r="E5" s="240" t="str">
        <v>abril 
2026</v>
      </c>
      <c r="F5" s="240" t="str">
        <v>mayo 
2026</v>
      </c>
      <c r="G5" s="240" t="str">
        <v>junio 
2026</v>
      </c>
      <c r="H5" s="240" t="str">
        <v>julio 
2026</v>
      </c>
      <c r="I5" s="240" t="str">
        <v>agosto 
2026</v>
      </c>
      <c r="J5" s="240" t="str">
        <v>septiembre 
2026</v>
      </c>
      <c r="K5" s="240" t="str">
        <v>octubre 
2026</v>
      </c>
      <c r="L5" s="240" t="str">
        <v>noviembre 
2026</v>
      </c>
      <c r="M5" s="241" t="str">
        <v>diciembre 
2026</v>
      </c>
      <c r="N5" s="239" t="str">
        <f>CONCATENATE("Totales  
",Parametros!D$65)</f>
        <v>Totales  
2026</v>
      </c>
      <c r="O5" s="3105"/>
      <c r="P5" s="3074" t="s">
        <v>1202</v>
      </c>
    </row>
    <row r="6" spans="1:17" ht="13.5" thickBot="1">
      <c r="A6" s="1520" t="str">
        <f t="array" ref="A6:A13">productos</f>
        <v>producto o servicio</v>
      </c>
      <c r="B6" s="236">
        <v>500</v>
      </c>
      <c r="C6" s="236">
        <f t="shared" ref="C6:M6" si="0">(COLUMN()&gt;mes0)*( MIN(  MAX(0, $B6 + ( ($B19-$B6) + (C19-$N19/12) ) * ( COLUMN()-mes0-1 )/(mesesrampainicial-mes0)),    C19) )</f>
        <v>534.469696969697</v>
      </c>
      <c r="D6" s="236">
        <f t="shared" si="0"/>
        <v>587.12121212121212</v>
      </c>
      <c r="E6" s="236">
        <f t="shared" si="0"/>
        <v>617.0454545454545</v>
      </c>
      <c r="F6" s="236">
        <f t="shared" si="0"/>
        <v>601.5151515151515</v>
      </c>
      <c r="G6" s="236">
        <f t="shared" si="0"/>
        <v>604.16666666666663</v>
      </c>
      <c r="H6" s="236">
        <f t="shared" si="0"/>
        <v>597.72727272727275</v>
      </c>
      <c r="I6" s="236">
        <f t="shared" si="0"/>
        <v>486.74242424242419</v>
      </c>
      <c r="J6" s="236">
        <f t="shared" si="0"/>
        <v>630.30303030303025</v>
      </c>
      <c r="K6" s="236">
        <f t="shared" si="0"/>
        <v>769.31818181818176</v>
      </c>
      <c r="L6" s="236">
        <f t="shared" si="0"/>
        <v>844.69696969696963</v>
      </c>
      <c r="M6" s="236">
        <f t="shared" si="0"/>
        <v>1079.1666666666665</v>
      </c>
      <c r="N6" s="933">
        <f t="shared" ref="N6:N12" ca="1" si="1">SUM(OFFSET(B6,0,mes0-1,1,13-mes0))</f>
        <v>7852.2727272727261</v>
      </c>
      <c r="O6" s="2511"/>
      <c r="P6" s="3075">
        <f ca="1">N6</f>
        <v>7852.2727272727261</v>
      </c>
    </row>
    <row r="7" spans="1:17">
      <c r="A7" s="1521" t="str">
        <v/>
      </c>
      <c r="B7" s="3226">
        <v>0</v>
      </c>
      <c r="C7" s="3226">
        <f t="shared" ref="C7:M7" si="2">IF(COLUMN(B$5)&lt;mes0,0,MIN(MAX(0, $B7 + ( ($B20-$B7) + (C20-$N20/12) ) * ( COLUMN(B$5)-mes0 )/(12-mes0)),C20))</f>
        <v>0</v>
      </c>
      <c r="D7" s="3226">
        <f t="shared" si="2"/>
        <v>0</v>
      </c>
      <c r="E7" s="3226">
        <f t="shared" si="2"/>
        <v>0</v>
      </c>
      <c r="F7" s="3226">
        <f t="shared" si="2"/>
        <v>0</v>
      </c>
      <c r="G7" s="3226">
        <f t="shared" si="2"/>
        <v>0</v>
      </c>
      <c r="H7" s="3226">
        <f t="shared" si="2"/>
        <v>0</v>
      </c>
      <c r="I7" s="3226">
        <f t="shared" si="2"/>
        <v>0</v>
      </c>
      <c r="J7" s="3226">
        <f t="shared" si="2"/>
        <v>0</v>
      </c>
      <c r="K7" s="3226">
        <f t="shared" si="2"/>
        <v>0</v>
      </c>
      <c r="L7" s="3226">
        <f t="shared" si="2"/>
        <v>0</v>
      </c>
      <c r="M7" s="3226">
        <f t="shared" si="2"/>
        <v>0</v>
      </c>
      <c r="N7" s="3221">
        <f t="shared" ca="1" si="1"/>
        <v>0</v>
      </c>
      <c r="O7" s="2512"/>
    </row>
    <row r="8" spans="1:17">
      <c r="A8" s="1521" t="str">
        <v/>
      </c>
      <c r="B8" s="3226">
        <v>0</v>
      </c>
      <c r="C8" s="3226">
        <f t="shared" ref="C8:M8" si="3">IF(COLUMN(B$5)&lt;mes0,0,MIN(MAX(0, $B8 + ( ($B21-$B8) + (C21-$N21/12) ) * ( COLUMN(B$5)-mes0 )/(12-mes0)),C21))</f>
        <v>0</v>
      </c>
      <c r="D8" s="3226">
        <f t="shared" si="3"/>
        <v>0</v>
      </c>
      <c r="E8" s="3226">
        <f t="shared" si="3"/>
        <v>0</v>
      </c>
      <c r="F8" s="3226">
        <f t="shared" si="3"/>
        <v>0</v>
      </c>
      <c r="G8" s="3226">
        <f t="shared" si="3"/>
        <v>0</v>
      </c>
      <c r="H8" s="3226">
        <f t="shared" si="3"/>
        <v>0</v>
      </c>
      <c r="I8" s="3226">
        <f t="shared" si="3"/>
        <v>0</v>
      </c>
      <c r="J8" s="3226">
        <f t="shared" si="3"/>
        <v>0</v>
      </c>
      <c r="K8" s="3226">
        <f t="shared" si="3"/>
        <v>0</v>
      </c>
      <c r="L8" s="3226">
        <f t="shared" si="3"/>
        <v>0</v>
      </c>
      <c r="M8" s="3226">
        <f t="shared" si="3"/>
        <v>0</v>
      </c>
      <c r="N8" s="3221">
        <f t="shared" ca="1" si="1"/>
        <v>0</v>
      </c>
      <c r="O8" s="2512"/>
    </row>
    <row r="9" spans="1:17">
      <c r="A9" s="1521" t="str">
        <v/>
      </c>
      <c r="B9" s="3226">
        <v>0</v>
      </c>
      <c r="C9" s="3226">
        <f t="shared" ref="C9:M9" si="4">IF(COLUMN(B$5)&lt;mes0,0,MIN(MAX(0, $B9 + ( ($B22-$B9) + (C22-$N22/12) ) * ( COLUMN(B$5)-mes0 )/(12-mes0)),C22))</f>
        <v>0</v>
      </c>
      <c r="D9" s="3226">
        <f t="shared" si="4"/>
        <v>0</v>
      </c>
      <c r="E9" s="3226">
        <f t="shared" si="4"/>
        <v>0</v>
      </c>
      <c r="F9" s="3226">
        <f t="shared" si="4"/>
        <v>0</v>
      </c>
      <c r="G9" s="3226">
        <f t="shared" si="4"/>
        <v>0</v>
      </c>
      <c r="H9" s="3226">
        <f t="shared" si="4"/>
        <v>0</v>
      </c>
      <c r="I9" s="3226">
        <f t="shared" si="4"/>
        <v>0</v>
      </c>
      <c r="J9" s="3226">
        <f t="shared" si="4"/>
        <v>0</v>
      </c>
      <c r="K9" s="3226">
        <f t="shared" si="4"/>
        <v>0</v>
      </c>
      <c r="L9" s="3226">
        <f t="shared" si="4"/>
        <v>0</v>
      </c>
      <c r="M9" s="3226">
        <f t="shared" si="4"/>
        <v>0</v>
      </c>
      <c r="N9" s="3221">
        <f t="shared" ca="1" si="1"/>
        <v>0</v>
      </c>
      <c r="O9" s="2512"/>
    </row>
    <row r="10" spans="1:17">
      <c r="A10" s="1521" t="str">
        <v/>
      </c>
      <c r="B10" s="3227">
        <v>0</v>
      </c>
      <c r="C10" s="3226">
        <f t="shared" ref="C10:M10" si="5">IF(COLUMN(B$5)&lt;mes0,0,MIN(MAX(0, $B10 + ( ($B23-$B10) + (C23-$N23/12) ) * ( COLUMN(B$5)-mes0 )/(12-mes0)),C23))</f>
        <v>0</v>
      </c>
      <c r="D10" s="3226">
        <f t="shared" si="5"/>
        <v>0</v>
      </c>
      <c r="E10" s="3226">
        <f t="shared" si="5"/>
        <v>0</v>
      </c>
      <c r="F10" s="3226">
        <f t="shared" si="5"/>
        <v>0</v>
      </c>
      <c r="G10" s="3226">
        <f t="shared" si="5"/>
        <v>0</v>
      </c>
      <c r="H10" s="3226">
        <f t="shared" si="5"/>
        <v>0</v>
      </c>
      <c r="I10" s="3226">
        <f t="shared" si="5"/>
        <v>0</v>
      </c>
      <c r="J10" s="3226">
        <f t="shared" si="5"/>
        <v>0</v>
      </c>
      <c r="K10" s="3226">
        <f t="shared" si="5"/>
        <v>0</v>
      </c>
      <c r="L10" s="3226">
        <f t="shared" si="5"/>
        <v>0</v>
      </c>
      <c r="M10" s="3228">
        <f t="shared" si="5"/>
        <v>0</v>
      </c>
      <c r="N10" s="3221">
        <f t="shared" ca="1" si="1"/>
        <v>0</v>
      </c>
      <c r="O10" s="2512"/>
    </row>
    <row r="11" spans="1:17">
      <c r="A11" s="1521" t="str">
        <v/>
      </c>
      <c r="B11" s="3227">
        <v>0</v>
      </c>
      <c r="C11" s="3226">
        <f t="shared" ref="C11:M11" si="6">IF(COLUMN(B$5)&lt;mes0,0,MIN(MAX(0, $B11 + ( ($B24-$B11) + (C24-$N24/12) ) * ( COLUMN(B$5)-mes0 )/(12-mes0)),C24))</f>
        <v>0</v>
      </c>
      <c r="D11" s="3226">
        <f t="shared" si="6"/>
        <v>0</v>
      </c>
      <c r="E11" s="3226">
        <f t="shared" si="6"/>
        <v>0</v>
      </c>
      <c r="F11" s="3226">
        <f t="shared" si="6"/>
        <v>0</v>
      </c>
      <c r="G11" s="3226">
        <f t="shared" si="6"/>
        <v>0</v>
      </c>
      <c r="H11" s="3226">
        <f t="shared" si="6"/>
        <v>0</v>
      </c>
      <c r="I11" s="3226">
        <f t="shared" si="6"/>
        <v>0</v>
      </c>
      <c r="J11" s="3226">
        <f t="shared" si="6"/>
        <v>0</v>
      </c>
      <c r="K11" s="3226">
        <f t="shared" si="6"/>
        <v>0</v>
      </c>
      <c r="L11" s="3226">
        <f t="shared" si="6"/>
        <v>0</v>
      </c>
      <c r="M11" s="3228">
        <f t="shared" si="6"/>
        <v>0</v>
      </c>
      <c r="N11" s="3221">
        <f t="shared" ca="1" si="1"/>
        <v>0</v>
      </c>
      <c r="O11" s="2512"/>
    </row>
    <row r="12" spans="1:17">
      <c r="A12" s="1521" t="str">
        <v/>
      </c>
      <c r="B12" s="3227">
        <v>0</v>
      </c>
      <c r="C12" s="3226">
        <f t="shared" ref="C12:M12" si="7">IF(COLUMN(B$5)&lt;mes0,0,MIN(MAX(0, $B12 + ( ($B25-$B12) + (C25-$N25/12) ) * ( COLUMN(B$5)-mes0 )/(12-mes0)),C25))</f>
        <v>0</v>
      </c>
      <c r="D12" s="3226">
        <f t="shared" si="7"/>
        <v>0</v>
      </c>
      <c r="E12" s="3226">
        <f t="shared" si="7"/>
        <v>0</v>
      </c>
      <c r="F12" s="3226">
        <f t="shared" si="7"/>
        <v>0</v>
      </c>
      <c r="G12" s="3226">
        <f t="shared" si="7"/>
        <v>0</v>
      </c>
      <c r="H12" s="3226">
        <f t="shared" si="7"/>
        <v>0</v>
      </c>
      <c r="I12" s="3226">
        <f t="shared" si="7"/>
        <v>0</v>
      </c>
      <c r="J12" s="3226">
        <f t="shared" si="7"/>
        <v>0</v>
      </c>
      <c r="K12" s="3226">
        <f t="shared" si="7"/>
        <v>0</v>
      </c>
      <c r="L12" s="3226">
        <f t="shared" si="7"/>
        <v>0</v>
      </c>
      <c r="M12" s="3228">
        <f t="shared" si="7"/>
        <v>0</v>
      </c>
      <c r="N12" s="3221">
        <f t="shared" ca="1" si="1"/>
        <v>0</v>
      </c>
      <c r="O12" s="2512"/>
    </row>
    <row r="13" spans="1:17" ht="13.5" thickBot="1">
      <c r="A13" s="1522" t="str">
        <v/>
      </c>
      <c r="B13" s="3229">
        <v>0</v>
      </c>
      <c r="C13" s="3230">
        <f t="shared" ref="C13:M13" si="8">IF(COLUMN(B$5)&lt;mes0,0,MIN(MAX(0, $B13 + ( ($B26-$B13) + (C26-$N26/12) ) * ( COLUMN(B$5)-mes0 )/(12-mes0)),C26))</f>
        <v>0</v>
      </c>
      <c r="D13" s="3230">
        <f t="shared" si="8"/>
        <v>0</v>
      </c>
      <c r="E13" s="3230">
        <f t="shared" si="8"/>
        <v>0</v>
      </c>
      <c r="F13" s="3230">
        <f t="shared" si="8"/>
        <v>0</v>
      </c>
      <c r="G13" s="3230">
        <f t="shared" si="8"/>
        <v>0</v>
      </c>
      <c r="H13" s="3230">
        <f t="shared" si="8"/>
        <v>0</v>
      </c>
      <c r="I13" s="3230">
        <f t="shared" si="8"/>
        <v>0</v>
      </c>
      <c r="J13" s="3230">
        <f t="shared" si="8"/>
        <v>0</v>
      </c>
      <c r="K13" s="3230">
        <f t="shared" si="8"/>
        <v>0</v>
      </c>
      <c r="L13" s="3230">
        <f t="shared" si="8"/>
        <v>0</v>
      </c>
      <c r="M13" s="3231">
        <f t="shared" si="8"/>
        <v>0</v>
      </c>
      <c r="N13" s="3225">
        <f>SUM(B13:M13)</f>
        <v>0</v>
      </c>
      <c r="O13" s="2513"/>
    </row>
    <row r="14" spans="1:17" ht="13.5" thickBot="1">
      <c r="A14" s="103" t="s">
        <v>15</v>
      </c>
      <c r="B14" s="930">
        <f t="shared" ref="B14:M14" si="9">SUM(B6:B13)</f>
        <v>500</v>
      </c>
      <c r="C14" s="931">
        <f t="shared" si="9"/>
        <v>534.469696969697</v>
      </c>
      <c r="D14" s="931">
        <f t="shared" si="9"/>
        <v>587.12121212121212</v>
      </c>
      <c r="E14" s="931">
        <f t="shared" si="9"/>
        <v>617.0454545454545</v>
      </c>
      <c r="F14" s="931">
        <f t="shared" si="9"/>
        <v>601.5151515151515</v>
      </c>
      <c r="G14" s="931">
        <f t="shared" si="9"/>
        <v>604.16666666666663</v>
      </c>
      <c r="H14" s="931">
        <f t="shared" si="9"/>
        <v>597.72727272727275</v>
      </c>
      <c r="I14" s="931">
        <f t="shared" si="9"/>
        <v>486.74242424242419</v>
      </c>
      <c r="J14" s="931">
        <f t="shared" si="9"/>
        <v>630.30303030303025</v>
      </c>
      <c r="K14" s="931">
        <f t="shared" si="9"/>
        <v>769.31818181818176</v>
      </c>
      <c r="L14" s="931">
        <f t="shared" si="9"/>
        <v>844.69696969696963</v>
      </c>
      <c r="M14" s="932">
        <f t="shared" si="9"/>
        <v>1079.1666666666665</v>
      </c>
      <c r="N14" s="426">
        <f>SUM(B14:M14)</f>
        <v>7852.2727272727261</v>
      </c>
    </row>
    <row r="15" spans="1:17" ht="15">
      <c r="A15" s="213"/>
    </row>
    <row r="16" spans="1:17" ht="15">
      <c r="A16" s="213"/>
    </row>
    <row r="17" spans="1:16" ht="20.25" thickBot="1">
      <c r="A17" s="243" t="str">
        <f>A4</f>
        <v>Previsiones de Ventas de la empresa</v>
      </c>
      <c r="E17" s="2702" t="str">
        <f>Parametros!C$77</f>
        <v>Año 1:  2027</v>
      </c>
      <c r="F17" s="237"/>
    </row>
    <row r="18" spans="1:16" ht="31.5" customHeight="1" thickBot="1">
      <c r="A18" s="242" t="s">
        <v>167</v>
      </c>
      <c r="B18" s="240" t="str">
        <f t="array" ref="B18:M18">CONCATENATE(meses," 
",Parametros!B$76:M$76+1)</f>
        <v>enero 
2027</v>
      </c>
      <c r="C18" s="240" t="str">
        <v>febrero 
2027</v>
      </c>
      <c r="D18" s="240" t="str">
        <v>marzo 
2027</v>
      </c>
      <c r="E18" s="240" t="str">
        <v>abril 
2027</v>
      </c>
      <c r="F18" s="240" t="str">
        <v>mayo 
2027</v>
      </c>
      <c r="G18" s="240" t="str">
        <v>junio 
2027</v>
      </c>
      <c r="H18" s="240" t="str">
        <v>julio 
2027</v>
      </c>
      <c r="I18" s="240" t="str">
        <v>agosto 
2027</v>
      </c>
      <c r="J18" s="240" t="str">
        <v>septiembre 
2027</v>
      </c>
      <c r="K18" s="240" t="str">
        <v>octubre 
2027</v>
      </c>
      <c r="L18" s="240" t="str">
        <v>noviembre 
2027</v>
      </c>
      <c r="M18" s="241" t="str">
        <v>diciembre 
2027</v>
      </c>
      <c r="N18" s="239" t="str">
        <f>CONCATENATE("Totales  
",Parametros!E$65)</f>
        <v>Totales  
2027</v>
      </c>
      <c r="O18" s="3105" t="s">
        <v>1046</v>
      </c>
      <c r="P18" s="3074" t="s">
        <v>1202</v>
      </c>
    </row>
    <row r="19" spans="1:16" ht="13.5" thickBot="1">
      <c r="A19" s="1520" t="str">
        <f t="array" ref="A19:A26">productos</f>
        <v>producto o servicio</v>
      </c>
      <c r="B19" s="3214">
        <v>800</v>
      </c>
      <c r="C19" s="3215">
        <v>1000</v>
      </c>
      <c r="D19" s="3215">
        <v>1100</v>
      </c>
      <c r="E19" s="3215">
        <v>1050</v>
      </c>
      <c r="F19" s="3215">
        <v>900</v>
      </c>
      <c r="G19" s="3215">
        <v>850</v>
      </c>
      <c r="H19" s="3215">
        <v>800</v>
      </c>
      <c r="I19" s="3215">
        <v>600</v>
      </c>
      <c r="J19" s="3215">
        <v>800</v>
      </c>
      <c r="K19" s="3215">
        <v>950</v>
      </c>
      <c r="L19" s="3215">
        <v>1000</v>
      </c>
      <c r="M19" s="3216">
        <v>1200</v>
      </c>
      <c r="N19" s="3217">
        <f t="shared" ref="N19:N27" si="10">SUM(B19:M19)</f>
        <v>11050</v>
      </c>
      <c r="O19" s="2511">
        <v>0.03</v>
      </c>
      <c r="P19" s="3075">
        <f>N19</f>
        <v>11050</v>
      </c>
    </row>
    <row r="20" spans="1:16">
      <c r="A20" s="1521" t="str">
        <v/>
      </c>
      <c r="B20" s="3218">
        <v>0</v>
      </c>
      <c r="C20" s="3219">
        <v>0</v>
      </c>
      <c r="D20" s="3219">
        <v>0</v>
      </c>
      <c r="E20" s="3219">
        <v>0</v>
      </c>
      <c r="F20" s="3219">
        <v>0</v>
      </c>
      <c r="G20" s="3219">
        <v>0</v>
      </c>
      <c r="H20" s="3219">
        <v>0</v>
      </c>
      <c r="I20" s="3219">
        <v>0</v>
      </c>
      <c r="J20" s="3219">
        <v>0</v>
      </c>
      <c r="K20" s="3219">
        <v>0</v>
      </c>
      <c r="L20" s="3219">
        <v>0</v>
      </c>
      <c r="M20" s="3220">
        <v>0</v>
      </c>
      <c r="N20" s="3221">
        <f t="shared" si="10"/>
        <v>0</v>
      </c>
      <c r="O20" s="2512">
        <v>0.03</v>
      </c>
    </row>
    <row r="21" spans="1:16">
      <c r="A21" s="1521" t="str">
        <v/>
      </c>
      <c r="B21" s="3218">
        <v>0</v>
      </c>
      <c r="C21" s="3219">
        <v>0</v>
      </c>
      <c r="D21" s="3219">
        <v>0</v>
      </c>
      <c r="E21" s="3219">
        <v>0</v>
      </c>
      <c r="F21" s="3219">
        <v>0</v>
      </c>
      <c r="G21" s="3219">
        <v>0</v>
      </c>
      <c r="H21" s="3219">
        <v>0</v>
      </c>
      <c r="I21" s="3219">
        <v>0</v>
      </c>
      <c r="J21" s="3219">
        <v>0</v>
      </c>
      <c r="K21" s="3219">
        <v>0</v>
      </c>
      <c r="L21" s="3219">
        <v>0</v>
      </c>
      <c r="M21" s="3220">
        <v>0</v>
      </c>
      <c r="N21" s="3221">
        <f t="shared" si="10"/>
        <v>0</v>
      </c>
      <c r="O21" s="2512">
        <f t="shared" ref="O21:O26" si="11">O20</f>
        <v>0.03</v>
      </c>
    </row>
    <row r="22" spans="1:16">
      <c r="A22" s="1521" t="str">
        <v/>
      </c>
      <c r="B22" s="3218">
        <v>0</v>
      </c>
      <c r="C22" s="3219">
        <v>0</v>
      </c>
      <c r="D22" s="3219">
        <v>0</v>
      </c>
      <c r="E22" s="3219">
        <v>0</v>
      </c>
      <c r="F22" s="3219">
        <v>0</v>
      </c>
      <c r="G22" s="3219">
        <v>0</v>
      </c>
      <c r="H22" s="3219">
        <v>0</v>
      </c>
      <c r="I22" s="3219">
        <v>0</v>
      </c>
      <c r="J22" s="3219">
        <v>0</v>
      </c>
      <c r="K22" s="3219">
        <v>0</v>
      </c>
      <c r="L22" s="3219">
        <v>0</v>
      </c>
      <c r="M22" s="3220">
        <v>0</v>
      </c>
      <c r="N22" s="3221">
        <f t="shared" si="10"/>
        <v>0</v>
      </c>
      <c r="O22" s="2512">
        <f t="shared" si="11"/>
        <v>0.03</v>
      </c>
    </row>
    <row r="23" spans="1:16">
      <c r="A23" s="1521" t="str">
        <v/>
      </c>
      <c r="B23" s="3218">
        <v>0</v>
      </c>
      <c r="C23" s="3219">
        <v>0</v>
      </c>
      <c r="D23" s="3219">
        <v>0</v>
      </c>
      <c r="E23" s="3219">
        <v>0</v>
      </c>
      <c r="F23" s="3219">
        <v>0</v>
      </c>
      <c r="G23" s="3219">
        <v>0</v>
      </c>
      <c r="H23" s="3219">
        <v>0</v>
      </c>
      <c r="I23" s="3219">
        <v>0</v>
      </c>
      <c r="J23" s="3219">
        <v>0</v>
      </c>
      <c r="K23" s="3219">
        <v>0</v>
      </c>
      <c r="L23" s="3219">
        <v>0</v>
      </c>
      <c r="M23" s="3220">
        <v>0</v>
      </c>
      <c r="N23" s="3221">
        <f t="shared" si="10"/>
        <v>0</v>
      </c>
      <c r="O23" s="2512">
        <f t="shared" si="11"/>
        <v>0.03</v>
      </c>
    </row>
    <row r="24" spans="1:16">
      <c r="A24" s="1521" t="str">
        <v/>
      </c>
      <c r="B24" s="3218">
        <v>0</v>
      </c>
      <c r="C24" s="3219">
        <v>0</v>
      </c>
      <c r="D24" s="3219">
        <v>0</v>
      </c>
      <c r="E24" s="3219">
        <v>0</v>
      </c>
      <c r="F24" s="3219">
        <v>0</v>
      </c>
      <c r="G24" s="3219">
        <v>0</v>
      </c>
      <c r="H24" s="3219">
        <v>0</v>
      </c>
      <c r="I24" s="3219">
        <v>0</v>
      </c>
      <c r="J24" s="3219">
        <v>0</v>
      </c>
      <c r="K24" s="3219">
        <v>0</v>
      </c>
      <c r="L24" s="3219">
        <v>0</v>
      </c>
      <c r="M24" s="3220">
        <v>0</v>
      </c>
      <c r="N24" s="3221">
        <f t="shared" si="10"/>
        <v>0</v>
      </c>
      <c r="O24" s="2512">
        <f t="shared" si="11"/>
        <v>0.03</v>
      </c>
    </row>
    <row r="25" spans="1:16">
      <c r="A25" s="1521" t="str">
        <v/>
      </c>
      <c r="B25" s="3218">
        <v>0</v>
      </c>
      <c r="C25" s="3219">
        <v>0</v>
      </c>
      <c r="D25" s="3219">
        <v>0</v>
      </c>
      <c r="E25" s="3219">
        <v>0</v>
      </c>
      <c r="F25" s="3219">
        <v>0</v>
      </c>
      <c r="G25" s="3219">
        <v>0</v>
      </c>
      <c r="H25" s="3219">
        <v>0</v>
      </c>
      <c r="I25" s="3219">
        <v>0</v>
      </c>
      <c r="J25" s="3219">
        <v>0</v>
      </c>
      <c r="K25" s="3219">
        <v>0</v>
      </c>
      <c r="L25" s="3219">
        <v>0</v>
      </c>
      <c r="M25" s="3220">
        <v>0</v>
      </c>
      <c r="N25" s="3221">
        <f t="shared" si="10"/>
        <v>0</v>
      </c>
      <c r="O25" s="2512">
        <f t="shared" si="11"/>
        <v>0.03</v>
      </c>
    </row>
    <row r="26" spans="1:16" ht="13.5" thickBot="1">
      <c r="A26" s="1522" t="str">
        <v/>
      </c>
      <c r="B26" s="3222">
        <v>0</v>
      </c>
      <c r="C26" s="3223">
        <v>0</v>
      </c>
      <c r="D26" s="3223">
        <v>0</v>
      </c>
      <c r="E26" s="3223">
        <v>0</v>
      </c>
      <c r="F26" s="3223">
        <v>0</v>
      </c>
      <c r="G26" s="3223">
        <v>0</v>
      </c>
      <c r="H26" s="3223">
        <v>0</v>
      </c>
      <c r="I26" s="3223">
        <v>0</v>
      </c>
      <c r="J26" s="3223">
        <v>0</v>
      </c>
      <c r="K26" s="3223">
        <v>0</v>
      </c>
      <c r="L26" s="3223">
        <v>0</v>
      </c>
      <c r="M26" s="3224">
        <v>0</v>
      </c>
      <c r="N26" s="3225">
        <f t="shared" si="10"/>
        <v>0</v>
      </c>
      <c r="O26" s="2513">
        <f t="shared" si="11"/>
        <v>0.03</v>
      </c>
    </row>
    <row r="27" spans="1:16" ht="13.5" thickBot="1">
      <c r="A27" s="103" t="s">
        <v>11</v>
      </c>
      <c r="B27" s="930">
        <f t="shared" ref="B27:M27" si="12">B19+B20+B21+B22+B23+B24+B25+B26</f>
        <v>800</v>
      </c>
      <c r="C27" s="931">
        <f t="shared" si="12"/>
        <v>1000</v>
      </c>
      <c r="D27" s="931">
        <f t="shared" si="12"/>
        <v>1100</v>
      </c>
      <c r="E27" s="931">
        <f t="shared" si="12"/>
        <v>1050</v>
      </c>
      <c r="F27" s="931">
        <f t="shared" si="12"/>
        <v>900</v>
      </c>
      <c r="G27" s="931">
        <f t="shared" si="12"/>
        <v>850</v>
      </c>
      <c r="H27" s="931">
        <f t="shared" si="12"/>
        <v>800</v>
      </c>
      <c r="I27" s="931">
        <f t="shared" si="12"/>
        <v>600</v>
      </c>
      <c r="J27" s="931">
        <f t="shared" si="12"/>
        <v>800</v>
      </c>
      <c r="K27" s="931">
        <f t="shared" si="12"/>
        <v>950</v>
      </c>
      <c r="L27" s="931">
        <f t="shared" si="12"/>
        <v>1000</v>
      </c>
      <c r="M27" s="932">
        <f t="shared" si="12"/>
        <v>1200</v>
      </c>
      <c r="N27" s="426">
        <f t="shared" si="10"/>
        <v>11050</v>
      </c>
    </row>
    <row r="30" spans="1:16" ht="20.25" thickBot="1">
      <c r="A30" s="243" t="str">
        <f>A17</f>
        <v>Previsiones de Ventas de la empresa</v>
      </c>
      <c r="E30" s="2702" t="str">
        <f>Parametros!D$77</f>
        <v>Año 2:  2028</v>
      </c>
      <c r="F30" s="237"/>
    </row>
    <row r="31" spans="1:16" ht="31.5" customHeight="1" thickBot="1">
      <c r="A31" s="242" t="s">
        <v>167</v>
      </c>
      <c r="B31" s="240" t="str">
        <f t="array" ref="B31:M31">CONCATENATE(meses," 
",Parametros!B$76:M$76+2)</f>
        <v>enero 
2028</v>
      </c>
      <c r="C31" s="240" t="str">
        <v>febrero 
2028</v>
      </c>
      <c r="D31" s="240" t="str">
        <v>marzo 
2028</v>
      </c>
      <c r="E31" s="240" t="str">
        <v>abril 
2028</v>
      </c>
      <c r="F31" s="240" t="str">
        <v>mayo 
2028</v>
      </c>
      <c r="G31" s="240" t="str">
        <v>junio 
2028</v>
      </c>
      <c r="H31" s="240" t="str">
        <v>julio 
2028</v>
      </c>
      <c r="I31" s="240" t="str">
        <v>agosto 
2028</v>
      </c>
      <c r="J31" s="240" t="str">
        <v>septiembre 
2028</v>
      </c>
      <c r="K31" s="240" t="str">
        <v>octubre 
2028</v>
      </c>
      <c r="L31" s="240" t="str">
        <v>noviembre 
2028</v>
      </c>
      <c r="M31" s="241" t="str">
        <v>diciembre 
2028</v>
      </c>
      <c r="N31" s="239" t="str">
        <f>CONCATENATE("Totales  
",Parametros!F$65)</f>
        <v>Totales  
2028</v>
      </c>
      <c r="O31" s="2514" t="str">
        <f>$O$18</f>
        <v>% incr. interanual</v>
      </c>
      <c r="P31" s="3074" t="s">
        <v>1202</v>
      </c>
    </row>
    <row r="32" spans="1:16" ht="13.5" thickBot="1">
      <c r="A32" s="1520" t="str">
        <f t="array" ref="A32:A39">productos</f>
        <v>producto o servicio</v>
      </c>
      <c r="B32" s="3214">
        <f t="shared" ref="B32:M32" si="13">B19*(1+$O19)</f>
        <v>824</v>
      </c>
      <c r="C32" s="3215">
        <f t="shared" si="13"/>
        <v>1030</v>
      </c>
      <c r="D32" s="3215">
        <f t="shared" si="13"/>
        <v>1133</v>
      </c>
      <c r="E32" s="3215">
        <f t="shared" si="13"/>
        <v>1081.5</v>
      </c>
      <c r="F32" s="3215">
        <f t="shared" si="13"/>
        <v>927</v>
      </c>
      <c r="G32" s="3215">
        <f t="shared" si="13"/>
        <v>875.5</v>
      </c>
      <c r="H32" s="3215">
        <f t="shared" si="13"/>
        <v>824</v>
      </c>
      <c r="I32" s="3215">
        <f t="shared" si="13"/>
        <v>618</v>
      </c>
      <c r="J32" s="3215">
        <f t="shared" si="13"/>
        <v>824</v>
      </c>
      <c r="K32" s="3215">
        <f>K19*(1+$O19)</f>
        <v>978.5</v>
      </c>
      <c r="L32" s="3215">
        <f t="shared" si="13"/>
        <v>1030</v>
      </c>
      <c r="M32" s="3216">
        <f t="shared" si="13"/>
        <v>1236</v>
      </c>
      <c r="N32" s="3217">
        <f t="shared" ref="N32:N39" si="14">SUM(B32:M32)</f>
        <v>11381.5</v>
      </c>
      <c r="O32" s="2511">
        <f t="shared" ref="O32:O33" si="15">O19</f>
        <v>0.03</v>
      </c>
      <c r="P32" s="3075">
        <f>N32</f>
        <v>11381.5</v>
      </c>
    </row>
    <row r="33" spans="1:16">
      <c r="A33" s="1521" t="str">
        <v/>
      </c>
      <c r="B33" s="3218">
        <f t="shared" ref="B33:M33" si="16">B20*(1+$O20)</f>
        <v>0</v>
      </c>
      <c r="C33" s="3219">
        <f t="shared" si="16"/>
        <v>0</v>
      </c>
      <c r="D33" s="3219">
        <f t="shared" si="16"/>
        <v>0</v>
      </c>
      <c r="E33" s="3219">
        <f t="shared" si="16"/>
        <v>0</v>
      </c>
      <c r="F33" s="3219">
        <f t="shared" si="16"/>
        <v>0</v>
      </c>
      <c r="G33" s="3219">
        <f t="shared" si="16"/>
        <v>0</v>
      </c>
      <c r="H33" s="3219">
        <f t="shared" si="16"/>
        <v>0</v>
      </c>
      <c r="I33" s="3219">
        <f t="shared" si="16"/>
        <v>0</v>
      </c>
      <c r="J33" s="3219">
        <f t="shared" si="16"/>
        <v>0</v>
      </c>
      <c r="K33" s="3219">
        <f>K20*(1+$O20)</f>
        <v>0</v>
      </c>
      <c r="L33" s="3219">
        <f t="shared" si="16"/>
        <v>0</v>
      </c>
      <c r="M33" s="3220">
        <f t="shared" si="16"/>
        <v>0</v>
      </c>
      <c r="N33" s="3221">
        <f t="shared" si="14"/>
        <v>0</v>
      </c>
      <c r="O33" s="2512">
        <f t="shared" si="15"/>
        <v>0.03</v>
      </c>
    </row>
    <row r="34" spans="1:16">
      <c r="A34" s="1521" t="str">
        <v/>
      </c>
      <c r="B34" s="3218">
        <f t="shared" ref="B34:M34" si="17">B21*(1+$O21)</f>
        <v>0</v>
      </c>
      <c r="C34" s="3219">
        <f t="shared" si="17"/>
        <v>0</v>
      </c>
      <c r="D34" s="3219">
        <f t="shared" si="17"/>
        <v>0</v>
      </c>
      <c r="E34" s="3219">
        <f t="shared" si="17"/>
        <v>0</v>
      </c>
      <c r="F34" s="3219">
        <f t="shared" si="17"/>
        <v>0</v>
      </c>
      <c r="G34" s="3219">
        <f t="shared" si="17"/>
        <v>0</v>
      </c>
      <c r="H34" s="3219">
        <f t="shared" si="17"/>
        <v>0</v>
      </c>
      <c r="I34" s="3219">
        <f t="shared" si="17"/>
        <v>0</v>
      </c>
      <c r="J34" s="3219">
        <f t="shared" si="17"/>
        <v>0</v>
      </c>
      <c r="K34" s="3219">
        <f t="shared" si="17"/>
        <v>0</v>
      </c>
      <c r="L34" s="3219">
        <f t="shared" si="17"/>
        <v>0</v>
      </c>
      <c r="M34" s="3220">
        <f t="shared" si="17"/>
        <v>0</v>
      </c>
      <c r="N34" s="3221">
        <f t="shared" si="14"/>
        <v>0</v>
      </c>
      <c r="O34" s="2512">
        <f t="shared" ref="O34:O39" si="18">O21</f>
        <v>0.03</v>
      </c>
    </row>
    <row r="35" spans="1:16">
      <c r="A35" s="1521" t="str">
        <v/>
      </c>
      <c r="B35" s="3218">
        <f t="shared" ref="B35:M35" si="19">B22*(1+$O22)</f>
        <v>0</v>
      </c>
      <c r="C35" s="3219">
        <f t="shared" si="19"/>
        <v>0</v>
      </c>
      <c r="D35" s="3219">
        <f t="shared" si="19"/>
        <v>0</v>
      </c>
      <c r="E35" s="3219">
        <f t="shared" si="19"/>
        <v>0</v>
      </c>
      <c r="F35" s="3219">
        <f t="shared" si="19"/>
        <v>0</v>
      </c>
      <c r="G35" s="3219">
        <f t="shared" si="19"/>
        <v>0</v>
      </c>
      <c r="H35" s="3219">
        <f t="shared" si="19"/>
        <v>0</v>
      </c>
      <c r="I35" s="3219">
        <f t="shared" si="19"/>
        <v>0</v>
      </c>
      <c r="J35" s="3219">
        <f t="shared" si="19"/>
        <v>0</v>
      </c>
      <c r="K35" s="3219">
        <f t="shared" si="19"/>
        <v>0</v>
      </c>
      <c r="L35" s="3219">
        <f t="shared" si="19"/>
        <v>0</v>
      </c>
      <c r="M35" s="3220">
        <f t="shared" si="19"/>
        <v>0</v>
      </c>
      <c r="N35" s="3221">
        <f t="shared" si="14"/>
        <v>0</v>
      </c>
      <c r="O35" s="2512">
        <f t="shared" si="18"/>
        <v>0.03</v>
      </c>
    </row>
    <row r="36" spans="1:16">
      <c r="A36" s="1521" t="str">
        <v/>
      </c>
      <c r="B36" s="3218">
        <f t="shared" ref="B36:M36" si="20">B23*(1+$O23)</f>
        <v>0</v>
      </c>
      <c r="C36" s="3219">
        <f t="shared" si="20"/>
        <v>0</v>
      </c>
      <c r="D36" s="3219">
        <f t="shared" si="20"/>
        <v>0</v>
      </c>
      <c r="E36" s="3219">
        <f t="shared" si="20"/>
        <v>0</v>
      </c>
      <c r="F36" s="3219">
        <f t="shared" si="20"/>
        <v>0</v>
      </c>
      <c r="G36" s="3219">
        <f t="shared" si="20"/>
        <v>0</v>
      </c>
      <c r="H36" s="3219">
        <f t="shared" si="20"/>
        <v>0</v>
      </c>
      <c r="I36" s="3219">
        <f t="shared" si="20"/>
        <v>0</v>
      </c>
      <c r="J36" s="3219">
        <f t="shared" si="20"/>
        <v>0</v>
      </c>
      <c r="K36" s="3219">
        <f t="shared" si="20"/>
        <v>0</v>
      </c>
      <c r="L36" s="3219">
        <f t="shared" si="20"/>
        <v>0</v>
      </c>
      <c r="M36" s="3220">
        <f t="shared" si="20"/>
        <v>0</v>
      </c>
      <c r="N36" s="3221">
        <f t="shared" si="14"/>
        <v>0</v>
      </c>
      <c r="O36" s="2512">
        <f t="shared" si="18"/>
        <v>0.03</v>
      </c>
    </row>
    <row r="37" spans="1:16">
      <c r="A37" s="1521" t="str">
        <v/>
      </c>
      <c r="B37" s="3218">
        <f t="shared" ref="B37:M37" si="21">B24*(1+$O24)</f>
        <v>0</v>
      </c>
      <c r="C37" s="3219">
        <f t="shared" si="21"/>
        <v>0</v>
      </c>
      <c r="D37" s="3219">
        <f t="shared" si="21"/>
        <v>0</v>
      </c>
      <c r="E37" s="3219">
        <f t="shared" si="21"/>
        <v>0</v>
      </c>
      <c r="F37" s="3219">
        <f t="shared" si="21"/>
        <v>0</v>
      </c>
      <c r="G37" s="3219">
        <f t="shared" si="21"/>
        <v>0</v>
      </c>
      <c r="H37" s="3219">
        <f t="shared" si="21"/>
        <v>0</v>
      </c>
      <c r="I37" s="3219">
        <f t="shared" si="21"/>
        <v>0</v>
      </c>
      <c r="J37" s="3219">
        <f t="shared" si="21"/>
        <v>0</v>
      </c>
      <c r="K37" s="3219">
        <f t="shared" si="21"/>
        <v>0</v>
      </c>
      <c r="L37" s="3219">
        <f t="shared" si="21"/>
        <v>0</v>
      </c>
      <c r="M37" s="3220">
        <f t="shared" si="21"/>
        <v>0</v>
      </c>
      <c r="N37" s="3221">
        <f t="shared" si="14"/>
        <v>0</v>
      </c>
      <c r="O37" s="2512">
        <f t="shared" si="18"/>
        <v>0.03</v>
      </c>
    </row>
    <row r="38" spans="1:16">
      <c r="A38" s="1521" t="str">
        <v/>
      </c>
      <c r="B38" s="3218">
        <f t="shared" ref="B38:M38" si="22">B25*(1+$O25)</f>
        <v>0</v>
      </c>
      <c r="C38" s="3219">
        <f t="shared" si="22"/>
        <v>0</v>
      </c>
      <c r="D38" s="3219">
        <f t="shared" si="22"/>
        <v>0</v>
      </c>
      <c r="E38" s="3219">
        <f t="shared" si="22"/>
        <v>0</v>
      </c>
      <c r="F38" s="3219">
        <f t="shared" si="22"/>
        <v>0</v>
      </c>
      <c r="G38" s="3219">
        <f t="shared" si="22"/>
        <v>0</v>
      </c>
      <c r="H38" s="3219">
        <f t="shared" si="22"/>
        <v>0</v>
      </c>
      <c r="I38" s="3219">
        <f t="shared" si="22"/>
        <v>0</v>
      </c>
      <c r="J38" s="3219">
        <f t="shared" si="22"/>
        <v>0</v>
      </c>
      <c r="K38" s="3219">
        <f t="shared" si="22"/>
        <v>0</v>
      </c>
      <c r="L38" s="3219">
        <f t="shared" si="22"/>
        <v>0</v>
      </c>
      <c r="M38" s="3220">
        <f t="shared" si="22"/>
        <v>0</v>
      </c>
      <c r="N38" s="3221">
        <f t="shared" si="14"/>
        <v>0</v>
      </c>
      <c r="O38" s="2512">
        <f t="shared" si="18"/>
        <v>0.03</v>
      </c>
    </row>
    <row r="39" spans="1:16" ht="13.5" thickBot="1">
      <c r="A39" s="1522" t="str">
        <v/>
      </c>
      <c r="B39" s="3222">
        <f t="shared" ref="B39:M39" si="23">B26*(1+$O26)</f>
        <v>0</v>
      </c>
      <c r="C39" s="3223">
        <f t="shared" si="23"/>
        <v>0</v>
      </c>
      <c r="D39" s="3223">
        <f t="shared" si="23"/>
        <v>0</v>
      </c>
      <c r="E39" s="3223">
        <f t="shared" si="23"/>
        <v>0</v>
      </c>
      <c r="F39" s="3223">
        <f t="shared" si="23"/>
        <v>0</v>
      </c>
      <c r="G39" s="3223">
        <f t="shared" si="23"/>
        <v>0</v>
      </c>
      <c r="H39" s="3223">
        <f t="shared" si="23"/>
        <v>0</v>
      </c>
      <c r="I39" s="3223">
        <f t="shared" si="23"/>
        <v>0</v>
      </c>
      <c r="J39" s="3223">
        <f t="shared" si="23"/>
        <v>0</v>
      </c>
      <c r="K39" s="3223">
        <f t="shared" si="23"/>
        <v>0</v>
      </c>
      <c r="L39" s="3223">
        <f t="shared" si="23"/>
        <v>0</v>
      </c>
      <c r="M39" s="3224">
        <f t="shared" si="23"/>
        <v>0</v>
      </c>
      <c r="N39" s="3225">
        <f t="shared" si="14"/>
        <v>0</v>
      </c>
      <c r="O39" s="2513">
        <f t="shared" si="18"/>
        <v>0.03</v>
      </c>
    </row>
    <row r="40" spans="1:16" ht="13.5" thickBot="1">
      <c r="A40" s="103" t="s">
        <v>11</v>
      </c>
      <c r="B40" s="930">
        <f t="shared" ref="B40:M40" si="24">B32+B33+B34+B35+B36+B37+B38+B39</f>
        <v>824</v>
      </c>
      <c r="C40" s="931">
        <f t="shared" si="24"/>
        <v>1030</v>
      </c>
      <c r="D40" s="931">
        <f t="shared" si="24"/>
        <v>1133</v>
      </c>
      <c r="E40" s="931">
        <f t="shared" si="24"/>
        <v>1081.5</v>
      </c>
      <c r="F40" s="931">
        <f t="shared" si="24"/>
        <v>927</v>
      </c>
      <c r="G40" s="931">
        <f t="shared" si="24"/>
        <v>875.5</v>
      </c>
      <c r="H40" s="931">
        <f t="shared" si="24"/>
        <v>824</v>
      </c>
      <c r="I40" s="931">
        <f t="shared" si="24"/>
        <v>618</v>
      </c>
      <c r="J40" s="931">
        <f t="shared" si="24"/>
        <v>824</v>
      </c>
      <c r="K40" s="931">
        <f t="shared" si="24"/>
        <v>978.5</v>
      </c>
      <c r="L40" s="931">
        <f t="shared" si="24"/>
        <v>1030</v>
      </c>
      <c r="M40" s="932">
        <f t="shared" si="24"/>
        <v>1236</v>
      </c>
      <c r="N40" s="426">
        <f>SUM(B40:M40)</f>
        <v>11381.5</v>
      </c>
    </row>
    <row r="43" spans="1:16" ht="20.25" thickBot="1">
      <c r="A43" s="243" t="str">
        <f>A30</f>
        <v>Previsiones de Ventas de la empresa</v>
      </c>
      <c r="E43" s="2702" t="str">
        <f>Parametros!E$77</f>
        <v>Año 3:  2029</v>
      </c>
      <c r="F43" s="237"/>
    </row>
    <row r="44" spans="1:16" ht="31.5" customHeight="1" thickBot="1">
      <c r="A44" s="242" t="s">
        <v>167</v>
      </c>
      <c r="B44" s="240" t="str">
        <f t="array" ref="B44:M44">CONCATENATE(meses," 
",Parametros!B$76:M$76+3)</f>
        <v>enero 
2029</v>
      </c>
      <c r="C44" s="240" t="str">
        <v>febrero 
2029</v>
      </c>
      <c r="D44" s="240" t="str">
        <v>marzo 
2029</v>
      </c>
      <c r="E44" s="240" t="str">
        <v>abril 
2029</v>
      </c>
      <c r="F44" s="240" t="str">
        <v>mayo 
2029</v>
      </c>
      <c r="G44" s="240" t="str">
        <v>junio 
2029</v>
      </c>
      <c r="H44" s="240" t="str">
        <v>julio 
2029</v>
      </c>
      <c r="I44" s="240" t="str">
        <v>agosto 
2029</v>
      </c>
      <c r="J44" s="240" t="str">
        <v>septiembre 
2029</v>
      </c>
      <c r="K44" s="240" t="str">
        <v>octubre 
2029</v>
      </c>
      <c r="L44" s="240" t="str">
        <v>noviembre 
2029</v>
      </c>
      <c r="M44" s="241" t="str">
        <v>diciembre 
2029</v>
      </c>
      <c r="N44" s="239" t="str">
        <f>CONCATENATE("Totales  
",Parametros!G$65)</f>
        <v>Totales  
2029</v>
      </c>
      <c r="O44" s="2514" t="str">
        <f>$O$18</f>
        <v>% incr. interanual</v>
      </c>
      <c r="P44" s="3074" t="s">
        <v>1202</v>
      </c>
    </row>
    <row r="45" spans="1:16" ht="13.5" thickBot="1">
      <c r="A45" s="1520" t="str">
        <f t="array" ref="A45:A52">productos</f>
        <v>producto o servicio</v>
      </c>
      <c r="B45" s="3214">
        <f t="shared" ref="B45:M45" si="25">B32*(1+$O32)</f>
        <v>848.72</v>
      </c>
      <c r="C45" s="3215">
        <f t="shared" si="25"/>
        <v>1060.9000000000001</v>
      </c>
      <c r="D45" s="3215">
        <f t="shared" si="25"/>
        <v>1166.99</v>
      </c>
      <c r="E45" s="3215">
        <f t="shared" si="25"/>
        <v>1113.9449999999999</v>
      </c>
      <c r="F45" s="3215">
        <f t="shared" si="25"/>
        <v>954.81000000000006</v>
      </c>
      <c r="G45" s="3215">
        <f t="shared" si="25"/>
        <v>901.76499999999999</v>
      </c>
      <c r="H45" s="3215">
        <f t="shared" si="25"/>
        <v>848.72</v>
      </c>
      <c r="I45" s="3215">
        <f t="shared" si="25"/>
        <v>636.54</v>
      </c>
      <c r="J45" s="3215">
        <f t="shared" si="25"/>
        <v>848.72</v>
      </c>
      <c r="K45" s="3215">
        <f t="shared" si="25"/>
        <v>1007.855</v>
      </c>
      <c r="L45" s="3215">
        <f t="shared" si="25"/>
        <v>1060.9000000000001</v>
      </c>
      <c r="M45" s="3216">
        <f t="shared" si="25"/>
        <v>1273.08</v>
      </c>
      <c r="N45" s="3217">
        <f t="shared" ref="N45:N52" si="26">SUM(B45:M45)</f>
        <v>11722.945</v>
      </c>
      <c r="O45" s="2511">
        <f>O32</f>
        <v>0.03</v>
      </c>
      <c r="P45" s="3075">
        <f>N45</f>
        <v>11722.945</v>
      </c>
    </row>
    <row r="46" spans="1:16">
      <c r="A46" s="1521" t="str">
        <v/>
      </c>
      <c r="B46" s="3218">
        <f t="shared" ref="B46:M46" si="27">B33*(1+$O33)</f>
        <v>0</v>
      </c>
      <c r="C46" s="3219">
        <f t="shared" si="27"/>
        <v>0</v>
      </c>
      <c r="D46" s="3219">
        <f t="shared" si="27"/>
        <v>0</v>
      </c>
      <c r="E46" s="3219">
        <f t="shared" si="27"/>
        <v>0</v>
      </c>
      <c r="F46" s="3219">
        <f t="shared" si="27"/>
        <v>0</v>
      </c>
      <c r="G46" s="3219">
        <f t="shared" si="27"/>
        <v>0</v>
      </c>
      <c r="H46" s="3219">
        <f t="shared" si="27"/>
        <v>0</v>
      </c>
      <c r="I46" s="3219">
        <f t="shared" si="27"/>
        <v>0</v>
      </c>
      <c r="J46" s="3219">
        <f t="shared" si="27"/>
        <v>0</v>
      </c>
      <c r="K46" s="3219">
        <f t="shared" si="27"/>
        <v>0</v>
      </c>
      <c r="L46" s="3219">
        <f t="shared" si="27"/>
        <v>0</v>
      </c>
      <c r="M46" s="3220">
        <f t="shared" si="27"/>
        <v>0</v>
      </c>
      <c r="N46" s="3221">
        <f t="shared" si="26"/>
        <v>0</v>
      </c>
      <c r="O46" s="2512">
        <f>O33</f>
        <v>0.03</v>
      </c>
    </row>
    <row r="47" spans="1:16">
      <c r="A47" s="1521" t="str">
        <v/>
      </c>
      <c r="B47" s="3218">
        <f t="shared" ref="B47:M47" si="28">B34*(1+$O34)</f>
        <v>0</v>
      </c>
      <c r="C47" s="3219">
        <f t="shared" si="28"/>
        <v>0</v>
      </c>
      <c r="D47" s="3219">
        <f t="shared" si="28"/>
        <v>0</v>
      </c>
      <c r="E47" s="3219">
        <f t="shared" si="28"/>
        <v>0</v>
      </c>
      <c r="F47" s="3219">
        <f t="shared" si="28"/>
        <v>0</v>
      </c>
      <c r="G47" s="3219">
        <f t="shared" si="28"/>
        <v>0</v>
      </c>
      <c r="H47" s="3219">
        <f t="shared" si="28"/>
        <v>0</v>
      </c>
      <c r="I47" s="3219">
        <f t="shared" si="28"/>
        <v>0</v>
      </c>
      <c r="J47" s="3219">
        <f t="shared" si="28"/>
        <v>0</v>
      </c>
      <c r="K47" s="3219">
        <f t="shared" si="28"/>
        <v>0</v>
      </c>
      <c r="L47" s="3219">
        <f t="shared" si="28"/>
        <v>0</v>
      </c>
      <c r="M47" s="3220">
        <f t="shared" si="28"/>
        <v>0</v>
      </c>
      <c r="N47" s="3221">
        <f t="shared" si="26"/>
        <v>0</v>
      </c>
      <c r="O47" s="2512">
        <f t="shared" ref="O47:O52" si="29">O34</f>
        <v>0.03</v>
      </c>
    </row>
    <row r="48" spans="1:16">
      <c r="A48" s="1521" t="str">
        <v/>
      </c>
      <c r="B48" s="3218">
        <f t="shared" ref="B48:M48" si="30">B35*(1+$O35)</f>
        <v>0</v>
      </c>
      <c r="C48" s="3219">
        <f t="shared" si="30"/>
        <v>0</v>
      </c>
      <c r="D48" s="3219">
        <f t="shared" si="30"/>
        <v>0</v>
      </c>
      <c r="E48" s="3219">
        <f t="shared" si="30"/>
        <v>0</v>
      </c>
      <c r="F48" s="3219">
        <f t="shared" si="30"/>
        <v>0</v>
      </c>
      <c r="G48" s="3219">
        <f t="shared" si="30"/>
        <v>0</v>
      </c>
      <c r="H48" s="3219">
        <f t="shared" si="30"/>
        <v>0</v>
      </c>
      <c r="I48" s="3219">
        <f t="shared" si="30"/>
        <v>0</v>
      </c>
      <c r="J48" s="3219">
        <f t="shared" si="30"/>
        <v>0</v>
      </c>
      <c r="K48" s="3219">
        <f t="shared" si="30"/>
        <v>0</v>
      </c>
      <c r="L48" s="3219">
        <f t="shared" si="30"/>
        <v>0</v>
      </c>
      <c r="M48" s="3220">
        <f t="shared" si="30"/>
        <v>0</v>
      </c>
      <c r="N48" s="3221">
        <f t="shared" si="26"/>
        <v>0</v>
      </c>
      <c r="O48" s="2512">
        <f t="shared" si="29"/>
        <v>0.03</v>
      </c>
    </row>
    <row r="49" spans="1:16">
      <c r="A49" s="1521" t="str">
        <v/>
      </c>
      <c r="B49" s="3218">
        <f t="shared" ref="B49:M49" si="31">B36*(1+$O36)</f>
        <v>0</v>
      </c>
      <c r="C49" s="3219">
        <f t="shared" si="31"/>
        <v>0</v>
      </c>
      <c r="D49" s="3219">
        <f t="shared" si="31"/>
        <v>0</v>
      </c>
      <c r="E49" s="3219">
        <f t="shared" si="31"/>
        <v>0</v>
      </c>
      <c r="F49" s="3219">
        <f t="shared" si="31"/>
        <v>0</v>
      </c>
      <c r="G49" s="3219">
        <f t="shared" si="31"/>
        <v>0</v>
      </c>
      <c r="H49" s="3219">
        <f t="shared" si="31"/>
        <v>0</v>
      </c>
      <c r="I49" s="3219">
        <f t="shared" si="31"/>
        <v>0</v>
      </c>
      <c r="J49" s="3219">
        <f t="shared" si="31"/>
        <v>0</v>
      </c>
      <c r="K49" s="3219">
        <f t="shared" si="31"/>
        <v>0</v>
      </c>
      <c r="L49" s="3219">
        <f t="shared" si="31"/>
        <v>0</v>
      </c>
      <c r="M49" s="3220">
        <f t="shared" si="31"/>
        <v>0</v>
      </c>
      <c r="N49" s="3221">
        <f t="shared" si="26"/>
        <v>0</v>
      </c>
      <c r="O49" s="2512">
        <f t="shared" si="29"/>
        <v>0.03</v>
      </c>
    </row>
    <row r="50" spans="1:16">
      <c r="A50" s="1521" t="str">
        <v/>
      </c>
      <c r="B50" s="3218">
        <f t="shared" ref="B50:M50" si="32">B37*(1+$O37)</f>
        <v>0</v>
      </c>
      <c r="C50" s="3219">
        <f t="shared" si="32"/>
        <v>0</v>
      </c>
      <c r="D50" s="3219">
        <f t="shared" si="32"/>
        <v>0</v>
      </c>
      <c r="E50" s="3219">
        <f t="shared" si="32"/>
        <v>0</v>
      </c>
      <c r="F50" s="3219">
        <f t="shared" si="32"/>
        <v>0</v>
      </c>
      <c r="G50" s="3219">
        <f t="shared" si="32"/>
        <v>0</v>
      </c>
      <c r="H50" s="3219">
        <f t="shared" si="32"/>
        <v>0</v>
      </c>
      <c r="I50" s="3219">
        <f t="shared" si="32"/>
        <v>0</v>
      </c>
      <c r="J50" s="3219">
        <f t="shared" si="32"/>
        <v>0</v>
      </c>
      <c r="K50" s="3219">
        <f t="shared" si="32"/>
        <v>0</v>
      </c>
      <c r="L50" s="3219">
        <f t="shared" si="32"/>
        <v>0</v>
      </c>
      <c r="M50" s="3220">
        <f t="shared" si="32"/>
        <v>0</v>
      </c>
      <c r="N50" s="3221">
        <f t="shared" si="26"/>
        <v>0</v>
      </c>
      <c r="O50" s="2512">
        <f t="shared" si="29"/>
        <v>0.03</v>
      </c>
    </row>
    <row r="51" spans="1:16">
      <c r="A51" s="1521" t="str">
        <v/>
      </c>
      <c r="B51" s="3218">
        <f t="shared" ref="B51:M51" si="33">B38*(1+$O38)</f>
        <v>0</v>
      </c>
      <c r="C51" s="3219">
        <f t="shared" si="33"/>
        <v>0</v>
      </c>
      <c r="D51" s="3219">
        <f t="shared" si="33"/>
        <v>0</v>
      </c>
      <c r="E51" s="3219">
        <f t="shared" si="33"/>
        <v>0</v>
      </c>
      <c r="F51" s="3219">
        <f t="shared" si="33"/>
        <v>0</v>
      </c>
      <c r="G51" s="3219">
        <f t="shared" si="33"/>
        <v>0</v>
      </c>
      <c r="H51" s="3219">
        <f t="shared" si="33"/>
        <v>0</v>
      </c>
      <c r="I51" s="3219">
        <f t="shared" si="33"/>
        <v>0</v>
      </c>
      <c r="J51" s="3219">
        <f t="shared" si="33"/>
        <v>0</v>
      </c>
      <c r="K51" s="3219">
        <f t="shared" si="33"/>
        <v>0</v>
      </c>
      <c r="L51" s="3219">
        <f t="shared" si="33"/>
        <v>0</v>
      </c>
      <c r="M51" s="3220">
        <f t="shared" si="33"/>
        <v>0</v>
      </c>
      <c r="N51" s="3221">
        <f t="shared" si="26"/>
        <v>0</v>
      </c>
      <c r="O51" s="2512">
        <f t="shared" si="29"/>
        <v>0.03</v>
      </c>
    </row>
    <row r="52" spans="1:16" ht="13.5" thickBot="1">
      <c r="A52" s="1522" t="str">
        <v/>
      </c>
      <c r="B52" s="3222">
        <f t="shared" ref="B52:M52" si="34">B39*(1+$O39)</f>
        <v>0</v>
      </c>
      <c r="C52" s="3223">
        <f t="shared" si="34"/>
        <v>0</v>
      </c>
      <c r="D52" s="3223">
        <f t="shared" si="34"/>
        <v>0</v>
      </c>
      <c r="E52" s="3223">
        <f t="shared" si="34"/>
        <v>0</v>
      </c>
      <c r="F52" s="3223">
        <f t="shared" si="34"/>
        <v>0</v>
      </c>
      <c r="G52" s="3223">
        <f t="shared" si="34"/>
        <v>0</v>
      </c>
      <c r="H52" s="3223">
        <f t="shared" si="34"/>
        <v>0</v>
      </c>
      <c r="I52" s="3223">
        <f t="shared" si="34"/>
        <v>0</v>
      </c>
      <c r="J52" s="3223">
        <f t="shared" si="34"/>
        <v>0</v>
      </c>
      <c r="K52" s="3223">
        <f t="shared" si="34"/>
        <v>0</v>
      </c>
      <c r="L52" s="3223">
        <f t="shared" si="34"/>
        <v>0</v>
      </c>
      <c r="M52" s="3224">
        <f t="shared" si="34"/>
        <v>0</v>
      </c>
      <c r="N52" s="3225">
        <f t="shared" si="26"/>
        <v>0</v>
      </c>
      <c r="O52" s="2513">
        <f t="shared" si="29"/>
        <v>0.03</v>
      </c>
    </row>
    <row r="53" spans="1:16" ht="13.5" thickBot="1">
      <c r="A53" s="103" t="s">
        <v>11</v>
      </c>
      <c r="B53" s="930">
        <f t="shared" ref="B53:M53" si="35">B45+B46+B47+B48+B49+B50+B51+B52</f>
        <v>848.72</v>
      </c>
      <c r="C53" s="931">
        <f t="shared" si="35"/>
        <v>1060.9000000000001</v>
      </c>
      <c r="D53" s="931">
        <f t="shared" si="35"/>
        <v>1166.99</v>
      </c>
      <c r="E53" s="931">
        <f t="shared" si="35"/>
        <v>1113.9449999999999</v>
      </c>
      <c r="F53" s="931">
        <f t="shared" si="35"/>
        <v>954.81000000000006</v>
      </c>
      <c r="G53" s="931">
        <f t="shared" si="35"/>
        <v>901.76499999999999</v>
      </c>
      <c r="H53" s="931">
        <f t="shared" si="35"/>
        <v>848.72</v>
      </c>
      <c r="I53" s="931">
        <f t="shared" si="35"/>
        <v>636.54</v>
      </c>
      <c r="J53" s="931">
        <f t="shared" si="35"/>
        <v>848.72</v>
      </c>
      <c r="K53" s="931">
        <f t="shared" si="35"/>
        <v>1007.855</v>
      </c>
      <c r="L53" s="931">
        <f t="shared" si="35"/>
        <v>1060.9000000000001</v>
      </c>
      <c r="M53" s="932">
        <f t="shared" si="35"/>
        <v>1273.08</v>
      </c>
      <c r="N53" s="426">
        <f>SUM(B53:M53)</f>
        <v>11722.945</v>
      </c>
    </row>
    <row r="56" spans="1:16" ht="20.25" thickBot="1">
      <c r="A56" s="243" t="str">
        <f>A43</f>
        <v>Previsiones de Ventas de la empresa</v>
      </c>
      <c r="E56" s="2702" t="str">
        <f>Parametros!F$77</f>
        <v>Año 4:  2030</v>
      </c>
      <c r="F56" s="237"/>
    </row>
    <row r="57" spans="1:16" ht="31.5" customHeight="1" thickBot="1">
      <c r="A57" s="242" t="s">
        <v>167</v>
      </c>
      <c r="B57" s="240" t="str">
        <f t="array" ref="B57:M57">CONCATENATE(meses," 
",Parametros!B$76:M$76+4)</f>
        <v>enero 
2030</v>
      </c>
      <c r="C57" s="240" t="str">
        <v>febrero 
2030</v>
      </c>
      <c r="D57" s="240" t="str">
        <v>marzo 
2030</v>
      </c>
      <c r="E57" s="240" t="str">
        <v>abril 
2030</v>
      </c>
      <c r="F57" s="240" t="str">
        <v>mayo 
2030</v>
      </c>
      <c r="G57" s="240" t="str">
        <v>junio 
2030</v>
      </c>
      <c r="H57" s="240" t="str">
        <v>julio 
2030</v>
      </c>
      <c r="I57" s="240" t="str">
        <v>agosto 
2030</v>
      </c>
      <c r="J57" s="240" t="str">
        <v>septiembre 
2030</v>
      </c>
      <c r="K57" s="240" t="str">
        <v>octubre 
2030</v>
      </c>
      <c r="L57" s="240" t="str">
        <v>noviembre 
2030</v>
      </c>
      <c r="M57" s="241" t="str">
        <v>diciembre 
2030</v>
      </c>
      <c r="N57" s="239" t="str">
        <f>CONCATENATE("Totales  
",Parametros!H$65)</f>
        <v>Totales  
2030</v>
      </c>
      <c r="O57" s="2514" t="str">
        <f>$O$18</f>
        <v>% incr. interanual</v>
      </c>
      <c r="P57" s="3074" t="s">
        <v>1202</v>
      </c>
    </row>
    <row r="58" spans="1:16" ht="13.5" thickBot="1">
      <c r="A58" s="1520" t="str">
        <f t="array" ref="A58:A65">productos</f>
        <v>producto o servicio</v>
      </c>
      <c r="B58" s="3214">
        <f t="shared" ref="B58:M58" si="36">B45*(1+$O45)</f>
        <v>874.1816</v>
      </c>
      <c r="C58" s="3215">
        <f t="shared" si="36"/>
        <v>1092.7270000000001</v>
      </c>
      <c r="D58" s="3215">
        <f t="shared" si="36"/>
        <v>1201.9997000000001</v>
      </c>
      <c r="E58" s="3215">
        <f t="shared" si="36"/>
        <v>1147.3633499999999</v>
      </c>
      <c r="F58" s="3215">
        <f t="shared" si="36"/>
        <v>983.4543000000001</v>
      </c>
      <c r="G58" s="3215">
        <f t="shared" si="36"/>
        <v>928.81795</v>
      </c>
      <c r="H58" s="3215">
        <f t="shared" si="36"/>
        <v>874.1816</v>
      </c>
      <c r="I58" s="3215">
        <f t="shared" si="36"/>
        <v>655.63620000000003</v>
      </c>
      <c r="J58" s="3215">
        <f t="shared" si="36"/>
        <v>874.1816</v>
      </c>
      <c r="K58" s="3215">
        <f t="shared" si="36"/>
        <v>1038.0906500000001</v>
      </c>
      <c r="L58" s="3215">
        <f t="shared" si="36"/>
        <v>1092.7270000000001</v>
      </c>
      <c r="M58" s="3216">
        <f t="shared" si="36"/>
        <v>1311.2724000000001</v>
      </c>
      <c r="N58" s="3217">
        <f t="shared" ref="N58:N65" si="37">SUM(B58:M58)</f>
        <v>12074.63335</v>
      </c>
      <c r="O58" s="2511">
        <f>O45</f>
        <v>0.03</v>
      </c>
      <c r="P58" s="3075">
        <f>N58</f>
        <v>12074.63335</v>
      </c>
    </row>
    <row r="59" spans="1:16">
      <c r="A59" s="1521" t="str">
        <v/>
      </c>
      <c r="B59" s="3218">
        <f t="shared" ref="B59:M59" si="38">B46*(1+$O46)</f>
        <v>0</v>
      </c>
      <c r="C59" s="3219">
        <f t="shared" si="38"/>
        <v>0</v>
      </c>
      <c r="D59" s="3219">
        <f t="shared" si="38"/>
        <v>0</v>
      </c>
      <c r="E59" s="3219">
        <f t="shared" si="38"/>
        <v>0</v>
      </c>
      <c r="F59" s="3219">
        <f t="shared" si="38"/>
        <v>0</v>
      </c>
      <c r="G59" s="3219">
        <f t="shared" si="38"/>
        <v>0</v>
      </c>
      <c r="H59" s="3219">
        <f t="shared" si="38"/>
        <v>0</v>
      </c>
      <c r="I59" s="3219">
        <f t="shared" si="38"/>
        <v>0</v>
      </c>
      <c r="J59" s="3219">
        <f t="shared" si="38"/>
        <v>0</v>
      </c>
      <c r="K59" s="3219">
        <f t="shared" si="38"/>
        <v>0</v>
      </c>
      <c r="L59" s="3219">
        <f t="shared" si="38"/>
        <v>0</v>
      </c>
      <c r="M59" s="3220">
        <f t="shared" si="38"/>
        <v>0</v>
      </c>
      <c r="N59" s="3221">
        <f t="shared" si="37"/>
        <v>0</v>
      </c>
      <c r="O59" s="2512">
        <f>O46</f>
        <v>0.03</v>
      </c>
    </row>
    <row r="60" spans="1:16">
      <c r="A60" s="1521" t="str">
        <v/>
      </c>
      <c r="B60" s="3218">
        <f t="shared" ref="B60:M60" si="39">B47*(1+$O47)</f>
        <v>0</v>
      </c>
      <c r="C60" s="3219">
        <f t="shared" si="39"/>
        <v>0</v>
      </c>
      <c r="D60" s="3219">
        <f t="shared" si="39"/>
        <v>0</v>
      </c>
      <c r="E60" s="3219">
        <f t="shared" si="39"/>
        <v>0</v>
      </c>
      <c r="F60" s="3219">
        <f t="shared" si="39"/>
        <v>0</v>
      </c>
      <c r="G60" s="3219">
        <f t="shared" si="39"/>
        <v>0</v>
      </c>
      <c r="H60" s="3219">
        <f t="shared" si="39"/>
        <v>0</v>
      </c>
      <c r="I60" s="3219">
        <f t="shared" si="39"/>
        <v>0</v>
      </c>
      <c r="J60" s="3219">
        <f t="shared" si="39"/>
        <v>0</v>
      </c>
      <c r="K60" s="3219">
        <f t="shared" si="39"/>
        <v>0</v>
      </c>
      <c r="L60" s="3219">
        <f t="shared" si="39"/>
        <v>0</v>
      </c>
      <c r="M60" s="3220">
        <f t="shared" si="39"/>
        <v>0</v>
      </c>
      <c r="N60" s="3221">
        <f t="shared" si="37"/>
        <v>0</v>
      </c>
      <c r="O60" s="2512">
        <f t="shared" ref="O60:O65" si="40">O47</f>
        <v>0.03</v>
      </c>
    </row>
    <row r="61" spans="1:16">
      <c r="A61" s="1521" t="str">
        <v/>
      </c>
      <c r="B61" s="3218">
        <f t="shared" ref="B61:M61" si="41">B48*(1+$O48)</f>
        <v>0</v>
      </c>
      <c r="C61" s="3219">
        <f t="shared" si="41"/>
        <v>0</v>
      </c>
      <c r="D61" s="3219">
        <f t="shared" si="41"/>
        <v>0</v>
      </c>
      <c r="E61" s="3219">
        <f t="shared" si="41"/>
        <v>0</v>
      </c>
      <c r="F61" s="3219">
        <f t="shared" si="41"/>
        <v>0</v>
      </c>
      <c r="G61" s="3219">
        <f t="shared" si="41"/>
        <v>0</v>
      </c>
      <c r="H61" s="3219">
        <f t="shared" si="41"/>
        <v>0</v>
      </c>
      <c r="I61" s="3219">
        <f t="shared" si="41"/>
        <v>0</v>
      </c>
      <c r="J61" s="3219">
        <f t="shared" si="41"/>
        <v>0</v>
      </c>
      <c r="K61" s="3219">
        <f t="shared" si="41"/>
        <v>0</v>
      </c>
      <c r="L61" s="3219">
        <f t="shared" si="41"/>
        <v>0</v>
      </c>
      <c r="M61" s="3220">
        <f t="shared" si="41"/>
        <v>0</v>
      </c>
      <c r="N61" s="3221">
        <f t="shared" si="37"/>
        <v>0</v>
      </c>
      <c r="O61" s="2512">
        <f t="shared" si="40"/>
        <v>0.03</v>
      </c>
    </row>
    <row r="62" spans="1:16">
      <c r="A62" s="1521" t="str">
        <v/>
      </c>
      <c r="B62" s="3218">
        <f t="shared" ref="B62:M62" si="42">B49*(1+$O49)</f>
        <v>0</v>
      </c>
      <c r="C62" s="3219">
        <f t="shared" si="42"/>
        <v>0</v>
      </c>
      <c r="D62" s="3219">
        <f t="shared" si="42"/>
        <v>0</v>
      </c>
      <c r="E62" s="3219">
        <f t="shared" si="42"/>
        <v>0</v>
      </c>
      <c r="F62" s="3219">
        <f t="shared" si="42"/>
        <v>0</v>
      </c>
      <c r="G62" s="3219">
        <f t="shared" si="42"/>
        <v>0</v>
      </c>
      <c r="H62" s="3219">
        <f t="shared" si="42"/>
        <v>0</v>
      </c>
      <c r="I62" s="3219">
        <f t="shared" si="42"/>
        <v>0</v>
      </c>
      <c r="J62" s="3219">
        <f t="shared" si="42"/>
        <v>0</v>
      </c>
      <c r="K62" s="3219">
        <f t="shared" si="42"/>
        <v>0</v>
      </c>
      <c r="L62" s="3219">
        <f t="shared" si="42"/>
        <v>0</v>
      </c>
      <c r="M62" s="3220">
        <f t="shared" si="42"/>
        <v>0</v>
      </c>
      <c r="N62" s="3221">
        <f t="shared" si="37"/>
        <v>0</v>
      </c>
      <c r="O62" s="2512">
        <f t="shared" si="40"/>
        <v>0.03</v>
      </c>
    </row>
    <row r="63" spans="1:16">
      <c r="A63" s="1521" t="str">
        <v/>
      </c>
      <c r="B63" s="3218">
        <f t="shared" ref="B63:M63" si="43">B50*(1+$O50)</f>
        <v>0</v>
      </c>
      <c r="C63" s="3219">
        <f t="shared" si="43"/>
        <v>0</v>
      </c>
      <c r="D63" s="3219">
        <f t="shared" si="43"/>
        <v>0</v>
      </c>
      <c r="E63" s="3219">
        <f t="shared" si="43"/>
        <v>0</v>
      </c>
      <c r="F63" s="3219">
        <f t="shared" si="43"/>
        <v>0</v>
      </c>
      <c r="G63" s="3219">
        <f t="shared" si="43"/>
        <v>0</v>
      </c>
      <c r="H63" s="3219">
        <f t="shared" si="43"/>
        <v>0</v>
      </c>
      <c r="I63" s="3219">
        <f t="shared" si="43"/>
        <v>0</v>
      </c>
      <c r="J63" s="3219">
        <f t="shared" si="43"/>
        <v>0</v>
      </c>
      <c r="K63" s="3219">
        <f t="shared" si="43"/>
        <v>0</v>
      </c>
      <c r="L63" s="3219">
        <f t="shared" si="43"/>
        <v>0</v>
      </c>
      <c r="M63" s="3220">
        <f t="shared" si="43"/>
        <v>0</v>
      </c>
      <c r="N63" s="3221">
        <f t="shared" si="37"/>
        <v>0</v>
      </c>
      <c r="O63" s="2512">
        <f t="shared" si="40"/>
        <v>0.03</v>
      </c>
    </row>
    <row r="64" spans="1:16">
      <c r="A64" s="1521" t="str">
        <v/>
      </c>
      <c r="B64" s="3218">
        <f t="shared" ref="B64:M64" si="44">B51*(1+$O51)</f>
        <v>0</v>
      </c>
      <c r="C64" s="3219">
        <f t="shared" si="44"/>
        <v>0</v>
      </c>
      <c r="D64" s="3219">
        <f t="shared" si="44"/>
        <v>0</v>
      </c>
      <c r="E64" s="3219">
        <f t="shared" si="44"/>
        <v>0</v>
      </c>
      <c r="F64" s="3219">
        <f t="shared" si="44"/>
        <v>0</v>
      </c>
      <c r="G64" s="3219">
        <f t="shared" si="44"/>
        <v>0</v>
      </c>
      <c r="H64" s="3219">
        <f t="shared" si="44"/>
        <v>0</v>
      </c>
      <c r="I64" s="3219">
        <f t="shared" si="44"/>
        <v>0</v>
      </c>
      <c r="J64" s="3219">
        <f t="shared" si="44"/>
        <v>0</v>
      </c>
      <c r="K64" s="3219">
        <f t="shared" si="44"/>
        <v>0</v>
      </c>
      <c r="L64" s="3219">
        <f t="shared" si="44"/>
        <v>0</v>
      </c>
      <c r="M64" s="3220">
        <f t="shared" si="44"/>
        <v>0</v>
      </c>
      <c r="N64" s="3221">
        <f t="shared" si="37"/>
        <v>0</v>
      </c>
      <c r="O64" s="2512">
        <f t="shared" si="40"/>
        <v>0.03</v>
      </c>
    </row>
    <row r="65" spans="1:15" ht="13.5" thickBot="1">
      <c r="A65" s="1522" t="str">
        <v/>
      </c>
      <c r="B65" s="3222">
        <f t="shared" ref="B65:M65" si="45">B52*(1+$O52)</f>
        <v>0</v>
      </c>
      <c r="C65" s="3223">
        <f t="shared" si="45"/>
        <v>0</v>
      </c>
      <c r="D65" s="3223">
        <f t="shared" si="45"/>
        <v>0</v>
      </c>
      <c r="E65" s="3223">
        <f t="shared" si="45"/>
        <v>0</v>
      </c>
      <c r="F65" s="3223">
        <f t="shared" si="45"/>
        <v>0</v>
      </c>
      <c r="G65" s="3223">
        <f t="shared" si="45"/>
        <v>0</v>
      </c>
      <c r="H65" s="3223">
        <f t="shared" si="45"/>
        <v>0</v>
      </c>
      <c r="I65" s="3223">
        <f t="shared" si="45"/>
        <v>0</v>
      </c>
      <c r="J65" s="3223">
        <f t="shared" si="45"/>
        <v>0</v>
      </c>
      <c r="K65" s="3223">
        <f t="shared" si="45"/>
        <v>0</v>
      </c>
      <c r="L65" s="3223">
        <f t="shared" si="45"/>
        <v>0</v>
      </c>
      <c r="M65" s="3224">
        <f t="shared" si="45"/>
        <v>0</v>
      </c>
      <c r="N65" s="3225">
        <f t="shared" si="37"/>
        <v>0</v>
      </c>
      <c r="O65" s="2513">
        <f t="shared" si="40"/>
        <v>0.03</v>
      </c>
    </row>
    <row r="66" spans="1:15" ht="13.5" thickBot="1">
      <c r="A66" s="103" t="s">
        <v>11</v>
      </c>
      <c r="B66" s="930">
        <f t="shared" ref="B66:M66" si="46">B58+B59+B60+B61+B62+B63+B64+B65</f>
        <v>874.1816</v>
      </c>
      <c r="C66" s="931">
        <f t="shared" si="46"/>
        <v>1092.7270000000001</v>
      </c>
      <c r="D66" s="931">
        <f t="shared" si="46"/>
        <v>1201.9997000000001</v>
      </c>
      <c r="E66" s="931">
        <f t="shared" si="46"/>
        <v>1147.3633499999999</v>
      </c>
      <c r="F66" s="931">
        <f t="shared" si="46"/>
        <v>983.4543000000001</v>
      </c>
      <c r="G66" s="931">
        <f t="shared" si="46"/>
        <v>928.81795</v>
      </c>
      <c r="H66" s="931">
        <f t="shared" si="46"/>
        <v>874.1816</v>
      </c>
      <c r="I66" s="931">
        <f t="shared" si="46"/>
        <v>655.63620000000003</v>
      </c>
      <c r="J66" s="931">
        <f t="shared" si="46"/>
        <v>874.1816</v>
      </c>
      <c r="K66" s="931">
        <f t="shared" si="46"/>
        <v>1038.0906500000001</v>
      </c>
      <c r="L66" s="931">
        <f t="shared" si="46"/>
        <v>1092.7270000000001</v>
      </c>
      <c r="M66" s="932">
        <f t="shared" si="46"/>
        <v>1311.2724000000001</v>
      </c>
      <c r="N66" s="426">
        <f>SUM(B66:M66)</f>
        <v>12074.63335</v>
      </c>
    </row>
    <row r="69" spans="1:15" ht="20.25" thickBot="1">
      <c r="A69" s="243" t="str">
        <f>A56</f>
        <v>Previsiones de Ventas de la empresa</v>
      </c>
      <c r="E69" s="2702" t="str">
        <f>Parametros!G$77</f>
        <v>Año 5 :   2031</v>
      </c>
      <c r="F69" s="237"/>
    </row>
    <row r="70" spans="1:15" ht="31.5" customHeight="1" thickBot="1">
      <c r="A70" s="242" t="s">
        <v>167</v>
      </c>
      <c r="B70" s="240" t="str">
        <f t="array" ref="B70:M70">CONCATENATE(meses," 
",Parametros!B$76:M$76+5)</f>
        <v>enero 
2031</v>
      </c>
      <c r="C70" s="240" t="str">
        <v>febrero 
2031</v>
      </c>
      <c r="D70" s="240" t="str">
        <v>marzo 
2031</v>
      </c>
      <c r="E70" s="240" t="str">
        <v>abril 
2031</v>
      </c>
      <c r="F70" s="240" t="str">
        <v>mayo 
2031</v>
      </c>
      <c r="G70" s="240" t="str">
        <v>junio 
2031</v>
      </c>
      <c r="H70" s="240" t="str">
        <v>julio 
2031</v>
      </c>
      <c r="I70" s="240" t="str">
        <v>agosto 
2031</v>
      </c>
      <c r="J70" s="240" t="str">
        <v>septiembre 
2031</v>
      </c>
      <c r="K70" s="240" t="str">
        <v>octubre 
2031</v>
      </c>
      <c r="L70" s="240" t="str">
        <v>noviembre 
2031</v>
      </c>
      <c r="M70" s="241" t="str">
        <v>diciembre 
2031</v>
      </c>
      <c r="N70" s="239" t="str">
        <f>CONCATENATE("Totales  
",Parametros!I$65)</f>
        <v>Totales  
2031</v>
      </c>
    </row>
    <row r="71" spans="1:15">
      <c r="A71" s="1520" t="str">
        <f t="array" ref="A71:A78">productos</f>
        <v>producto o servicio</v>
      </c>
      <c r="B71" s="3214">
        <f t="shared" ref="B71:M71" si="47">B58*(1+$O58)</f>
        <v>900.40704800000003</v>
      </c>
      <c r="C71" s="3215">
        <f t="shared" si="47"/>
        <v>1125.50881</v>
      </c>
      <c r="D71" s="3215">
        <f t="shared" si="47"/>
        <v>1238.0596910000002</v>
      </c>
      <c r="E71" s="3215">
        <f t="shared" si="47"/>
        <v>1181.7842504999999</v>
      </c>
      <c r="F71" s="3215">
        <f t="shared" si="47"/>
        <v>1012.9579290000001</v>
      </c>
      <c r="G71" s="3215">
        <f t="shared" si="47"/>
        <v>956.68248849999998</v>
      </c>
      <c r="H71" s="3215">
        <f t="shared" si="47"/>
        <v>900.40704800000003</v>
      </c>
      <c r="I71" s="3215">
        <f t="shared" si="47"/>
        <v>675.30528600000002</v>
      </c>
      <c r="J71" s="3215">
        <f t="shared" si="47"/>
        <v>900.40704800000003</v>
      </c>
      <c r="K71" s="3215">
        <f t="shared" si="47"/>
        <v>1069.2333695000002</v>
      </c>
      <c r="L71" s="3215">
        <f t="shared" si="47"/>
        <v>1125.50881</v>
      </c>
      <c r="M71" s="3216">
        <f t="shared" si="47"/>
        <v>1350.610572</v>
      </c>
      <c r="N71" s="3217">
        <f t="shared" ref="N71:N78" si="48">SUM(B71:M71)</f>
        <v>12436.872350499998</v>
      </c>
    </row>
    <row r="72" spans="1:15">
      <c r="A72" s="1521" t="str">
        <v/>
      </c>
      <c r="B72" s="3218">
        <f t="shared" ref="B72:M72" si="49">B59*(1+$O59)</f>
        <v>0</v>
      </c>
      <c r="C72" s="3219">
        <f t="shared" si="49"/>
        <v>0</v>
      </c>
      <c r="D72" s="3219">
        <f t="shared" si="49"/>
        <v>0</v>
      </c>
      <c r="E72" s="3219">
        <f t="shared" si="49"/>
        <v>0</v>
      </c>
      <c r="F72" s="3219">
        <f t="shared" si="49"/>
        <v>0</v>
      </c>
      <c r="G72" s="3219">
        <f t="shared" si="49"/>
        <v>0</v>
      </c>
      <c r="H72" s="3219">
        <f t="shared" si="49"/>
        <v>0</v>
      </c>
      <c r="I72" s="3219">
        <f t="shared" si="49"/>
        <v>0</v>
      </c>
      <c r="J72" s="3219">
        <f t="shared" si="49"/>
        <v>0</v>
      </c>
      <c r="K72" s="3219">
        <f t="shared" si="49"/>
        <v>0</v>
      </c>
      <c r="L72" s="3219">
        <f t="shared" si="49"/>
        <v>0</v>
      </c>
      <c r="M72" s="3220">
        <f t="shared" si="49"/>
        <v>0</v>
      </c>
      <c r="N72" s="3221">
        <f t="shared" si="48"/>
        <v>0</v>
      </c>
    </row>
    <row r="73" spans="1:15">
      <c r="A73" s="1521" t="str">
        <v/>
      </c>
      <c r="B73" s="3218">
        <f t="shared" ref="B73:M73" si="50">B60*(1+$O60)</f>
        <v>0</v>
      </c>
      <c r="C73" s="3219">
        <f t="shared" si="50"/>
        <v>0</v>
      </c>
      <c r="D73" s="3219">
        <f t="shared" si="50"/>
        <v>0</v>
      </c>
      <c r="E73" s="3219">
        <f t="shared" si="50"/>
        <v>0</v>
      </c>
      <c r="F73" s="3219">
        <f t="shared" si="50"/>
        <v>0</v>
      </c>
      <c r="G73" s="3219">
        <f t="shared" si="50"/>
        <v>0</v>
      </c>
      <c r="H73" s="3219">
        <f t="shared" si="50"/>
        <v>0</v>
      </c>
      <c r="I73" s="3219">
        <f t="shared" si="50"/>
        <v>0</v>
      </c>
      <c r="J73" s="3219">
        <f t="shared" si="50"/>
        <v>0</v>
      </c>
      <c r="K73" s="3219">
        <f t="shared" si="50"/>
        <v>0</v>
      </c>
      <c r="L73" s="3219">
        <f t="shared" si="50"/>
        <v>0</v>
      </c>
      <c r="M73" s="3220">
        <f t="shared" si="50"/>
        <v>0</v>
      </c>
      <c r="N73" s="3221">
        <f t="shared" si="48"/>
        <v>0</v>
      </c>
    </row>
    <row r="74" spans="1:15">
      <c r="A74" s="1521" t="str">
        <v/>
      </c>
      <c r="B74" s="3218">
        <f t="shared" ref="B74:M74" si="51">B61*(1+$O61)</f>
        <v>0</v>
      </c>
      <c r="C74" s="3219">
        <f t="shared" si="51"/>
        <v>0</v>
      </c>
      <c r="D74" s="3219">
        <f t="shared" si="51"/>
        <v>0</v>
      </c>
      <c r="E74" s="3219">
        <f t="shared" si="51"/>
        <v>0</v>
      </c>
      <c r="F74" s="3219">
        <f t="shared" si="51"/>
        <v>0</v>
      </c>
      <c r="G74" s="3219">
        <f t="shared" si="51"/>
        <v>0</v>
      </c>
      <c r="H74" s="3219">
        <f t="shared" si="51"/>
        <v>0</v>
      </c>
      <c r="I74" s="3219">
        <f t="shared" si="51"/>
        <v>0</v>
      </c>
      <c r="J74" s="3219">
        <f t="shared" si="51"/>
        <v>0</v>
      </c>
      <c r="K74" s="3219">
        <f t="shared" si="51"/>
        <v>0</v>
      </c>
      <c r="L74" s="3219">
        <f t="shared" si="51"/>
        <v>0</v>
      </c>
      <c r="M74" s="3220">
        <f t="shared" si="51"/>
        <v>0</v>
      </c>
      <c r="N74" s="3221">
        <f t="shared" si="48"/>
        <v>0</v>
      </c>
    </row>
    <row r="75" spans="1:15">
      <c r="A75" s="1521" t="str">
        <v/>
      </c>
      <c r="B75" s="3218">
        <f t="shared" ref="B75:M75" si="52">B62*(1+$O62)</f>
        <v>0</v>
      </c>
      <c r="C75" s="3219">
        <f t="shared" si="52"/>
        <v>0</v>
      </c>
      <c r="D75" s="3219">
        <f t="shared" si="52"/>
        <v>0</v>
      </c>
      <c r="E75" s="3219">
        <f t="shared" si="52"/>
        <v>0</v>
      </c>
      <c r="F75" s="3219">
        <f t="shared" si="52"/>
        <v>0</v>
      </c>
      <c r="G75" s="3219">
        <f t="shared" si="52"/>
        <v>0</v>
      </c>
      <c r="H75" s="3219">
        <f t="shared" si="52"/>
        <v>0</v>
      </c>
      <c r="I75" s="3219">
        <f t="shared" si="52"/>
        <v>0</v>
      </c>
      <c r="J75" s="3219">
        <f t="shared" si="52"/>
        <v>0</v>
      </c>
      <c r="K75" s="3219">
        <f t="shared" si="52"/>
        <v>0</v>
      </c>
      <c r="L75" s="3219">
        <f t="shared" si="52"/>
        <v>0</v>
      </c>
      <c r="M75" s="3220">
        <f t="shared" si="52"/>
        <v>0</v>
      </c>
      <c r="N75" s="3221">
        <f t="shared" si="48"/>
        <v>0</v>
      </c>
    </row>
    <row r="76" spans="1:15">
      <c r="A76" s="1521" t="str">
        <v/>
      </c>
      <c r="B76" s="3218">
        <f t="shared" ref="B76:M76" si="53">B63*(1+$O63)</f>
        <v>0</v>
      </c>
      <c r="C76" s="3219">
        <f t="shared" si="53"/>
        <v>0</v>
      </c>
      <c r="D76" s="3219">
        <f t="shared" si="53"/>
        <v>0</v>
      </c>
      <c r="E76" s="3219">
        <f t="shared" si="53"/>
        <v>0</v>
      </c>
      <c r="F76" s="3219">
        <f t="shared" si="53"/>
        <v>0</v>
      </c>
      <c r="G76" s="3219">
        <f t="shared" si="53"/>
        <v>0</v>
      </c>
      <c r="H76" s="3219">
        <f t="shared" si="53"/>
        <v>0</v>
      </c>
      <c r="I76" s="3219">
        <f t="shared" si="53"/>
        <v>0</v>
      </c>
      <c r="J76" s="3219">
        <f t="shared" si="53"/>
        <v>0</v>
      </c>
      <c r="K76" s="3219">
        <f t="shared" si="53"/>
        <v>0</v>
      </c>
      <c r="L76" s="3219">
        <f t="shared" si="53"/>
        <v>0</v>
      </c>
      <c r="M76" s="3220">
        <f t="shared" si="53"/>
        <v>0</v>
      </c>
      <c r="N76" s="3221">
        <f t="shared" si="48"/>
        <v>0</v>
      </c>
    </row>
    <row r="77" spans="1:15">
      <c r="A77" s="1521" t="str">
        <v/>
      </c>
      <c r="B77" s="3218">
        <f t="shared" ref="B77:M77" si="54">B64*(1+$O64)</f>
        <v>0</v>
      </c>
      <c r="C77" s="3219">
        <f t="shared" si="54"/>
        <v>0</v>
      </c>
      <c r="D77" s="3219">
        <f t="shared" si="54"/>
        <v>0</v>
      </c>
      <c r="E77" s="3219">
        <f t="shared" si="54"/>
        <v>0</v>
      </c>
      <c r="F77" s="3219">
        <f t="shared" si="54"/>
        <v>0</v>
      </c>
      <c r="G77" s="3219">
        <f t="shared" si="54"/>
        <v>0</v>
      </c>
      <c r="H77" s="3219">
        <f t="shared" si="54"/>
        <v>0</v>
      </c>
      <c r="I77" s="3219">
        <f t="shared" si="54"/>
        <v>0</v>
      </c>
      <c r="J77" s="3219">
        <f t="shared" si="54"/>
        <v>0</v>
      </c>
      <c r="K77" s="3219">
        <f t="shared" si="54"/>
        <v>0</v>
      </c>
      <c r="L77" s="3219">
        <f t="shared" si="54"/>
        <v>0</v>
      </c>
      <c r="M77" s="3220">
        <f t="shared" si="54"/>
        <v>0</v>
      </c>
      <c r="N77" s="3221">
        <f t="shared" si="48"/>
        <v>0</v>
      </c>
    </row>
    <row r="78" spans="1:15" ht="13.5" thickBot="1">
      <c r="A78" s="1522" t="str">
        <v/>
      </c>
      <c r="B78" s="3222">
        <f t="shared" ref="B78:M78" si="55">B65*(1+$O65)</f>
        <v>0</v>
      </c>
      <c r="C78" s="3223">
        <f t="shared" si="55"/>
        <v>0</v>
      </c>
      <c r="D78" s="3223">
        <f t="shared" si="55"/>
        <v>0</v>
      </c>
      <c r="E78" s="3223">
        <f t="shared" si="55"/>
        <v>0</v>
      </c>
      <c r="F78" s="3223">
        <f t="shared" si="55"/>
        <v>0</v>
      </c>
      <c r="G78" s="3223">
        <f t="shared" si="55"/>
        <v>0</v>
      </c>
      <c r="H78" s="3223">
        <f t="shared" si="55"/>
        <v>0</v>
      </c>
      <c r="I78" s="3223">
        <f t="shared" si="55"/>
        <v>0</v>
      </c>
      <c r="J78" s="3223">
        <f t="shared" si="55"/>
        <v>0</v>
      </c>
      <c r="K78" s="3223">
        <f t="shared" si="55"/>
        <v>0</v>
      </c>
      <c r="L78" s="3223">
        <f t="shared" si="55"/>
        <v>0</v>
      </c>
      <c r="M78" s="3224">
        <f t="shared" si="55"/>
        <v>0</v>
      </c>
      <c r="N78" s="3225">
        <f t="shared" si="48"/>
        <v>0</v>
      </c>
    </row>
    <row r="79" spans="1:15" ht="13.5" thickBot="1">
      <c r="A79" s="103" t="s">
        <v>11</v>
      </c>
      <c r="B79" s="930">
        <f t="shared" ref="B79:M79" si="56">B71+B72+B73+B74+B75+B76+B77+B78</f>
        <v>900.40704800000003</v>
      </c>
      <c r="C79" s="931">
        <f t="shared" si="56"/>
        <v>1125.50881</v>
      </c>
      <c r="D79" s="931">
        <f t="shared" si="56"/>
        <v>1238.0596910000002</v>
      </c>
      <c r="E79" s="931">
        <f t="shared" si="56"/>
        <v>1181.7842504999999</v>
      </c>
      <c r="F79" s="931">
        <f t="shared" si="56"/>
        <v>1012.9579290000001</v>
      </c>
      <c r="G79" s="931">
        <f t="shared" si="56"/>
        <v>956.68248849999998</v>
      </c>
      <c r="H79" s="931">
        <f t="shared" si="56"/>
        <v>900.40704800000003</v>
      </c>
      <c r="I79" s="931">
        <f t="shared" si="56"/>
        <v>675.30528600000002</v>
      </c>
      <c r="J79" s="931">
        <f t="shared" si="56"/>
        <v>900.40704800000003</v>
      </c>
      <c r="K79" s="931">
        <f t="shared" si="56"/>
        <v>1069.2333695000002</v>
      </c>
      <c r="L79" s="931">
        <f t="shared" si="56"/>
        <v>1125.50881</v>
      </c>
      <c r="M79" s="932">
        <f t="shared" si="56"/>
        <v>1350.610572</v>
      </c>
      <c r="N79" s="426">
        <f>SUM(B79:M79)</f>
        <v>12436.872350499998</v>
      </c>
    </row>
  </sheetData>
  <sheetProtection sheet="1" objects="1" scenarios="1"/>
  <phoneticPr fontId="6" type="noConversion"/>
  <conditionalFormatting sqref="B6:M13">
    <cfRule type="expression" dxfId="26" priority="1" stopIfTrue="1">
      <formula>COLUMN(B6)-1&lt;mes0</formula>
    </cfRule>
  </conditionalFormatting>
  <conditionalFormatting sqref="B14:M14">
    <cfRule type="expression" dxfId="25" priority="3" stopIfTrue="1">
      <formula>COLUMN(B14)&lt;=mes0</formula>
    </cfRule>
  </conditionalFormatting>
  <dataValidations count="1">
    <dataValidation type="whole" allowBlank="1" showInputMessage="1" showErrorMessage="1" sqref="Q3" xr:uid="{BD48BE2D-4128-4856-9BB9-EE238A1B35F8}">
      <formula1>2</formula1>
      <formula2>12</formula2>
    </dataValidation>
  </dataValidations>
  <printOptions horizontalCentered="1" verticalCentered="1"/>
  <pageMargins left="0.53" right="0.35" top="0.53" bottom="0.67" header="0.51181102362204722" footer="0.39370078740157483"/>
  <pageSetup paperSize="9" scale="80" fitToHeight="0" orientation="landscape" horizontalDpi="300" verticalDpi="300" r:id="rId1"/>
  <headerFooter alignWithMargins="0">
    <oddFooter>&amp;C&amp;"Tahoma,Normal"&amp;10&amp;A</oddFooter>
  </headerFooter>
  <rowBreaks count="1" manualBreakCount="1">
    <brk id="40" max="13"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7">
    <tabColor indexed="45"/>
    <pageSetUpPr fitToPage="1"/>
  </sheetPr>
  <dimension ref="A1:H31"/>
  <sheetViews>
    <sheetView workbookViewId="0"/>
  </sheetViews>
  <sheetFormatPr baseColWidth="10" defaultColWidth="11" defaultRowHeight="15"/>
  <cols>
    <col min="1" max="1" width="5.875" style="35" customWidth="1"/>
    <col min="2" max="2" width="30" style="35" customWidth="1"/>
    <col min="3" max="3" width="22.625" style="35" customWidth="1"/>
    <col min="4" max="4" width="6.625" style="35" customWidth="1"/>
    <col min="5" max="5" width="5.75" style="35" customWidth="1"/>
    <col min="6" max="6" width="30.125" style="35" customWidth="1"/>
    <col min="7" max="7" width="22.625" style="35" customWidth="1"/>
    <col min="8" max="16384" width="11" style="35"/>
  </cols>
  <sheetData>
    <row r="1" spans="1:7" ht="25.5">
      <c r="A1" s="939" t="str">
        <f>CONCATENATE("Empresa: ",'Datos Básicos'!$B$9)</f>
        <v>Empresa: nombre empresa</v>
      </c>
      <c r="B1" s="348"/>
      <c r="C1" s="348"/>
      <c r="D1" s="348"/>
      <c r="E1" s="348"/>
      <c r="F1" s="348"/>
      <c r="G1" s="939"/>
    </row>
    <row r="2" spans="1:7" ht="25.5" customHeight="1"/>
    <row r="3" spans="1:7" s="938" customFormat="1" ht="27">
      <c r="A3" s="936" t="str">
        <f>CONCATENATE("BALANCE  INICIAL  DEL  EJERCICIO  ",Parametros!D65)</f>
        <v>BALANCE  INICIAL  DEL  EJERCICIO  2026</v>
      </c>
      <c r="B3" s="937"/>
      <c r="C3" s="937"/>
      <c r="D3" s="937"/>
      <c r="E3" s="937"/>
      <c r="F3" s="937"/>
      <c r="G3" s="937"/>
    </row>
    <row r="4" spans="1:7" s="98" customFormat="1" ht="22.5">
      <c r="B4" s="1589"/>
      <c r="D4" s="1590" t="str">
        <f>CONCATENATE("a fecha 1 de ",TEXT(INDEX(Parametros!A61:A72,mes0,1),"mmmm aaaa"))</f>
        <v>a fecha 1 de enero 2026</v>
      </c>
    </row>
    <row r="6" spans="1:7" ht="15.75" thickBot="1"/>
    <row r="7" spans="1:7" ht="19.5">
      <c r="A7" s="251"/>
      <c r="B7" s="1650" t="s">
        <v>601</v>
      </c>
      <c r="C7" s="377"/>
      <c r="E7" s="251"/>
      <c r="F7" s="1651" t="s">
        <v>600</v>
      </c>
      <c r="G7" s="377"/>
    </row>
    <row r="8" spans="1:7">
      <c r="A8" s="104"/>
      <c r="C8" s="381"/>
      <c r="E8" s="104"/>
      <c r="G8" s="381"/>
    </row>
    <row r="9" spans="1:7" ht="18">
      <c r="A9" s="2822" t="str">
        <f>'Balances anuales'!A5</f>
        <v>Activos No Corrientes</v>
      </c>
      <c r="C9" s="1636">
        <f>SUM(C10:C17)</f>
        <v>0</v>
      </c>
      <c r="E9" s="2822" t="str">
        <f>'Balances anuales'!A26</f>
        <v>Patrimonio Neto</v>
      </c>
      <c r="F9" s="635"/>
      <c r="G9" s="1636">
        <f>SUM(G10:G13)</f>
        <v>3000</v>
      </c>
    </row>
    <row r="10" spans="1:7">
      <c r="A10" s="104"/>
      <c r="B10" s="1654" t="str">
        <f>'Balances anuales'!A6</f>
        <v>Inmovilizado Material</v>
      </c>
      <c r="C10" s="1637">
        <f>Amortizaciones!B6</f>
        <v>0</v>
      </c>
      <c r="E10" s="104"/>
      <c r="F10" s="1451" t="str">
        <f>'Balances anuales'!A27</f>
        <v>Fondo Social</v>
      </c>
      <c r="G10" s="1645">
        <f>'Financiación Inicial'!B7+'Financiación Inicial'!C7+
'Financiación Inicial'!B8+'Financiación Inicial'!C8</f>
        <v>3000</v>
      </c>
    </row>
    <row r="11" spans="1:7">
      <c r="A11" s="104"/>
      <c r="B11" s="39" t="s">
        <v>627</v>
      </c>
      <c r="C11" s="1638">
        <f>-Amortizaciones!C6</f>
        <v>0</v>
      </c>
      <c r="E11" s="104"/>
      <c r="F11" s="1451" t="str">
        <f>'Balances anuales'!A28</f>
        <v>Remanente ejercicios anteriores</v>
      </c>
      <c r="G11" s="1767">
        <f>SUM(resprevio)-'Gastos Iniciales'!B12*0</f>
        <v>0</v>
      </c>
    </row>
    <row r="12" spans="1:7">
      <c r="A12" s="104"/>
      <c r="B12" s="1654" t="str">
        <f>'Balances anuales'!A7</f>
        <v>Inmovilizado Intangible</v>
      </c>
      <c r="C12" s="1639">
        <f>'Inv. Iniciales ANC'!B63</f>
        <v>0</v>
      </c>
      <c r="E12" s="104"/>
      <c r="F12" s="72" t="str">
        <f>'Balances anuales'!A34</f>
        <v>Otras aportaciones de socios/as</v>
      </c>
      <c r="G12" s="1646">
        <f>'Financiación Inicial'!D13</f>
        <v>0</v>
      </c>
    </row>
    <row r="13" spans="1:7">
      <c r="A13" s="104"/>
      <c r="B13" s="39" t="s">
        <v>628</v>
      </c>
      <c r="C13" s="1638">
        <f>-'Inv. Iniciales ANC'!E63</f>
        <v>0</v>
      </c>
      <c r="E13" s="104"/>
      <c r="F13" s="1451" t="str">
        <f>'Balances anuales'!A29</f>
        <v>Subvenciones</v>
      </c>
      <c r="G13" s="1639">
        <f>'Financiación Inicial'!D14</f>
        <v>0</v>
      </c>
    </row>
    <row r="14" spans="1:7">
      <c r="A14" s="104"/>
      <c r="B14" s="1654" t="str">
        <f>'Balances anuales'!A11</f>
        <v>Inmov. Financiero Largo Plazo</v>
      </c>
      <c r="C14" s="1637">
        <f>'Balances anuales'!D11</f>
        <v>0</v>
      </c>
      <c r="E14" s="104"/>
      <c r="F14" s="1451" t="str">
        <f>'Balances anuales'!A30</f>
        <v>Resultados pend. aplicación</v>
      </c>
      <c r="G14" s="1646">
        <v>0</v>
      </c>
    </row>
    <row r="15" spans="1:7">
      <c r="A15" s="104"/>
      <c r="B15" s="39"/>
      <c r="C15" s="381"/>
      <c r="E15" s="104"/>
      <c r="G15" s="381"/>
    </row>
    <row r="16" spans="1:7" ht="18">
      <c r="A16" s="104"/>
      <c r="B16" s="39" t="s">
        <v>630</v>
      </c>
      <c r="C16" s="1640">
        <f>'Gastos Iniciales'!B12*0
+'Gastos Iniciales'!B20*0</f>
        <v>0</v>
      </c>
      <c r="E16" s="1635" t="s">
        <v>668</v>
      </c>
      <c r="F16" s="635"/>
      <c r="G16" s="1636">
        <f ca="1">G17+G21</f>
        <v>0</v>
      </c>
    </row>
    <row r="17" spans="1:8">
      <c r="A17" s="104"/>
      <c r="B17" s="39" t="s">
        <v>631</v>
      </c>
      <c r="C17" s="1641"/>
      <c r="E17" s="2824" t="str">
        <f>'Balances anuales'!A32</f>
        <v>Pasivos a Largo Plazo</v>
      </c>
      <c r="F17" s="683"/>
      <c r="G17" s="1647">
        <f>SUM(G18:G19)</f>
        <v>0</v>
      </c>
      <c r="H17" s="934"/>
    </row>
    <row r="18" spans="1:8">
      <c r="A18" s="104"/>
      <c r="C18" s="381"/>
      <c r="E18" s="104"/>
      <c r="F18" s="72" t="str">
        <f>'Balances anuales'!A33</f>
        <v>Acreedores L.P. Financieros</v>
      </c>
      <c r="G18" s="1645">
        <f>'Financiación Inicial'!D18</f>
        <v>0</v>
      </c>
      <c r="H18" s="934"/>
    </row>
    <row r="19" spans="1:8" ht="18">
      <c r="A19" s="2822" t="str">
        <f>'Balances anuales'!A13</f>
        <v>Activos Corrientes</v>
      </c>
      <c r="C19" s="1636">
        <f ca="1">SUM(C20:C27)</f>
        <v>3000</v>
      </c>
      <c r="E19" s="104"/>
      <c r="F19" s="72" t="str">
        <f>'Balances anuales'!A35</f>
        <v>Otros Acreedores L.P.</v>
      </c>
      <c r="G19" s="1645">
        <f>'Financiación Inicial'!B20</f>
        <v>0</v>
      </c>
    </row>
    <row r="20" spans="1:8">
      <c r="A20" s="104"/>
      <c r="B20" s="1654" t="str">
        <f>'Balances anuales'!A14</f>
        <v>Inmov. Financiero Corto Plazo</v>
      </c>
      <c r="C20" s="1637">
        <f>'Inversiones AC'!I7</f>
        <v>0</v>
      </c>
      <c r="E20" s="104"/>
      <c r="G20" s="381"/>
    </row>
    <row r="21" spans="1:8">
      <c r="A21" s="104"/>
      <c r="B21" s="1654" t="str">
        <f>'Balances anuales'!A15</f>
        <v>Existencias</v>
      </c>
      <c r="C21" s="1637">
        <f ca="1">'Inversiones AC'!I11</f>
        <v>0</v>
      </c>
      <c r="E21" s="2824" t="str">
        <f>'Balances anuales'!A37</f>
        <v>Pasivos a Corto Plazo</v>
      </c>
      <c r="F21" s="683"/>
      <c r="G21" s="1647">
        <f ca="1">SUM(G22:G27)</f>
        <v>0</v>
      </c>
    </row>
    <row r="22" spans="1:8">
      <c r="A22" s="104"/>
      <c r="B22" s="1654" t="str">
        <f>'Balances anuales'!A16</f>
        <v>Cobros pendientes de clientes</v>
      </c>
      <c r="C22" s="1640">
        <f>'Inversiones AC'!$G$24</f>
        <v>0</v>
      </c>
      <c r="E22" s="104"/>
      <c r="F22" s="72" t="str">
        <f>'Balances anuales'!A38</f>
        <v>Acreedores C.P. Financieros</v>
      </c>
      <c r="G22" s="1645">
        <f>'Financiación Inicial'!D23</f>
        <v>0</v>
      </c>
    </row>
    <row r="23" spans="1:8">
      <c r="A23" s="104"/>
      <c r="B23" s="1654" t="str">
        <f>'Balances anuales'!A18</f>
        <v>Admon. Acreedora subvenciones</v>
      </c>
      <c r="C23" s="1640">
        <f>+'Inversiones AC'!I23</f>
        <v>0</v>
      </c>
      <c r="E23" s="104"/>
      <c r="F23" s="72" t="str">
        <f>'Balances anuales'!A39</f>
        <v>Crédito financiero C.P.</v>
      </c>
      <c r="G23" s="1645">
        <f>'Financiación Inicial'!$B$25</f>
        <v>0</v>
      </c>
    </row>
    <row r="24" spans="1:8">
      <c r="A24" s="104"/>
      <c r="B24" s="1654" t="str">
        <f>'Balances anuales'!A19</f>
        <v>H.P. Retenciones a cuenta IRPF</v>
      </c>
      <c r="C24" s="1637">
        <f>IF(irpf&lt;&gt;0,+'Inversiones AC'!G21,0)</f>
        <v>0</v>
      </c>
      <c r="E24" s="104"/>
      <c r="F24" s="72" t="str">
        <f>'Balances anuales'!A40</f>
        <v>Proveedores</v>
      </c>
      <c r="G24" s="1645">
        <f ca="1">'Financiación Inicial'!$B$27+'Financiación Inicial'!$C$26</f>
        <v>0</v>
      </c>
    </row>
    <row r="25" spans="1:8">
      <c r="A25" s="104"/>
      <c r="B25" s="1654" t="str">
        <f>'Balances anuales'!A20</f>
        <v>H.P. Deudora  I.R.P.F.</v>
      </c>
      <c r="C25" s="1637">
        <f>+'Inversiones AC'!G22</f>
        <v>0</v>
      </c>
      <c r="E25" s="104"/>
      <c r="F25" s="72" t="str">
        <f>'Balances anuales'!A41</f>
        <v>H.P. acreedora IVA</v>
      </c>
      <c r="G25" s="1645">
        <f>'Financiación Inicial'!B28</f>
        <v>0</v>
      </c>
    </row>
    <row r="26" spans="1:8">
      <c r="A26" s="104"/>
      <c r="B26" s="1654" t="str">
        <f>'Balances anuales'!A21</f>
        <v>H.P. Deudora IVA</v>
      </c>
      <c r="C26" s="1637">
        <f ca="1">'Inversiones AC'!H19+'Inversiones AC'!G20</f>
        <v>0</v>
      </c>
      <c r="E26" s="104"/>
      <c r="F26" s="72" t="str">
        <f>'Balances anuales'!A42</f>
        <v>H.P. acreedora I.R.P.F.</v>
      </c>
      <c r="G26" s="1648">
        <f>+'Financiación Inicial'!B29</f>
        <v>0</v>
      </c>
    </row>
    <row r="27" spans="1:8">
      <c r="A27" s="104"/>
      <c r="B27" s="1654" t="str">
        <f>'Balances anuales'!A22</f>
        <v>Tesorería</v>
      </c>
      <c r="C27" s="1637">
        <f ca="1">'Inversiones AC'!I26</f>
        <v>3000</v>
      </c>
      <c r="E27" s="104"/>
      <c r="F27" s="72" t="str">
        <f>'Balances anuales'!A43</f>
        <v>Otros Acreedores C.P.</v>
      </c>
      <c r="G27" s="1645">
        <f>'Financiación Inicial'!D30</f>
        <v>0</v>
      </c>
    </row>
    <row r="28" spans="1:8">
      <c r="A28" s="104"/>
      <c r="C28" s="381"/>
      <c r="E28" s="104"/>
      <c r="G28" s="381"/>
    </row>
    <row r="29" spans="1:8" ht="18.75" thickBot="1">
      <c r="A29" s="1642"/>
      <c r="B29" s="2823" t="str">
        <f>'Balances anuales'!A24</f>
        <v>Total Activo</v>
      </c>
      <c r="C29" s="1644">
        <f ca="1">C19+C9</f>
        <v>3000</v>
      </c>
      <c r="E29" s="1642"/>
      <c r="F29" s="2825" t="str">
        <f>'Balances anuales'!A46</f>
        <v>Patrimonio Neto y Pasivos</v>
      </c>
      <c r="G29" s="1644">
        <f ca="1">G16+G9</f>
        <v>3000</v>
      </c>
    </row>
    <row r="31" spans="1:8">
      <c r="G31" s="935" t="str">
        <f ca="1">IF(ABS(G29-C29)&gt;0.0001,G29-C29,"")</f>
        <v/>
      </c>
    </row>
  </sheetData>
  <sheetProtection sheet="1" objects="1" scenarios="1"/>
  <phoneticPr fontId="6" type="noConversion"/>
  <printOptions horizontalCentered="1"/>
  <pageMargins left="0.75" right="0.75" top="0.42" bottom="1" header="0" footer="0"/>
  <pageSetup paperSize="9" scale="98" orientation="landscape" horizont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2">
    <tabColor indexed="42"/>
  </sheetPr>
  <dimension ref="A1:T81"/>
  <sheetViews>
    <sheetView workbookViewId="0"/>
  </sheetViews>
  <sheetFormatPr baseColWidth="10" defaultColWidth="11" defaultRowHeight="12.75"/>
  <cols>
    <col min="1" max="1" width="23.75" style="232" customWidth="1"/>
    <col min="2" max="2" width="13.875" style="60" bestFit="1" customWidth="1"/>
    <col min="3" max="3" width="13" style="61" customWidth="1"/>
    <col min="4" max="9" width="10.125" style="61" customWidth="1"/>
    <col min="10" max="13" width="11.25" style="61" customWidth="1"/>
    <col min="14" max="14" width="10.75" style="61" customWidth="1"/>
    <col min="15" max="15" width="12.875" style="232" customWidth="1"/>
    <col min="16" max="16384" width="11" style="61"/>
  </cols>
  <sheetData>
    <row r="1" spans="1:15" ht="22.5">
      <c r="A1" s="67" t="s">
        <v>299</v>
      </c>
      <c r="D1" s="520"/>
      <c r="E1" s="421" t="str">
        <f>Parametros!B77</f>
        <v>Año 0:  2026</v>
      </c>
    </row>
    <row r="2" spans="1:15" ht="22.5">
      <c r="A2" s="67" t="str">
        <f>'Datos Básicos'!B9</f>
        <v>nombre empresa</v>
      </c>
    </row>
    <row r="3" spans="1:15" ht="14.25" customHeight="1" thickBot="1">
      <c r="A3" s="59"/>
    </row>
    <row r="4" spans="1:15" s="447" customFormat="1" ht="15.75" customHeight="1" thickBot="1">
      <c r="A4" s="446" t="s">
        <v>166</v>
      </c>
      <c r="B4" s="444" t="str">
        <f t="array" ref="B4:M4">meses</f>
        <v>enero</v>
      </c>
      <c r="C4" s="440" t="str">
        <v>febrero</v>
      </c>
      <c r="D4" s="440" t="str">
        <v>marzo</v>
      </c>
      <c r="E4" s="440" t="str">
        <v>abril</v>
      </c>
      <c r="F4" s="440" t="str">
        <v>mayo</v>
      </c>
      <c r="G4" s="440" t="str">
        <v>junio</v>
      </c>
      <c r="H4" s="440" t="str">
        <v>julio</v>
      </c>
      <c r="I4" s="440" t="str">
        <v>agosto</v>
      </c>
      <c r="J4" s="440" t="str">
        <v>septiembre</v>
      </c>
      <c r="K4" s="440" t="str">
        <v>octubre</v>
      </c>
      <c r="L4" s="440" t="str">
        <v>noviembre</v>
      </c>
      <c r="M4" s="441" t="str">
        <v>diciembre</v>
      </c>
      <c r="N4" s="438" t="s">
        <v>15</v>
      </c>
    </row>
    <row r="5" spans="1:15" ht="15.75" customHeight="1">
      <c r="A5" s="1972" t="str">
        <f t="array" ref="A5:A12">productos</f>
        <v>producto o servicio</v>
      </c>
      <c r="B5" s="563">
        <f t="array" aca="1" ref="B5:M12" ca="1">IF(COLUMN(B$4:M$4)&lt;=mes0,0,'Estimaciones Ventas'!B6:M13*Parametros!B$88:M$88)</f>
        <v>500</v>
      </c>
      <c r="C5" s="564">
        <f ca="1"/>
        <v>534.469696969697</v>
      </c>
      <c r="D5" s="564">
        <f ca="1"/>
        <v>587.12121212121212</v>
      </c>
      <c r="E5" s="564">
        <f ca="1"/>
        <v>617.0454545454545</v>
      </c>
      <c r="F5" s="564">
        <f ca="1"/>
        <v>601.5151515151515</v>
      </c>
      <c r="G5" s="564">
        <f ca="1"/>
        <v>604.16666666666663</v>
      </c>
      <c r="H5" s="564">
        <f ca="1"/>
        <v>597.72727272727275</v>
      </c>
      <c r="I5" s="564">
        <f ca="1"/>
        <v>486.74242424242419</v>
      </c>
      <c r="J5" s="564">
        <f ca="1"/>
        <v>630.30303030303025</v>
      </c>
      <c r="K5" s="564">
        <f ca="1"/>
        <v>769.31818181818176</v>
      </c>
      <c r="L5" s="564">
        <f ca="1"/>
        <v>844.69696969696963</v>
      </c>
      <c r="M5" s="564">
        <f ca="1"/>
        <v>1079.1666666666665</v>
      </c>
      <c r="N5" s="423">
        <f t="shared" ref="N5:N12" ca="1" si="0">SUM(B5:M5)</f>
        <v>7852.2727272727261</v>
      </c>
      <c r="O5" s="61"/>
    </row>
    <row r="6" spans="1:15" ht="15.75" customHeight="1">
      <c r="A6" s="1973" t="str">
        <v/>
      </c>
      <c r="B6" s="565">
        <f ca="1"/>
        <v>0</v>
      </c>
      <c r="C6" s="81">
        <f ca="1"/>
        <v>0</v>
      </c>
      <c r="D6" s="81">
        <f ca="1"/>
        <v>0</v>
      </c>
      <c r="E6" s="81">
        <f ca="1"/>
        <v>0</v>
      </c>
      <c r="F6" s="81">
        <f ca="1"/>
        <v>0</v>
      </c>
      <c r="G6" s="81">
        <f ca="1"/>
        <v>0</v>
      </c>
      <c r="H6" s="81">
        <f ca="1"/>
        <v>0</v>
      </c>
      <c r="I6" s="81">
        <f ca="1"/>
        <v>0</v>
      </c>
      <c r="J6" s="81">
        <f ca="1"/>
        <v>0</v>
      </c>
      <c r="K6" s="81">
        <f ca="1"/>
        <v>0</v>
      </c>
      <c r="L6" s="81">
        <f ca="1"/>
        <v>0</v>
      </c>
      <c r="M6" s="81">
        <f ca="1"/>
        <v>0</v>
      </c>
      <c r="N6" s="424">
        <f t="shared" ca="1" si="0"/>
        <v>0</v>
      </c>
      <c r="O6" s="61"/>
    </row>
    <row r="7" spans="1:15" ht="15.75" customHeight="1">
      <c r="A7" s="1973" t="str">
        <v/>
      </c>
      <c r="B7" s="565">
        <f ca="1"/>
        <v>0</v>
      </c>
      <c r="C7" s="81">
        <f ca="1"/>
        <v>0</v>
      </c>
      <c r="D7" s="81">
        <f ca="1"/>
        <v>0</v>
      </c>
      <c r="E7" s="81">
        <f ca="1"/>
        <v>0</v>
      </c>
      <c r="F7" s="81">
        <f ca="1"/>
        <v>0</v>
      </c>
      <c r="G7" s="81">
        <f ca="1"/>
        <v>0</v>
      </c>
      <c r="H7" s="81">
        <f ca="1"/>
        <v>0</v>
      </c>
      <c r="I7" s="81">
        <f ca="1"/>
        <v>0</v>
      </c>
      <c r="J7" s="81">
        <f ca="1"/>
        <v>0</v>
      </c>
      <c r="K7" s="81">
        <f ca="1"/>
        <v>0</v>
      </c>
      <c r="L7" s="81">
        <f ca="1"/>
        <v>0</v>
      </c>
      <c r="M7" s="81">
        <f ca="1"/>
        <v>0</v>
      </c>
      <c r="N7" s="424">
        <f t="shared" ca="1" si="0"/>
        <v>0</v>
      </c>
      <c r="O7" s="61"/>
    </row>
    <row r="8" spans="1:15" ht="15.75" customHeight="1">
      <c r="A8" s="1973" t="str">
        <v/>
      </c>
      <c r="B8" s="565">
        <f ca="1"/>
        <v>0</v>
      </c>
      <c r="C8" s="81">
        <f ca="1"/>
        <v>0</v>
      </c>
      <c r="D8" s="81">
        <f ca="1"/>
        <v>0</v>
      </c>
      <c r="E8" s="81">
        <f ca="1"/>
        <v>0</v>
      </c>
      <c r="F8" s="81">
        <f ca="1"/>
        <v>0</v>
      </c>
      <c r="G8" s="81">
        <f ca="1"/>
        <v>0</v>
      </c>
      <c r="H8" s="81">
        <f ca="1"/>
        <v>0</v>
      </c>
      <c r="I8" s="81">
        <f ca="1"/>
        <v>0</v>
      </c>
      <c r="J8" s="81">
        <f ca="1"/>
        <v>0</v>
      </c>
      <c r="K8" s="81">
        <f ca="1"/>
        <v>0</v>
      </c>
      <c r="L8" s="81">
        <f ca="1"/>
        <v>0</v>
      </c>
      <c r="M8" s="81">
        <f ca="1"/>
        <v>0</v>
      </c>
      <c r="N8" s="424">
        <f t="shared" ca="1" si="0"/>
        <v>0</v>
      </c>
      <c r="O8" s="61"/>
    </row>
    <row r="9" spans="1:15" ht="15.75" customHeight="1">
      <c r="A9" s="1973" t="str">
        <v/>
      </c>
      <c r="B9" s="565">
        <f ca="1"/>
        <v>0</v>
      </c>
      <c r="C9" s="81">
        <f ca="1"/>
        <v>0</v>
      </c>
      <c r="D9" s="81">
        <f ca="1"/>
        <v>0</v>
      </c>
      <c r="E9" s="81">
        <f ca="1"/>
        <v>0</v>
      </c>
      <c r="F9" s="81">
        <f ca="1"/>
        <v>0</v>
      </c>
      <c r="G9" s="81">
        <f ca="1"/>
        <v>0</v>
      </c>
      <c r="H9" s="81">
        <f ca="1"/>
        <v>0</v>
      </c>
      <c r="I9" s="81">
        <f ca="1"/>
        <v>0</v>
      </c>
      <c r="J9" s="81">
        <f ca="1"/>
        <v>0</v>
      </c>
      <c r="K9" s="81">
        <f ca="1"/>
        <v>0</v>
      </c>
      <c r="L9" s="81">
        <f ca="1"/>
        <v>0</v>
      </c>
      <c r="M9" s="81">
        <f ca="1"/>
        <v>0</v>
      </c>
      <c r="N9" s="424">
        <f t="shared" ca="1" si="0"/>
        <v>0</v>
      </c>
      <c r="O9" s="61"/>
    </row>
    <row r="10" spans="1:15" ht="15.75" customHeight="1">
      <c r="A10" s="1973" t="str">
        <v/>
      </c>
      <c r="B10" s="565">
        <f ca="1"/>
        <v>0</v>
      </c>
      <c r="C10" s="81">
        <f ca="1"/>
        <v>0</v>
      </c>
      <c r="D10" s="81">
        <f ca="1"/>
        <v>0</v>
      </c>
      <c r="E10" s="81">
        <f ca="1"/>
        <v>0</v>
      </c>
      <c r="F10" s="81">
        <f ca="1"/>
        <v>0</v>
      </c>
      <c r="G10" s="81">
        <f ca="1"/>
        <v>0</v>
      </c>
      <c r="H10" s="81">
        <f ca="1"/>
        <v>0</v>
      </c>
      <c r="I10" s="81">
        <f ca="1"/>
        <v>0</v>
      </c>
      <c r="J10" s="81">
        <f ca="1"/>
        <v>0</v>
      </c>
      <c r="K10" s="81">
        <f ca="1"/>
        <v>0</v>
      </c>
      <c r="L10" s="81">
        <f ca="1"/>
        <v>0</v>
      </c>
      <c r="M10" s="81">
        <f ca="1"/>
        <v>0</v>
      </c>
      <c r="N10" s="424">
        <f t="shared" ca="1" si="0"/>
        <v>0</v>
      </c>
      <c r="O10" s="61"/>
    </row>
    <row r="11" spans="1:15" ht="15.75" customHeight="1">
      <c r="A11" s="1973" t="str">
        <v/>
      </c>
      <c r="B11" s="565">
        <f ca="1"/>
        <v>0</v>
      </c>
      <c r="C11" s="81">
        <f ca="1"/>
        <v>0</v>
      </c>
      <c r="D11" s="81">
        <f ca="1"/>
        <v>0</v>
      </c>
      <c r="E11" s="81">
        <f ca="1"/>
        <v>0</v>
      </c>
      <c r="F11" s="81">
        <f ca="1"/>
        <v>0</v>
      </c>
      <c r="G11" s="81">
        <f ca="1"/>
        <v>0</v>
      </c>
      <c r="H11" s="81">
        <f ca="1"/>
        <v>0</v>
      </c>
      <c r="I11" s="81">
        <f ca="1"/>
        <v>0</v>
      </c>
      <c r="J11" s="81">
        <f ca="1"/>
        <v>0</v>
      </c>
      <c r="K11" s="81">
        <f ca="1"/>
        <v>0</v>
      </c>
      <c r="L11" s="81">
        <f ca="1"/>
        <v>0</v>
      </c>
      <c r="M11" s="81">
        <f ca="1"/>
        <v>0</v>
      </c>
      <c r="N11" s="424">
        <f t="shared" ca="1" si="0"/>
        <v>0</v>
      </c>
      <c r="O11" s="61"/>
    </row>
    <row r="12" spans="1:15" ht="15.75" customHeight="1" thickBot="1">
      <c r="A12" s="1974" t="str">
        <v/>
      </c>
      <c r="B12" s="566">
        <f ca="1"/>
        <v>0</v>
      </c>
      <c r="C12" s="567">
        <f ca="1"/>
        <v>0</v>
      </c>
      <c r="D12" s="567">
        <f ca="1"/>
        <v>0</v>
      </c>
      <c r="E12" s="567">
        <f ca="1"/>
        <v>0</v>
      </c>
      <c r="F12" s="567">
        <f ca="1"/>
        <v>0</v>
      </c>
      <c r="G12" s="567">
        <f ca="1"/>
        <v>0</v>
      </c>
      <c r="H12" s="567">
        <f ca="1"/>
        <v>0</v>
      </c>
      <c r="I12" s="567">
        <f ca="1"/>
        <v>0</v>
      </c>
      <c r="J12" s="567">
        <f ca="1"/>
        <v>0</v>
      </c>
      <c r="K12" s="567">
        <f ca="1"/>
        <v>0</v>
      </c>
      <c r="L12" s="567">
        <f ca="1"/>
        <v>0</v>
      </c>
      <c r="M12" s="567">
        <f ca="1"/>
        <v>0</v>
      </c>
      <c r="N12" s="429">
        <f t="shared" ca="1" si="0"/>
        <v>0</v>
      </c>
      <c r="O12" s="61"/>
    </row>
    <row r="13" spans="1:15" ht="15">
      <c r="A13" s="72"/>
    </row>
    <row r="14" spans="1:15" ht="15">
      <c r="A14" s="72"/>
    </row>
    <row r="15" spans="1:15" ht="15.75" thickBot="1">
      <c r="A15" s="213"/>
    </row>
    <row r="16" spans="1:15" s="445" customFormat="1" ht="15.75" customHeight="1" thickBot="1">
      <c r="A16" s="446" t="str">
        <f>CONCATENATE("Ventas (",Moneda,")")</f>
        <v>Ventas (Euros)</v>
      </c>
      <c r="B16" s="444" t="str">
        <f t="array" ref="B16:M16">meses</f>
        <v>enero</v>
      </c>
      <c r="C16" s="440" t="str">
        <v>febrero</v>
      </c>
      <c r="D16" s="440" t="str">
        <v>marzo</v>
      </c>
      <c r="E16" s="440" t="str">
        <v>abril</v>
      </c>
      <c r="F16" s="440" t="str">
        <v>mayo</v>
      </c>
      <c r="G16" s="440" t="str">
        <v>junio</v>
      </c>
      <c r="H16" s="440" t="str">
        <v>julio</v>
      </c>
      <c r="I16" s="440" t="str">
        <v>agosto</v>
      </c>
      <c r="J16" s="440" t="str">
        <v>septiembre</v>
      </c>
      <c r="K16" s="440" t="str">
        <v>octubre</v>
      </c>
      <c r="L16" s="440" t="str">
        <v>noviembre</v>
      </c>
      <c r="M16" s="441" t="str">
        <v>diciembre</v>
      </c>
      <c r="N16" s="438" t="s">
        <v>15</v>
      </c>
    </row>
    <row r="17" spans="1:15" ht="15.75" customHeight="1">
      <c r="A17" s="1972" t="str">
        <f t="array" ref="A17:A24">productos</f>
        <v>producto o servicio</v>
      </c>
      <c r="B17" s="563">
        <f ca="1">IF(B5="","",B5*'Precios-CV'!$B7)</f>
        <v>1750</v>
      </c>
      <c r="C17" s="564">
        <f ca="1">IF(C5="","",C5*'Precios-CV'!$B7)</f>
        <v>1870.6439393939395</v>
      </c>
      <c r="D17" s="564">
        <f ca="1">IF(D5="","",D5*'Precios-CV'!$B7)</f>
        <v>2054.9242424242425</v>
      </c>
      <c r="E17" s="564">
        <f ca="1">IF(E5="","",E5*'Precios-CV'!$B7)</f>
        <v>2159.659090909091</v>
      </c>
      <c r="F17" s="564">
        <f ca="1">IF(F5="","",F5*'Precios-CV'!$B7)</f>
        <v>2105.30303030303</v>
      </c>
      <c r="G17" s="564">
        <f ca="1">IF(G5="","",G5*'Precios-CV'!$B7)</f>
        <v>2114.583333333333</v>
      </c>
      <c r="H17" s="564">
        <f ca="1">IF(H5="","",H5*'Precios-CV'!$B7)</f>
        <v>2092.0454545454545</v>
      </c>
      <c r="I17" s="564">
        <f ca="1">IF(I5="","",I5*'Precios-CV'!$B7)</f>
        <v>1703.5984848484848</v>
      </c>
      <c r="J17" s="564">
        <f ca="1">IF(J5="","",J5*'Precios-CV'!$B7)</f>
        <v>2206.060606060606</v>
      </c>
      <c r="K17" s="564">
        <f ca="1">IF(K5="","",K5*'Precios-CV'!$B7)</f>
        <v>2692.613636363636</v>
      </c>
      <c r="L17" s="564">
        <f ca="1">IF(L5="","",L5*'Precios-CV'!$B7)</f>
        <v>2956.4393939393935</v>
      </c>
      <c r="M17" s="564">
        <f ca="1">IF(M5="","",M5*'Precios-CV'!$B7)</f>
        <v>3777.083333333333</v>
      </c>
      <c r="N17" s="423">
        <f t="shared" ref="N17:N25" ca="1" si="1">SUM(B17:M17)</f>
        <v>27482.95454545454</v>
      </c>
      <c r="O17" s="61"/>
    </row>
    <row r="18" spans="1:15" ht="15.75" customHeight="1">
      <c r="A18" s="1973" t="str">
        <v/>
      </c>
      <c r="B18" s="565">
        <f ca="1">IF(B6="","",B6*'Precios-CV'!$B8)</f>
        <v>0</v>
      </c>
      <c r="C18" s="81">
        <f ca="1">IF(C6="","",C6*'Precios-CV'!$B8)</f>
        <v>0</v>
      </c>
      <c r="D18" s="81">
        <f ca="1">IF(D6="","",D6*'Precios-CV'!$B8)</f>
        <v>0</v>
      </c>
      <c r="E18" s="81">
        <f ca="1">IF(E6="","",E6*'Precios-CV'!$B8)</f>
        <v>0</v>
      </c>
      <c r="F18" s="81">
        <f ca="1">IF(F6="","",F6*'Precios-CV'!$B8)</f>
        <v>0</v>
      </c>
      <c r="G18" s="81">
        <f ca="1">IF(G6="","",G6*'Precios-CV'!$B8)</f>
        <v>0</v>
      </c>
      <c r="H18" s="81">
        <f ca="1">IF(H6="","",H6*'Precios-CV'!$B8)</f>
        <v>0</v>
      </c>
      <c r="I18" s="81">
        <f ca="1">IF(I6="","",I6*'Precios-CV'!$B8)</f>
        <v>0</v>
      </c>
      <c r="J18" s="81">
        <f ca="1">IF(J6="","",J6*'Precios-CV'!$B8)</f>
        <v>0</v>
      </c>
      <c r="K18" s="81">
        <f ca="1">IF(K6="","",K6*'Precios-CV'!$B8)</f>
        <v>0</v>
      </c>
      <c r="L18" s="81">
        <f ca="1">IF(L6="","",L6*'Precios-CV'!$B8)</f>
        <v>0</v>
      </c>
      <c r="M18" s="81">
        <f ca="1">IF(M6="","",M6*'Precios-CV'!$B8)</f>
        <v>0</v>
      </c>
      <c r="N18" s="424">
        <f t="shared" ca="1" si="1"/>
        <v>0</v>
      </c>
      <c r="O18" s="61"/>
    </row>
    <row r="19" spans="1:15" ht="15.75" customHeight="1">
      <c r="A19" s="1973" t="str">
        <v/>
      </c>
      <c r="B19" s="565">
        <f ca="1">IF(B7="","",B7*'Precios-CV'!$B9)</f>
        <v>0</v>
      </c>
      <c r="C19" s="81">
        <f ca="1">IF(C7="","",C7*'Precios-CV'!$B9)</f>
        <v>0</v>
      </c>
      <c r="D19" s="81">
        <f ca="1">IF(D7="","",D7*'Precios-CV'!$B9)</f>
        <v>0</v>
      </c>
      <c r="E19" s="81">
        <f ca="1">IF(E7="","",E7*'Precios-CV'!$B9)</f>
        <v>0</v>
      </c>
      <c r="F19" s="81">
        <f ca="1">IF(F7="","",F7*'Precios-CV'!$B9)</f>
        <v>0</v>
      </c>
      <c r="G19" s="81">
        <f ca="1">IF(G7="","",G7*'Precios-CV'!$B9)</f>
        <v>0</v>
      </c>
      <c r="H19" s="81">
        <f ca="1">IF(H7="","",H7*'Precios-CV'!$B9)</f>
        <v>0</v>
      </c>
      <c r="I19" s="81">
        <f ca="1">IF(I7="","",I7*'Precios-CV'!$B9)</f>
        <v>0</v>
      </c>
      <c r="J19" s="81">
        <f ca="1">IF(J7="","",J7*'Precios-CV'!$B9)</f>
        <v>0</v>
      </c>
      <c r="K19" s="81">
        <f ca="1">IF(K7="","",K7*'Precios-CV'!$B9)</f>
        <v>0</v>
      </c>
      <c r="L19" s="81">
        <f ca="1">IF(L7="","",L7*'Precios-CV'!$B9)</f>
        <v>0</v>
      </c>
      <c r="M19" s="81">
        <f ca="1">IF(M7="","",M7*'Precios-CV'!$B9)</f>
        <v>0</v>
      </c>
      <c r="N19" s="424">
        <f t="shared" ca="1" si="1"/>
        <v>0</v>
      </c>
      <c r="O19" s="61"/>
    </row>
    <row r="20" spans="1:15" ht="15.75" customHeight="1">
      <c r="A20" s="1973" t="str">
        <v/>
      </c>
      <c r="B20" s="565">
        <f ca="1">IF(B8="","",B8*'Precios-CV'!$B10)</f>
        <v>0</v>
      </c>
      <c r="C20" s="81">
        <f ca="1">IF(C8="","",C8*'Precios-CV'!$B10)</f>
        <v>0</v>
      </c>
      <c r="D20" s="81">
        <f ca="1">IF(D8="","",D8*'Precios-CV'!$B10)</f>
        <v>0</v>
      </c>
      <c r="E20" s="81">
        <f ca="1">IF(E8="","",E8*'Precios-CV'!$B10)</f>
        <v>0</v>
      </c>
      <c r="F20" s="81">
        <f ca="1">IF(F8="","",F8*'Precios-CV'!$B10)</f>
        <v>0</v>
      </c>
      <c r="G20" s="81">
        <f ca="1">IF(G8="","",G8*'Precios-CV'!$B10)</f>
        <v>0</v>
      </c>
      <c r="H20" s="81">
        <f ca="1">IF(H8="","",H8*'Precios-CV'!$B10)</f>
        <v>0</v>
      </c>
      <c r="I20" s="81">
        <f ca="1">IF(I8="","",I8*'Precios-CV'!$B10)</f>
        <v>0</v>
      </c>
      <c r="J20" s="81">
        <f ca="1">IF(J8="","",J8*'Precios-CV'!$B10)</f>
        <v>0</v>
      </c>
      <c r="K20" s="81">
        <f ca="1">IF(K8="","",K8*'Precios-CV'!$B10)</f>
        <v>0</v>
      </c>
      <c r="L20" s="81">
        <f ca="1">IF(L8="","",L8*'Precios-CV'!$B10)</f>
        <v>0</v>
      </c>
      <c r="M20" s="81">
        <f ca="1">IF(M8="","",M8*'Precios-CV'!$B10)</f>
        <v>0</v>
      </c>
      <c r="N20" s="424">
        <f t="shared" ca="1" si="1"/>
        <v>0</v>
      </c>
      <c r="O20" s="61"/>
    </row>
    <row r="21" spans="1:15" ht="15.75" customHeight="1">
      <c r="A21" s="1973" t="str">
        <v/>
      </c>
      <c r="B21" s="565">
        <f ca="1">IF(B9="","",B9*'Precios-CV'!$B11)</f>
        <v>0</v>
      </c>
      <c r="C21" s="81">
        <f ca="1">IF(C9="","",C9*'Precios-CV'!$B11)</f>
        <v>0</v>
      </c>
      <c r="D21" s="81">
        <f ca="1">IF(D9="","",D9*'Precios-CV'!$B11)</f>
        <v>0</v>
      </c>
      <c r="E21" s="81">
        <f ca="1">IF(E9="","",E9*'Precios-CV'!$B11)</f>
        <v>0</v>
      </c>
      <c r="F21" s="81">
        <f ca="1">IF(F9="","",F9*'Precios-CV'!$B11)</f>
        <v>0</v>
      </c>
      <c r="G21" s="81">
        <f ca="1">IF(G9="","",G9*'Precios-CV'!$B11)</f>
        <v>0</v>
      </c>
      <c r="H21" s="81">
        <f ca="1">IF(H9="","",H9*'Precios-CV'!$B11)</f>
        <v>0</v>
      </c>
      <c r="I21" s="81">
        <f ca="1">IF(I9="","",I9*'Precios-CV'!$B11)</f>
        <v>0</v>
      </c>
      <c r="J21" s="81">
        <f ca="1">IF(J9="","",J9*'Precios-CV'!$B11)</f>
        <v>0</v>
      </c>
      <c r="K21" s="81">
        <f ca="1">IF(K9="","",K9*'Precios-CV'!$B11)</f>
        <v>0</v>
      </c>
      <c r="L21" s="81">
        <f ca="1">IF(L9="","",L9*'Precios-CV'!$B11)</f>
        <v>0</v>
      </c>
      <c r="M21" s="81">
        <f ca="1">IF(M9="","",M9*'Precios-CV'!$B11)</f>
        <v>0</v>
      </c>
      <c r="N21" s="424">
        <f t="shared" ca="1" si="1"/>
        <v>0</v>
      </c>
      <c r="O21" s="61"/>
    </row>
    <row r="22" spans="1:15" ht="15.75" customHeight="1">
      <c r="A22" s="1973" t="str">
        <v/>
      </c>
      <c r="B22" s="565">
        <f ca="1">IF(B10="","",B10*'Precios-CV'!$B12)</f>
        <v>0</v>
      </c>
      <c r="C22" s="81">
        <f ca="1">IF(C10="","",C10*'Precios-CV'!$B12)</f>
        <v>0</v>
      </c>
      <c r="D22" s="81">
        <f ca="1">IF(D10="","",D10*'Precios-CV'!$B12)</f>
        <v>0</v>
      </c>
      <c r="E22" s="81">
        <f ca="1">IF(E10="","",E10*'Precios-CV'!$B12)</f>
        <v>0</v>
      </c>
      <c r="F22" s="81">
        <f ca="1">IF(F10="","",F10*'Precios-CV'!$B12)</f>
        <v>0</v>
      </c>
      <c r="G22" s="81">
        <f ca="1">IF(G10="","",G10*'Precios-CV'!$B12)</f>
        <v>0</v>
      </c>
      <c r="H22" s="81">
        <f ca="1">IF(H10="","",H10*'Precios-CV'!$B12)</f>
        <v>0</v>
      </c>
      <c r="I22" s="81">
        <f ca="1">IF(I10="","",I10*'Precios-CV'!$B12)</f>
        <v>0</v>
      </c>
      <c r="J22" s="81">
        <f ca="1">IF(J10="","",J10*'Precios-CV'!$B12)</f>
        <v>0</v>
      </c>
      <c r="K22" s="81">
        <f ca="1">IF(K10="","",K10*'Precios-CV'!$B12)</f>
        <v>0</v>
      </c>
      <c r="L22" s="81">
        <f ca="1">IF(L10="","",L10*'Precios-CV'!$B12)</f>
        <v>0</v>
      </c>
      <c r="M22" s="81">
        <f ca="1">IF(M10="","",M10*'Precios-CV'!$B12)</f>
        <v>0</v>
      </c>
      <c r="N22" s="424">
        <f t="shared" ca="1" si="1"/>
        <v>0</v>
      </c>
      <c r="O22" s="61"/>
    </row>
    <row r="23" spans="1:15" ht="15.75" customHeight="1">
      <c r="A23" s="1973" t="str">
        <v/>
      </c>
      <c r="B23" s="565">
        <f ca="1">IF(B11="","",B11*'Precios-CV'!$B13)</f>
        <v>0</v>
      </c>
      <c r="C23" s="81">
        <f ca="1">IF(C11="","",C11*'Precios-CV'!$B13)</f>
        <v>0</v>
      </c>
      <c r="D23" s="81">
        <f ca="1">IF(D11="","",D11*'Precios-CV'!$B13)</f>
        <v>0</v>
      </c>
      <c r="E23" s="81">
        <f ca="1">IF(E11="","",E11*'Precios-CV'!$B13)</f>
        <v>0</v>
      </c>
      <c r="F23" s="81">
        <f ca="1">IF(F11="","",F11*'Precios-CV'!$B13)</f>
        <v>0</v>
      </c>
      <c r="G23" s="81">
        <f ca="1">IF(G11="","",G11*'Precios-CV'!$B13)</f>
        <v>0</v>
      </c>
      <c r="H23" s="81">
        <f ca="1">IF(H11="","",H11*'Precios-CV'!$B13)</f>
        <v>0</v>
      </c>
      <c r="I23" s="81">
        <f ca="1">IF(I11="","",I11*'Precios-CV'!$B13)</f>
        <v>0</v>
      </c>
      <c r="J23" s="81">
        <f ca="1">IF(J11="","",J11*'Precios-CV'!$B13)</f>
        <v>0</v>
      </c>
      <c r="K23" s="81">
        <f ca="1">IF(K11="","",K11*'Precios-CV'!$B13)</f>
        <v>0</v>
      </c>
      <c r="L23" s="81">
        <f ca="1">IF(L11="","",L11*'Precios-CV'!$B13)</f>
        <v>0</v>
      </c>
      <c r="M23" s="81">
        <f ca="1">IF(M11="","",M11*'Precios-CV'!$B13)</f>
        <v>0</v>
      </c>
      <c r="N23" s="424">
        <f t="shared" ca="1" si="1"/>
        <v>0</v>
      </c>
      <c r="O23" s="61"/>
    </row>
    <row r="24" spans="1:15" ht="15.75" customHeight="1" thickBot="1">
      <c r="A24" s="1974" t="str">
        <v/>
      </c>
      <c r="B24" s="568">
        <f ca="1">IF(B12="","",B12*'Precios-CV'!$B14)</f>
        <v>0</v>
      </c>
      <c r="C24" s="569">
        <f ca="1">IF(C12="","",C12*'Precios-CV'!$B14)</f>
        <v>0</v>
      </c>
      <c r="D24" s="569">
        <f ca="1">IF(D12="","",D12*'Precios-CV'!$B14)</f>
        <v>0</v>
      </c>
      <c r="E24" s="569">
        <f ca="1">IF(E12="","",E12*'Precios-CV'!$B14)</f>
        <v>0</v>
      </c>
      <c r="F24" s="569">
        <f ca="1">IF(F12="","",F12*'Precios-CV'!$B14)</f>
        <v>0</v>
      </c>
      <c r="G24" s="569">
        <f ca="1">IF(G12="","",G12*'Precios-CV'!$B14)</f>
        <v>0</v>
      </c>
      <c r="H24" s="569">
        <f ca="1">IF(H12="","",H12*'Precios-CV'!$B14)</f>
        <v>0</v>
      </c>
      <c r="I24" s="569">
        <f ca="1">IF(I12="","",I12*'Precios-CV'!$B14)</f>
        <v>0</v>
      </c>
      <c r="J24" s="569">
        <f ca="1">IF(J12="","",J12*'Precios-CV'!$B14)</f>
        <v>0</v>
      </c>
      <c r="K24" s="569">
        <f ca="1">IF(K12="","",K12*'Precios-CV'!$B14)</f>
        <v>0</v>
      </c>
      <c r="L24" s="569">
        <f ca="1">IF(L12="","",L12*'Precios-CV'!$B14)</f>
        <v>0</v>
      </c>
      <c r="M24" s="569">
        <f ca="1">IF(M12="","",M12*'Precios-CV'!$B14)</f>
        <v>0</v>
      </c>
      <c r="N24" s="425">
        <f t="shared" ca="1" si="1"/>
        <v>0</v>
      </c>
      <c r="O24" s="61"/>
    </row>
    <row r="25" spans="1:15" ht="15.75" customHeight="1" thickBot="1">
      <c r="A25" s="103" t="s">
        <v>11</v>
      </c>
      <c r="B25" s="570">
        <f ca="1">SUM(B17:B24)</f>
        <v>1750</v>
      </c>
      <c r="C25" s="141">
        <f t="shared" ref="C25:M25" ca="1" si="2">SUM(C17:C24)</f>
        <v>1870.6439393939395</v>
      </c>
      <c r="D25" s="141">
        <f t="shared" ca="1" si="2"/>
        <v>2054.9242424242425</v>
      </c>
      <c r="E25" s="141">
        <f t="shared" ca="1" si="2"/>
        <v>2159.659090909091</v>
      </c>
      <c r="F25" s="141">
        <f t="shared" ca="1" si="2"/>
        <v>2105.30303030303</v>
      </c>
      <c r="G25" s="141">
        <f t="shared" ca="1" si="2"/>
        <v>2114.583333333333</v>
      </c>
      <c r="H25" s="141">
        <f t="shared" ca="1" si="2"/>
        <v>2092.0454545454545</v>
      </c>
      <c r="I25" s="141">
        <f t="shared" ca="1" si="2"/>
        <v>1703.5984848484848</v>
      </c>
      <c r="J25" s="141">
        <f t="shared" ca="1" si="2"/>
        <v>2206.060606060606</v>
      </c>
      <c r="K25" s="141">
        <f t="shared" ca="1" si="2"/>
        <v>2692.613636363636</v>
      </c>
      <c r="L25" s="141">
        <f t="shared" ca="1" si="2"/>
        <v>2956.4393939393935</v>
      </c>
      <c r="M25" s="571">
        <f t="shared" ca="1" si="2"/>
        <v>3777.083333333333</v>
      </c>
      <c r="N25" s="426">
        <f t="shared" ca="1" si="1"/>
        <v>27482.95454545454</v>
      </c>
      <c r="O25" s="61"/>
    </row>
    <row r="26" spans="1:15" ht="15">
      <c r="A26" s="213"/>
    </row>
    <row r="27" spans="1:15" ht="15">
      <c r="A27" s="213"/>
    </row>
    <row r="28" spans="1:15" ht="23.25" customHeight="1">
      <c r="A28" s="67" t="s">
        <v>323</v>
      </c>
      <c r="B28" s="61"/>
      <c r="D28" s="421" t="str">
        <f>$E$1</f>
        <v>Año 0:  2026</v>
      </c>
    </row>
    <row r="29" spans="1:15" ht="22.5">
      <c r="A29" s="67" t="str">
        <f>'Datos Básicos'!B9</f>
        <v>nombre empresa</v>
      </c>
    </row>
    <row r="30" spans="1:15" ht="14.25" customHeight="1" thickBot="1">
      <c r="A30" s="59"/>
    </row>
    <row r="31" spans="1:15" s="443" customFormat="1" ht="18.75" customHeight="1" thickBot="1">
      <c r="A31" s="448" t="s">
        <v>36</v>
      </c>
      <c r="B31" s="439" t="str">
        <f t="array" ref="B31:M31">meses</f>
        <v>enero</v>
      </c>
      <c r="C31" s="440" t="str">
        <v>febrero</v>
      </c>
      <c r="D31" s="440" t="str">
        <v>marzo</v>
      </c>
      <c r="E31" s="440" t="str">
        <v>abril</v>
      </c>
      <c r="F31" s="440" t="str">
        <v>mayo</v>
      </c>
      <c r="G31" s="440" t="str">
        <v>junio</v>
      </c>
      <c r="H31" s="440" t="str">
        <v>julio</v>
      </c>
      <c r="I31" s="440" t="str">
        <v>agosto</v>
      </c>
      <c r="J31" s="440" t="str">
        <v>septiembre</v>
      </c>
      <c r="K31" s="440" t="str">
        <v>octubre</v>
      </c>
      <c r="L31" s="440" t="str">
        <v>noviembre</v>
      </c>
      <c r="M31" s="441" t="str">
        <v>diciembre</v>
      </c>
      <c r="N31" s="438" t="s">
        <v>15</v>
      </c>
      <c r="O31" s="442"/>
    </row>
    <row r="32" spans="1:15" ht="18.75" customHeight="1">
      <c r="A32" s="1988" t="str">
        <f t="array" ref="A32:A39">productos</f>
        <v>producto o servicio</v>
      </c>
      <c r="B32" s="1993" t="str">
        <f t="array" aca="1" ref="B32:M39" ca="1">IF(OR($N17:$N24=0,B17:M24=""),"",B17:M24/$N17:$N24)</f>
        <v/>
      </c>
      <c r="C32" s="430" t="str">
        <f ca="1"/>
        <v/>
      </c>
      <c r="D32" s="430" t="str">
        <f ca="1"/>
        <v/>
      </c>
      <c r="E32" s="430" t="str">
        <f ca="1"/>
        <v/>
      </c>
      <c r="F32" s="430" t="str">
        <f ca="1"/>
        <v/>
      </c>
      <c r="G32" s="430" t="str">
        <f ca="1"/>
        <v/>
      </c>
      <c r="H32" s="430" t="str">
        <f ca="1"/>
        <v/>
      </c>
      <c r="I32" s="430" t="str">
        <f ca="1"/>
        <v/>
      </c>
      <c r="J32" s="430" t="str">
        <f ca="1"/>
        <v/>
      </c>
      <c r="K32" s="430" t="str">
        <f ca="1"/>
        <v/>
      </c>
      <c r="L32" s="430" t="str">
        <f ca="1"/>
        <v/>
      </c>
      <c r="M32" s="431" t="str">
        <f ca="1"/>
        <v/>
      </c>
      <c r="N32" s="572">
        <f t="shared" ref="N32:N40" ca="1" si="3">SUM(B32:M32)</f>
        <v>0</v>
      </c>
    </row>
    <row r="33" spans="1:20" ht="18.75" customHeight="1">
      <c r="A33" s="1989" t="str">
        <v/>
      </c>
      <c r="B33" s="1994" t="str">
        <f ca="1"/>
        <v/>
      </c>
      <c r="C33" s="432" t="str">
        <f ca="1"/>
        <v/>
      </c>
      <c r="D33" s="432" t="str">
        <f ca="1"/>
        <v/>
      </c>
      <c r="E33" s="432" t="str">
        <f ca="1"/>
        <v/>
      </c>
      <c r="F33" s="432" t="str">
        <f ca="1"/>
        <v/>
      </c>
      <c r="G33" s="432" t="str">
        <f ca="1"/>
        <v/>
      </c>
      <c r="H33" s="432" t="str">
        <f ca="1"/>
        <v/>
      </c>
      <c r="I33" s="432" t="str">
        <f ca="1"/>
        <v/>
      </c>
      <c r="J33" s="432" t="str">
        <f ca="1"/>
        <v/>
      </c>
      <c r="K33" s="432" t="str">
        <f ca="1"/>
        <v/>
      </c>
      <c r="L33" s="432" t="str">
        <f ca="1"/>
        <v/>
      </c>
      <c r="M33" s="433" t="str">
        <f ca="1"/>
        <v/>
      </c>
      <c r="N33" s="573">
        <f t="shared" ca="1" si="3"/>
        <v>0</v>
      </c>
    </row>
    <row r="34" spans="1:20" ht="18.75" customHeight="1">
      <c r="A34" s="1989" t="str">
        <v/>
      </c>
      <c r="B34" s="1994" t="str">
        <f ca="1"/>
        <v/>
      </c>
      <c r="C34" s="432" t="str">
        <f ca="1"/>
        <v/>
      </c>
      <c r="D34" s="432" t="str">
        <f ca="1"/>
        <v/>
      </c>
      <c r="E34" s="432" t="str">
        <f ca="1"/>
        <v/>
      </c>
      <c r="F34" s="432" t="str">
        <f ca="1"/>
        <v/>
      </c>
      <c r="G34" s="432" t="str">
        <f ca="1"/>
        <v/>
      </c>
      <c r="H34" s="432" t="str">
        <f ca="1"/>
        <v/>
      </c>
      <c r="I34" s="432" t="str">
        <f ca="1"/>
        <v/>
      </c>
      <c r="J34" s="432" t="str">
        <f ca="1"/>
        <v/>
      </c>
      <c r="K34" s="432" t="str">
        <f ca="1"/>
        <v/>
      </c>
      <c r="L34" s="432" t="str">
        <f ca="1"/>
        <v/>
      </c>
      <c r="M34" s="433" t="str">
        <f ca="1"/>
        <v/>
      </c>
      <c r="N34" s="573">
        <f t="shared" ca="1" si="3"/>
        <v>0</v>
      </c>
    </row>
    <row r="35" spans="1:20" ht="18.75" customHeight="1">
      <c r="A35" s="1989" t="str">
        <v/>
      </c>
      <c r="B35" s="1994" t="str">
        <f ca="1"/>
        <v/>
      </c>
      <c r="C35" s="432" t="str">
        <f ca="1"/>
        <v/>
      </c>
      <c r="D35" s="432" t="str">
        <f ca="1"/>
        <v/>
      </c>
      <c r="E35" s="432" t="str">
        <f ca="1"/>
        <v/>
      </c>
      <c r="F35" s="432" t="str">
        <f ca="1"/>
        <v/>
      </c>
      <c r="G35" s="432" t="str">
        <f ca="1"/>
        <v/>
      </c>
      <c r="H35" s="432" t="str">
        <f ca="1"/>
        <v/>
      </c>
      <c r="I35" s="432" t="str">
        <f ca="1"/>
        <v/>
      </c>
      <c r="J35" s="432" t="str">
        <f ca="1"/>
        <v/>
      </c>
      <c r="K35" s="432" t="str">
        <f ca="1"/>
        <v/>
      </c>
      <c r="L35" s="432" t="str">
        <f ca="1"/>
        <v/>
      </c>
      <c r="M35" s="433" t="str">
        <f ca="1"/>
        <v/>
      </c>
      <c r="N35" s="573">
        <f t="shared" ca="1" si="3"/>
        <v>0</v>
      </c>
    </row>
    <row r="36" spans="1:20" ht="18.75" customHeight="1">
      <c r="A36" s="1989" t="str">
        <v/>
      </c>
      <c r="B36" s="1994" t="str">
        <f ca="1"/>
        <v/>
      </c>
      <c r="C36" s="432" t="str">
        <f ca="1"/>
        <v/>
      </c>
      <c r="D36" s="432" t="str">
        <f ca="1"/>
        <v/>
      </c>
      <c r="E36" s="432" t="str">
        <f ca="1"/>
        <v/>
      </c>
      <c r="F36" s="432" t="str">
        <f ca="1"/>
        <v/>
      </c>
      <c r="G36" s="432" t="str">
        <f ca="1"/>
        <v/>
      </c>
      <c r="H36" s="432" t="str">
        <f ca="1"/>
        <v/>
      </c>
      <c r="I36" s="432" t="str">
        <f ca="1"/>
        <v/>
      </c>
      <c r="J36" s="432" t="str">
        <f ca="1"/>
        <v/>
      </c>
      <c r="K36" s="432" t="str">
        <f ca="1"/>
        <v/>
      </c>
      <c r="L36" s="432" t="str">
        <f ca="1"/>
        <v/>
      </c>
      <c r="M36" s="433" t="str">
        <f ca="1"/>
        <v/>
      </c>
      <c r="N36" s="573">
        <f t="shared" ca="1" si="3"/>
        <v>0</v>
      </c>
    </row>
    <row r="37" spans="1:20" ht="18.75" customHeight="1">
      <c r="A37" s="1989" t="str">
        <v/>
      </c>
      <c r="B37" s="1994" t="str">
        <f ca="1"/>
        <v/>
      </c>
      <c r="C37" s="432" t="str">
        <f ca="1"/>
        <v/>
      </c>
      <c r="D37" s="432" t="str">
        <f ca="1"/>
        <v/>
      </c>
      <c r="E37" s="432" t="str">
        <f ca="1"/>
        <v/>
      </c>
      <c r="F37" s="432" t="str">
        <f ca="1"/>
        <v/>
      </c>
      <c r="G37" s="432" t="str">
        <f ca="1"/>
        <v/>
      </c>
      <c r="H37" s="432" t="str">
        <f ca="1"/>
        <v/>
      </c>
      <c r="I37" s="432" t="str">
        <f ca="1"/>
        <v/>
      </c>
      <c r="J37" s="432" t="str">
        <f ca="1"/>
        <v/>
      </c>
      <c r="K37" s="432" t="str">
        <f ca="1"/>
        <v/>
      </c>
      <c r="L37" s="432" t="str">
        <f ca="1"/>
        <v/>
      </c>
      <c r="M37" s="433" t="str">
        <f ca="1"/>
        <v/>
      </c>
      <c r="N37" s="573">
        <f t="shared" ca="1" si="3"/>
        <v>0</v>
      </c>
    </row>
    <row r="38" spans="1:20" ht="18.75" customHeight="1">
      <c r="A38" s="1989" t="str">
        <v/>
      </c>
      <c r="B38" s="1994" t="str">
        <f ca="1"/>
        <v/>
      </c>
      <c r="C38" s="432" t="str">
        <f ca="1"/>
        <v/>
      </c>
      <c r="D38" s="432" t="str">
        <f ca="1"/>
        <v/>
      </c>
      <c r="E38" s="432" t="str">
        <f ca="1"/>
        <v/>
      </c>
      <c r="F38" s="432" t="str">
        <f ca="1"/>
        <v/>
      </c>
      <c r="G38" s="432" t="str">
        <f ca="1"/>
        <v/>
      </c>
      <c r="H38" s="432" t="str">
        <f ca="1"/>
        <v/>
      </c>
      <c r="I38" s="432" t="str">
        <f ca="1"/>
        <v/>
      </c>
      <c r="J38" s="432" t="str">
        <f ca="1"/>
        <v/>
      </c>
      <c r="K38" s="432" t="str">
        <f ca="1"/>
        <v/>
      </c>
      <c r="L38" s="432" t="str">
        <f ca="1"/>
        <v/>
      </c>
      <c r="M38" s="433" t="str">
        <f ca="1"/>
        <v/>
      </c>
      <c r="N38" s="573">
        <f t="shared" ca="1" si="3"/>
        <v>0</v>
      </c>
    </row>
    <row r="39" spans="1:20" ht="18.75" customHeight="1" thickBot="1">
      <c r="A39" s="1990" t="str">
        <v/>
      </c>
      <c r="B39" s="1995" t="str">
        <f ca="1"/>
        <v/>
      </c>
      <c r="C39" s="434" t="str">
        <f ca="1"/>
        <v/>
      </c>
      <c r="D39" s="434" t="str">
        <f ca="1"/>
        <v/>
      </c>
      <c r="E39" s="434" t="str">
        <f ca="1"/>
        <v/>
      </c>
      <c r="F39" s="434" t="str">
        <f ca="1"/>
        <v/>
      </c>
      <c r="G39" s="434" t="str">
        <f ca="1"/>
        <v/>
      </c>
      <c r="H39" s="434" t="str">
        <f ca="1"/>
        <v/>
      </c>
      <c r="I39" s="434" t="str">
        <f ca="1"/>
        <v/>
      </c>
      <c r="J39" s="434" t="str">
        <f ca="1"/>
        <v/>
      </c>
      <c r="K39" s="434" t="str">
        <f ca="1"/>
        <v/>
      </c>
      <c r="L39" s="434" t="str">
        <f ca="1"/>
        <v/>
      </c>
      <c r="M39" s="435" t="str">
        <f ca="1"/>
        <v/>
      </c>
      <c r="N39" s="574">
        <f t="shared" ca="1" si="3"/>
        <v>0</v>
      </c>
    </row>
    <row r="40" spans="1:20" s="35" customFormat="1" ht="18.75" customHeight="1" thickBot="1">
      <c r="A40" s="1992" t="s">
        <v>37</v>
      </c>
      <c r="B40" s="1996">
        <f t="array" aca="1" ref="B40:M40" ca="1">B25:M25/$N$25</f>
        <v>6.3675832127351673E-2</v>
      </c>
      <c r="C40" s="436">
        <f ca="1"/>
        <v>6.8065605402797894E-2</v>
      </c>
      <c r="D40" s="436">
        <f ca="1"/>
        <v>7.477086348287508E-2</v>
      </c>
      <c r="E40" s="436">
        <f ca="1"/>
        <v>7.8581765557163549E-2</v>
      </c>
      <c r="F40" s="436">
        <f ca="1"/>
        <v>7.6603955619874584E-2</v>
      </c>
      <c r="G40" s="436">
        <f ca="1"/>
        <v>7.6941630487216597E-2</v>
      </c>
      <c r="H40" s="436">
        <f ca="1"/>
        <v>7.6121562952243135E-2</v>
      </c>
      <c r="I40" s="436">
        <f ca="1"/>
        <v>6.198745779064159E-2</v>
      </c>
      <c r="J40" s="436">
        <f ca="1"/>
        <v>8.0270139893873632E-2</v>
      </c>
      <c r="K40" s="436">
        <f ca="1"/>
        <v>9.7973950795947909E-2</v>
      </c>
      <c r="L40" s="436">
        <f ca="1"/>
        <v>0.1075735648818138</v>
      </c>
      <c r="M40" s="436">
        <f ca="1"/>
        <v>0.1374336710082007</v>
      </c>
      <c r="N40" s="437">
        <f t="shared" ca="1" si="3"/>
        <v>1.0000000000000002</v>
      </c>
      <c r="O40" s="232"/>
      <c r="P40" s="61"/>
      <c r="Q40" s="61"/>
      <c r="R40" s="61"/>
      <c r="S40" s="61"/>
      <c r="T40" s="61"/>
    </row>
    <row r="41" spans="1:20" s="35" customFormat="1" ht="18.75" customHeight="1"/>
    <row r="43" spans="1:20">
      <c r="B43" s="61"/>
    </row>
    <row r="44" spans="1:20">
      <c r="B44" s="61"/>
    </row>
    <row r="45" spans="1:20">
      <c r="B45" s="61"/>
    </row>
    <row r="46" spans="1:20">
      <c r="B46" s="61"/>
    </row>
    <row r="47" spans="1:20">
      <c r="B47" s="61"/>
    </row>
    <row r="48" spans="1:20">
      <c r="B48" s="61"/>
    </row>
    <row r="49" spans="2:2">
      <c r="B49" s="61"/>
    </row>
    <row r="50" spans="2:2">
      <c r="B50" s="61"/>
    </row>
    <row r="51" spans="2:2">
      <c r="B51" s="61"/>
    </row>
    <row r="52" spans="2:2">
      <c r="B52" s="61"/>
    </row>
    <row r="53" spans="2:2">
      <c r="B53" s="61"/>
    </row>
    <row r="54" spans="2:2">
      <c r="B54" s="61"/>
    </row>
    <row r="55" spans="2:2">
      <c r="B55" s="61"/>
    </row>
    <row r="56" spans="2:2">
      <c r="B56" s="61"/>
    </row>
    <row r="57" spans="2:2">
      <c r="B57" s="61"/>
    </row>
    <row r="58" spans="2:2">
      <c r="B58" s="61"/>
    </row>
    <row r="59" spans="2:2">
      <c r="B59" s="61"/>
    </row>
    <row r="60" spans="2:2">
      <c r="B60" s="61"/>
    </row>
    <row r="61" spans="2:2">
      <c r="B61" s="61"/>
    </row>
    <row r="62" spans="2:2">
      <c r="B62" s="61"/>
    </row>
    <row r="63" spans="2:2">
      <c r="B63" s="61"/>
    </row>
    <row r="64" spans="2:2">
      <c r="B64" s="61"/>
    </row>
    <row r="65" spans="2:2">
      <c r="B65" s="61"/>
    </row>
    <row r="66" spans="2:2">
      <c r="B66" s="61"/>
    </row>
    <row r="80" spans="2:2">
      <c r="B80" s="61"/>
    </row>
    <row r="81" spans="2:2">
      <c r="B81" s="61"/>
    </row>
  </sheetData>
  <sheetProtection sheet="1" objects="1" scenarios="1"/>
  <phoneticPr fontId="6" type="noConversion"/>
  <conditionalFormatting sqref="B5:M12 B17:M24">
    <cfRule type="expression" dxfId="24" priority="2" stopIfTrue="1">
      <formula>COLUMN(B5)&lt;=mes0</formula>
    </cfRule>
  </conditionalFormatting>
  <conditionalFormatting sqref="B32:M39">
    <cfRule type="expression" dxfId="23" priority="1" stopIfTrue="1">
      <formula>B32=""</formula>
    </cfRule>
  </conditionalFormatting>
  <printOptions horizontalCentered="1" verticalCentered="1"/>
  <pageMargins left="0.38" right="0.19685039370078741" top="0.53" bottom="0.66" header="0.51181102362204722" footer="0.28999999999999998"/>
  <pageSetup paperSize="9" scale="79" fitToHeight="2" orientation="landscape" horizontalDpi="300" verticalDpi="300" r:id="rId1"/>
  <headerFooter alignWithMargins="0">
    <oddFooter>&amp;C&amp;"Tahoma,Normal"&amp;10&amp;A</oddFooter>
  </headerFooter>
  <rowBreaks count="1" manualBreakCount="1">
    <brk id="26" max="16383"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3">
    <tabColor indexed="42"/>
  </sheetPr>
  <dimension ref="A1:T81"/>
  <sheetViews>
    <sheetView workbookViewId="0"/>
  </sheetViews>
  <sheetFormatPr baseColWidth="10" defaultColWidth="11" defaultRowHeight="12.75"/>
  <cols>
    <col min="1" max="1" width="24" style="232" customWidth="1"/>
    <col min="2" max="2" width="15.125" style="60" bestFit="1" customWidth="1"/>
    <col min="3" max="3" width="13" style="61" customWidth="1"/>
    <col min="4" max="4" width="11.5" style="61" customWidth="1"/>
    <col min="5" max="9" width="10.125" style="61" customWidth="1"/>
    <col min="10" max="13" width="11.25" style="61" customWidth="1"/>
    <col min="14" max="14" width="10.75" style="61" customWidth="1"/>
    <col min="15" max="15" width="11.5" style="232" customWidth="1"/>
    <col min="16" max="16384" width="11" style="61"/>
  </cols>
  <sheetData>
    <row r="1" spans="1:15" ht="22.5">
      <c r="A1" s="67" t="str">
        <f>'Prev.Ventas 0'!A1</f>
        <v>Previsiones de Ventas de la empresa</v>
      </c>
      <c r="D1" s="522"/>
      <c r="E1" s="421" t="str">
        <f>Parametros!C77</f>
        <v>Año 1:  2027</v>
      </c>
    </row>
    <row r="2" spans="1:15" ht="22.5">
      <c r="A2" s="67" t="str">
        <f>'Datos Básicos'!B9</f>
        <v>nombre empresa</v>
      </c>
    </row>
    <row r="3" spans="1:15" ht="14.25" customHeight="1" thickBot="1">
      <c r="A3" s="59"/>
    </row>
    <row r="4" spans="1:15" s="447" customFormat="1" ht="15.75" customHeight="1" thickBot="1">
      <c r="A4" s="446" t="s">
        <v>167</v>
      </c>
      <c r="B4" s="444" t="str">
        <f t="array" ref="B4:M4">meses</f>
        <v>enero</v>
      </c>
      <c r="C4" s="440" t="str">
        <v>febrero</v>
      </c>
      <c r="D4" s="440" t="str">
        <v>marzo</v>
      </c>
      <c r="E4" s="440" t="str">
        <v>abril</v>
      </c>
      <c r="F4" s="440" t="str">
        <v>mayo</v>
      </c>
      <c r="G4" s="440" t="str">
        <v>junio</v>
      </c>
      <c r="H4" s="440" t="str">
        <v>julio</v>
      </c>
      <c r="I4" s="440" t="str">
        <v>agosto</v>
      </c>
      <c r="J4" s="440" t="str">
        <v>septiembre</v>
      </c>
      <c r="K4" s="440" t="str">
        <v>octubre</v>
      </c>
      <c r="L4" s="440" t="str">
        <v>noviembre</v>
      </c>
      <c r="M4" s="441" t="str">
        <v>diciembre</v>
      </c>
      <c r="N4" s="438" t="s">
        <v>15</v>
      </c>
    </row>
    <row r="5" spans="1:15" ht="15.75" customHeight="1">
      <c r="A5" s="1972" t="str">
        <f t="array" ref="A5:A12">productos</f>
        <v>producto o servicio</v>
      </c>
      <c r="B5" s="578">
        <f t="array" aca="1" ref="B5:M12" ca="1">'Estimaciones Ventas'!B19:M26*Parametros!B$88:M$88</f>
        <v>800</v>
      </c>
      <c r="C5" s="579">
        <f ca="1"/>
        <v>1000</v>
      </c>
      <c r="D5" s="579">
        <f ca="1"/>
        <v>1100</v>
      </c>
      <c r="E5" s="579">
        <f ca="1"/>
        <v>1050</v>
      </c>
      <c r="F5" s="579">
        <f ca="1"/>
        <v>900</v>
      </c>
      <c r="G5" s="579">
        <f ca="1"/>
        <v>850</v>
      </c>
      <c r="H5" s="579">
        <f ca="1"/>
        <v>800</v>
      </c>
      <c r="I5" s="579">
        <f ca="1"/>
        <v>600</v>
      </c>
      <c r="J5" s="579">
        <f ca="1"/>
        <v>800</v>
      </c>
      <c r="K5" s="579">
        <f ca="1"/>
        <v>950</v>
      </c>
      <c r="L5" s="579">
        <f ca="1"/>
        <v>1000</v>
      </c>
      <c r="M5" s="601">
        <f ca="1"/>
        <v>1200</v>
      </c>
      <c r="N5" s="580">
        <f t="shared" ref="N5:N12" ca="1" si="0">SUM(B5:M5)</f>
        <v>11050</v>
      </c>
      <c r="O5" s="61"/>
    </row>
    <row r="6" spans="1:15" ht="15.75" customHeight="1">
      <c r="A6" s="1973" t="str">
        <v/>
      </c>
      <c r="B6" s="581">
        <f ca="1"/>
        <v>0</v>
      </c>
      <c r="C6" s="582">
        <f ca="1"/>
        <v>0</v>
      </c>
      <c r="D6" s="582">
        <f ca="1"/>
        <v>0</v>
      </c>
      <c r="E6" s="582">
        <f ca="1"/>
        <v>0</v>
      </c>
      <c r="F6" s="582">
        <f ca="1"/>
        <v>0</v>
      </c>
      <c r="G6" s="582">
        <f ca="1"/>
        <v>0</v>
      </c>
      <c r="H6" s="582">
        <f ca="1"/>
        <v>0</v>
      </c>
      <c r="I6" s="582">
        <f ca="1"/>
        <v>0</v>
      </c>
      <c r="J6" s="582">
        <f ca="1"/>
        <v>0</v>
      </c>
      <c r="K6" s="582">
        <f ca="1"/>
        <v>0</v>
      </c>
      <c r="L6" s="582">
        <f ca="1"/>
        <v>0</v>
      </c>
      <c r="M6" s="602">
        <f ca="1"/>
        <v>0</v>
      </c>
      <c r="N6" s="583">
        <f t="shared" ca="1" si="0"/>
        <v>0</v>
      </c>
      <c r="O6" s="61"/>
    </row>
    <row r="7" spans="1:15" ht="15.75" customHeight="1">
      <c r="A7" s="1973" t="str">
        <v/>
      </c>
      <c r="B7" s="581">
        <f ca="1"/>
        <v>0</v>
      </c>
      <c r="C7" s="582">
        <f ca="1"/>
        <v>0</v>
      </c>
      <c r="D7" s="582">
        <f ca="1"/>
        <v>0</v>
      </c>
      <c r="E7" s="582">
        <f ca="1"/>
        <v>0</v>
      </c>
      <c r="F7" s="582">
        <f ca="1"/>
        <v>0</v>
      </c>
      <c r="G7" s="582">
        <f ca="1"/>
        <v>0</v>
      </c>
      <c r="H7" s="582">
        <f ca="1"/>
        <v>0</v>
      </c>
      <c r="I7" s="582">
        <f ca="1"/>
        <v>0</v>
      </c>
      <c r="J7" s="582">
        <f ca="1"/>
        <v>0</v>
      </c>
      <c r="K7" s="582">
        <f ca="1"/>
        <v>0</v>
      </c>
      <c r="L7" s="582">
        <f ca="1"/>
        <v>0</v>
      </c>
      <c r="M7" s="602">
        <f ca="1"/>
        <v>0</v>
      </c>
      <c r="N7" s="583">
        <f t="shared" ca="1" si="0"/>
        <v>0</v>
      </c>
      <c r="O7" s="61"/>
    </row>
    <row r="8" spans="1:15" ht="15.75" customHeight="1">
      <c r="A8" s="1973" t="str">
        <v/>
      </c>
      <c r="B8" s="581">
        <f ca="1"/>
        <v>0</v>
      </c>
      <c r="C8" s="582">
        <f ca="1"/>
        <v>0</v>
      </c>
      <c r="D8" s="582">
        <f ca="1"/>
        <v>0</v>
      </c>
      <c r="E8" s="582">
        <f ca="1"/>
        <v>0</v>
      </c>
      <c r="F8" s="582">
        <f ca="1"/>
        <v>0</v>
      </c>
      <c r="G8" s="582">
        <f ca="1"/>
        <v>0</v>
      </c>
      <c r="H8" s="582">
        <f ca="1"/>
        <v>0</v>
      </c>
      <c r="I8" s="582">
        <f ca="1"/>
        <v>0</v>
      </c>
      <c r="J8" s="582">
        <f ca="1"/>
        <v>0</v>
      </c>
      <c r="K8" s="582">
        <f ca="1"/>
        <v>0</v>
      </c>
      <c r="L8" s="582">
        <f ca="1"/>
        <v>0</v>
      </c>
      <c r="M8" s="602">
        <f ca="1"/>
        <v>0</v>
      </c>
      <c r="N8" s="583">
        <f t="shared" ca="1" si="0"/>
        <v>0</v>
      </c>
      <c r="O8" s="61"/>
    </row>
    <row r="9" spans="1:15" ht="15.75" customHeight="1">
      <c r="A9" s="1973" t="str">
        <v/>
      </c>
      <c r="B9" s="581">
        <f ca="1"/>
        <v>0</v>
      </c>
      <c r="C9" s="582">
        <f ca="1"/>
        <v>0</v>
      </c>
      <c r="D9" s="582">
        <f ca="1"/>
        <v>0</v>
      </c>
      <c r="E9" s="582">
        <f ca="1"/>
        <v>0</v>
      </c>
      <c r="F9" s="582">
        <f ca="1"/>
        <v>0</v>
      </c>
      <c r="G9" s="582">
        <f ca="1"/>
        <v>0</v>
      </c>
      <c r="H9" s="582">
        <f ca="1"/>
        <v>0</v>
      </c>
      <c r="I9" s="582">
        <f ca="1"/>
        <v>0</v>
      </c>
      <c r="J9" s="582">
        <f ca="1"/>
        <v>0</v>
      </c>
      <c r="K9" s="582">
        <f ca="1"/>
        <v>0</v>
      </c>
      <c r="L9" s="582">
        <f ca="1"/>
        <v>0</v>
      </c>
      <c r="M9" s="602">
        <f ca="1"/>
        <v>0</v>
      </c>
      <c r="N9" s="583">
        <f t="shared" ca="1" si="0"/>
        <v>0</v>
      </c>
      <c r="O9" s="61"/>
    </row>
    <row r="10" spans="1:15" ht="15.75" customHeight="1">
      <c r="A10" s="1973" t="str">
        <v/>
      </c>
      <c r="B10" s="581">
        <f ca="1"/>
        <v>0</v>
      </c>
      <c r="C10" s="582">
        <f ca="1"/>
        <v>0</v>
      </c>
      <c r="D10" s="582">
        <f ca="1"/>
        <v>0</v>
      </c>
      <c r="E10" s="582">
        <f ca="1"/>
        <v>0</v>
      </c>
      <c r="F10" s="582">
        <f ca="1"/>
        <v>0</v>
      </c>
      <c r="G10" s="582">
        <f ca="1"/>
        <v>0</v>
      </c>
      <c r="H10" s="582">
        <f ca="1"/>
        <v>0</v>
      </c>
      <c r="I10" s="582">
        <f ca="1"/>
        <v>0</v>
      </c>
      <c r="J10" s="582">
        <f ca="1"/>
        <v>0</v>
      </c>
      <c r="K10" s="582">
        <f ca="1"/>
        <v>0</v>
      </c>
      <c r="L10" s="582">
        <f ca="1"/>
        <v>0</v>
      </c>
      <c r="M10" s="602">
        <f ca="1"/>
        <v>0</v>
      </c>
      <c r="N10" s="583">
        <f t="shared" ca="1" si="0"/>
        <v>0</v>
      </c>
      <c r="O10" s="61"/>
    </row>
    <row r="11" spans="1:15" ht="15.75" customHeight="1">
      <c r="A11" s="1973" t="str">
        <v/>
      </c>
      <c r="B11" s="581">
        <f ca="1"/>
        <v>0</v>
      </c>
      <c r="C11" s="582">
        <f ca="1"/>
        <v>0</v>
      </c>
      <c r="D11" s="582">
        <f ca="1"/>
        <v>0</v>
      </c>
      <c r="E11" s="582">
        <f ca="1"/>
        <v>0</v>
      </c>
      <c r="F11" s="582">
        <f ca="1"/>
        <v>0</v>
      </c>
      <c r="G11" s="582">
        <f ca="1"/>
        <v>0</v>
      </c>
      <c r="H11" s="582">
        <f ca="1"/>
        <v>0</v>
      </c>
      <c r="I11" s="582">
        <f ca="1"/>
        <v>0</v>
      </c>
      <c r="J11" s="582">
        <f ca="1"/>
        <v>0</v>
      </c>
      <c r="K11" s="582">
        <f ca="1"/>
        <v>0</v>
      </c>
      <c r="L11" s="582">
        <f ca="1"/>
        <v>0</v>
      </c>
      <c r="M11" s="602">
        <f ca="1"/>
        <v>0</v>
      </c>
      <c r="N11" s="583">
        <f t="shared" ca="1" si="0"/>
        <v>0</v>
      </c>
      <c r="O11" s="61"/>
    </row>
    <row r="12" spans="1:15" ht="15.75" customHeight="1" thickBot="1">
      <c r="A12" s="1974" t="str">
        <v/>
      </c>
      <c r="B12" s="584">
        <f ca="1"/>
        <v>0</v>
      </c>
      <c r="C12" s="585">
        <f ca="1"/>
        <v>0</v>
      </c>
      <c r="D12" s="585">
        <f ca="1"/>
        <v>0</v>
      </c>
      <c r="E12" s="585">
        <f ca="1"/>
        <v>0</v>
      </c>
      <c r="F12" s="585">
        <f ca="1"/>
        <v>0</v>
      </c>
      <c r="G12" s="585">
        <f ca="1"/>
        <v>0</v>
      </c>
      <c r="H12" s="585">
        <f ca="1"/>
        <v>0</v>
      </c>
      <c r="I12" s="585">
        <f ca="1"/>
        <v>0</v>
      </c>
      <c r="J12" s="585">
        <f ca="1"/>
        <v>0</v>
      </c>
      <c r="K12" s="585">
        <f ca="1"/>
        <v>0</v>
      </c>
      <c r="L12" s="585">
        <f ca="1"/>
        <v>0</v>
      </c>
      <c r="M12" s="603">
        <f ca="1"/>
        <v>0</v>
      </c>
      <c r="N12" s="586">
        <f t="shared" ca="1" si="0"/>
        <v>0</v>
      </c>
      <c r="O12" s="61"/>
    </row>
    <row r="13" spans="1:15" ht="15">
      <c r="A13" s="72"/>
    </row>
    <row r="14" spans="1:15" ht="15">
      <c r="A14" s="72"/>
    </row>
    <row r="15" spans="1:15" ht="15.75" thickBot="1">
      <c r="A15" s="213"/>
    </row>
    <row r="16" spans="1:15" s="445" customFormat="1" ht="15.75" customHeight="1" thickBot="1">
      <c r="A16" s="446" t="str">
        <f>'Prev.Ventas 0'!A16</f>
        <v>Ventas (Euros)</v>
      </c>
      <c r="B16" s="444" t="str">
        <f t="array" ref="B16:M16">meses</f>
        <v>enero</v>
      </c>
      <c r="C16" s="440" t="str">
        <v>febrero</v>
      </c>
      <c r="D16" s="440" t="str">
        <v>marzo</v>
      </c>
      <c r="E16" s="440" t="str">
        <v>abril</v>
      </c>
      <c r="F16" s="440" t="str">
        <v>mayo</v>
      </c>
      <c r="G16" s="440" t="str">
        <v>junio</v>
      </c>
      <c r="H16" s="440" t="str">
        <v>julio</v>
      </c>
      <c r="I16" s="440" t="str">
        <v>agosto</v>
      </c>
      <c r="J16" s="440" t="str">
        <v>septiembre</v>
      </c>
      <c r="K16" s="440" t="str">
        <v>octubre</v>
      </c>
      <c r="L16" s="440" t="str">
        <v>noviembre</v>
      </c>
      <c r="M16" s="441" t="str">
        <v>diciembre</v>
      </c>
      <c r="N16" s="438" t="s">
        <v>15</v>
      </c>
    </row>
    <row r="17" spans="1:15" ht="15.75" customHeight="1">
      <c r="A17" s="1972" t="str">
        <f t="array" ref="A17:A24">productos</f>
        <v>producto o servicio</v>
      </c>
      <c r="B17" s="587">
        <f t="array" aca="1" ref="B17:M24" ca="1">B5:M12*'Precios-CV'!$D7:$D14</f>
        <v>2800</v>
      </c>
      <c r="C17" s="588">
        <f ca="1"/>
        <v>3500</v>
      </c>
      <c r="D17" s="588">
        <f ca="1"/>
        <v>3850</v>
      </c>
      <c r="E17" s="588">
        <f ca="1"/>
        <v>3675</v>
      </c>
      <c r="F17" s="588">
        <f ca="1"/>
        <v>3150</v>
      </c>
      <c r="G17" s="588">
        <f ca="1"/>
        <v>2975</v>
      </c>
      <c r="H17" s="588">
        <f ca="1"/>
        <v>2800</v>
      </c>
      <c r="I17" s="588">
        <f ca="1"/>
        <v>2100</v>
      </c>
      <c r="J17" s="588">
        <f ca="1"/>
        <v>2800</v>
      </c>
      <c r="K17" s="588">
        <f ca="1"/>
        <v>3325</v>
      </c>
      <c r="L17" s="588">
        <f ca="1"/>
        <v>3500</v>
      </c>
      <c r="M17" s="598">
        <f ca="1"/>
        <v>4200</v>
      </c>
      <c r="N17" s="580">
        <f t="shared" ref="N17:N25" ca="1" si="1">SUM(B17:M17)</f>
        <v>38675</v>
      </c>
      <c r="O17" s="61"/>
    </row>
    <row r="18" spans="1:15" ht="15.75" customHeight="1">
      <c r="A18" s="1973" t="str">
        <v/>
      </c>
      <c r="B18" s="589">
        <f ca="1"/>
        <v>0</v>
      </c>
      <c r="C18" s="590">
        <f ca="1"/>
        <v>0</v>
      </c>
      <c r="D18" s="590">
        <f ca="1"/>
        <v>0</v>
      </c>
      <c r="E18" s="590">
        <f ca="1"/>
        <v>0</v>
      </c>
      <c r="F18" s="590">
        <f ca="1"/>
        <v>0</v>
      </c>
      <c r="G18" s="590">
        <f ca="1"/>
        <v>0</v>
      </c>
      <c r="H18" s="590">
        <f ca="1"/>
        <v>0</v>
      </c>
      <c r="I18" s="590">
        <f ca="1"/>
        <v>0</v>
      </c>
      <c r="J18" s="590">
        <f ca="1"/>
        <v>0</v>
      </c>
      <c r="K18" s="590">
        <f ca="1"/>
        <v>0</v>
      </c>
      <c r="L18" s="590">
        <f ca="1"/>
        <v>0</v>
      </c>
      <c r="M18" s="599">
        <f ca="1"/>
        <v>0</v>
      </c>
      <c r="N18" s="583">
        <f t="shared" ca="1" si="1"/>
        <v>0</v>
      </c>
      <c r="O18" s="61"/>
    </row>
    <row r="19" spans="1:15" ht="15.75" customHeight="1">
      <c r="A19" s="1973" t="str">
        <v/>
      </c>
      <c r="B19" s="589">
        <f ca="1"/>
        <v>0</v>
      </c>
      <c r="C19" s="590">
        <f ca="1"/>
        <v>0</v>
      </c>
      <c r="D19" s="590">
        <f ca="1"/>
        <v>0</v>
      </c>
      <c r="E19" s="590">
        <f ca="1"/>
        <v>0</v>
      </c>
      <c r="F19" s="590">
        <f ca="1"/>
        <v>0</v>
      </c>
      <c r="G19" s="590">
        <f ca="1"/>
        <v>0</v>
      </c>
      <c r="H19" s="590">
        <f ca="1"/>
        <v>0</v>
      </c>
      <c r="I19" s="590">
        <f ca="1"/>
        <v>0</v>
      </c>
      <c r="J19" s="590">
        <f ca="1"/>
        <v>0</v>
      </c>
      <c r="K19" s="590">
        <f ca="1"/>
        <v>0</v>
      </c>
      <c r="L19" s="590">
        <f ca="1"/>
        <v>0</v>
      </c>
      <c r="M19" s="599">
        <f ca="1"/>
        <v>0</v>
      </c>
      <c r="N19" s="583">
        <f t="shared" ca="1" si="1"/>
        <v>0</v>
      </c>
      <c r="O19" s="61"/>
    </row>
    <row r="20" spans="1:15" ht="15.75" customHeight="1">
      <c r="A20" s="1973" t="str">
        <v/>
      </c>
      <c r="B20" s="589">
        <f ca="1"/>
        <v>0</v>
      </c>
      <c r="C20" s="590">
        <f ca="1"/>
        <v>0</v>
      </c>
      <c r="D20" s="590">
        <f ca="1"/>
        <v>0</v>
      </c>
      <c r="E20" s="590">
        <f ca="1"/>
        <v>0</v>
      </c>
      <c r="F20" s="590">
        <f ca="1"/>
        <v>0</v>
      </c>
      <c r="G20" s="590">
        <f ca="1"/>
        <v>0</v>
      </c>
      <c r="H20" s="590">
        <f ca="1"/>
        <v>0</v>
      </c>
      <c r="I20" s="590">
        <f ca="1"/>
        <v>0</v>
      </c>
      <c r="J20" s="590">
        <f ca="1"/>
        <v>0</v>
      </c>
      <c r="K20" s="590">
        <f ca="1"/>
        <v>0</v>
      </c>
      <c r="L20" s="590">
        <f ca="1"/>
        <v>0</v>
      </c>
      <c r="M20" s="599">
        <f ca="1"/>
        <v>0</v>
      </c>
      <c r="N20" s="583">
        <f t="shared" ca="1" si="1"/>
        <v>0</v>
      </c>
      <c r="O20" s="61"/>
    </row>
    <row r="21" spans="1:15" ht="15.75" customHeight="1">
      <c r="A21" s="1973" t="str">
        <v/>
      </c>
      <c r="B21" s="589">
        <f ca="1"/>
        <v>0</v>
      </c>
      <c r="C21" s="590">
        <f ca="1"/>
        <v>0</v>
      </c>
      <c r="D21" s="590">
        <f ca="1"/>
        <v>0</v>
      </c>
      <c r="E21" s="590">
        <f ca="1"/>
        <v>0</v>
      </c>
      <c r="F21" s="590">
        <f ca="1"/>
        <v>0</v>
      </c>
      <c r="G21" s="590">
        <f ca="1"/>
        <v>0</v>
      </c>
      <c r="H21" s="590">
        <f ca="1"/>
        <v>0</v>
      </c>
      <c r="I21" s="590">
        <f ca="1"/>
        <v>0</v>
      </c>
      <c r="J21" s="590">
        <f ca="1"/>
        <v>0</v>
      </c>
      <c r="K21" s="590">
        <f ca="1"/>
        <v>0</v>
      </c>
      <c r="L21" s="590">
        <f ca="1"/>
        <v>0</v>
      </c>
      <c r="M21" s="599">
        <f ca="1"/>
        <v>0</v>
      </c>
      <c r="N21" s="583">
        <f t="shared" ca="1" si="1"/>
        <v>0</v>
      </c>
      <c r="O21" s="61"/>
    </row>
    <row r="22" spans="1:15" ht="15.75" customHeight="1">
      <c r="A22" s="1973" t="str">
        <v/>
      </c>
      <c r="B22" s="589">
        <f ca="1"/>
        <v>0</v>
      </c>
      <c r="C22" s="590">
        <f ca="1"/>
        <v>0</v>
      </c>
      <c r="D22" s="590">
        <f ca="1"/>
        <v>0</v>
      </c>
      <c r="E22" s="590">
        <f ca="1"/>
        <v>0</v>
      </c>
      <c r="F22" s="590">
        <f ca="1"/>
        <v>0</v>
      </c>
      <c r="G22" s="590">
        <f ca="1"/>
        <v>0</v>
      </c>
      <c r="H22" s="590">
        <f ca="1"/>
        <v>0</v>
      </c>
      <c r="I22" s="590">
        <f ca="1"/>
        <v>0</v>
      </c>
      <c r="J22" s="590">
        <f ca="1"/>
        <v>0</v>
      </c>
      <c r="K22" s="590">
        <f ca="1"/>
        <v>0</v>
      </c>
      <c r="L22" s="590">
        <f ca="1"/>
        <v>0</v>
      </c>
      <c r="M22" s="599">
        <f ca="1"/>
        <v>0</v>
      </c>
      <c r="N22" s="583">
        <f t="shared" ca="1" si="1"/>
        <v>0</v>
      </c>
      <c r="O22" s="61"/>
    </row>
    <row r="23" spans="1:15" ht="15.75" customHeight="1">
      <c r="A23" s="1973" t="str">
        <v/>
      </c>
      <c r="B23" s="589">
        <f ca="1"/>
        <v>0</v>
      </c>
      <c r="C23" s="590">
        <f ca="1"/>
        <v>0</v>
      </c>
      <c r="D23" s="590">
        <f ca="1"/>
        <v>0</v>
      </c>
      <c r="E23" s="590">
        <f ca="1"/>
        <v>0</v>
      </c>
      <c r="F23" s="590">
        <f ca="1"/>
        <v>0</v>
      </c>
      <c r="G23" s="590">
        <f ca="1"/>
        <v>0</v>
      </c>
      <c r="H23" s="590">
        <f ca="1"/>
        <v>0</v>
      </c>
      <c r="I23" s="590">
        <f ca="1"/>
        <v>0</v>
      </c>
      <c r="J23" s="590">
        <f ca="1"/>
        <v>0</v>
      </c>
      <c r="K23" s="590">
        <f ca="1"/>
        <v>0</v>
      </c>
      <c r="L23" s="590">
        <f ca="1"/>
        <v>0</v>
      </c>
      <c r="M23" s="599">
        <f ca="1"/>
        <v>0</v>
      </c>
      <c r="N23" s="583">
        <f t="shared" ca="1" si="1"/>
        <v>0</v>
      </c>
      <c r="O23" s="61"/>
    </row>
    <row r="24" spans="1:15" ht="15.75" customHeight="1" thickBot="1">
      <c r="A24" s="1974" t="str">
        <v/>
      </c>
      <c r="B24" s="591">
        <f ca="1"/>
        <v>0</v>
      </c>
      <c r="C24" s="592">
        <f ca="1"/>
        <v>0</v>
      </c>
      <c r="D24" s="592">
        <f ca="1"/>
        <v>0</v>
      </c>
      <c r="E24" s="592">
        <f ca="1"/>
        <v>0</v>
      </c>
      <c r="F24" s="592">
        <f ca="1"/>
        <v>0</v>
      </c>
      <c r="G24" s="592">
        <f ca="1"/>
        <v>0</v>
      </c>
      <c r="H24" s="592">
        <f ca="1"/>
        <v>0</v>
      </c>
      <c r="I24" s="592">
        <f ca="1"/>
        <v>0</v>
      </c>
      <c r="J24" s="592">
        <f ca="1"/>
        <v>0</v>
      </c>
      <c r="K24" s="592">
        <f ca="1"/>
        <v>0</v>
      </c>
      <c r="L24" s="592">
        <f ca="1"/>
        <v>0</v>
      </c>
      <c r="M24" s="600">
        <f ca="1"/>
        <v>0</v>
      </c>
      <c r="N24" s="593">
        <f t="shared" ca="1" si="1"/>
        <v>0</v>
      </c>
      <c r="O24" s="61"/>
    </row>
    <row r="25" spans="1:15" ht="15.75" customHeight="1" thickBot="1">
      <c r="A25" s="103" t="s">
        <v>15</v>
      </c>
      <c r="B25" s="595">
        <f t="shared" ref="B25:M25" ca="1" si="2">B17+B18+B19+B20+B21+B22+B23+B24</f>
        <v>2800</v>
      </c>
      <c r="C25" s="596">
        <f t="shared" ca="1" si="2"/>
        <v>3500</v>
      </c>
      <c r="D25" s="596">
        <f t="shared" ca="1" si="2"/>
        <v>3850</v>
      </c>
      <c r="E25" s="596">
        <f t="shared" ca="1" si="2"/>
        <v>3675</v>
      </c>
      <c r="F25" s="596">
        <f t="shared" ca="1" si="2"/>
        <v>3150</v>
      </c>
      <c r="G25" s="596">
        <f t="shared" ca="1" si="2"/>
        <v>2975</v>
      </c>
      <c r="H25" s="596">
        <f t="shared" ca="1" si="2"/>
        <v>2800</v>
      </c>
      <c r="I25" s="596">
        <f t="shared" ca="1" si="2"/>
        <v>2100</v>
      </c>
      <c r="J25" s="596">
        <f t="shared" ca="1" si="2"/>
        <v>2800</v>
      </c>
      <c r="K25" s="596">
        <f t="shared" ca="1" si="2"/>
        <v>3325</v>
      </c>
      <c r="L25" s="596">
        <f t="shared" ca="1" si="2"/>
        <v>3500</v>
      </c>
      <c r="M25" s="597">
        <f t="shared" ca="1" si="2"/>
        <v>4200</v>
      </c>
      <c r="N25" s="594">
        <f t="shared" ca="1" si="1"/>
        <v>38675</v>
      </c>
      <c r="O25" s="61"/>
    </row>
    <row r="26" spans="1:15" ht="15">
      <c r="A26" s="213"/>
    </row>
    <row r="27" spans="1:15" ht="15">
      <c r="A27" s="213"/>
    </row>
    <row r="28" spans="1:15" ht="23.25" customHeight="1">
      <c r="A28" s="67" t="str">
        <f>'Prev.Ventas 0'!A28</f>
        <v>Estacionalidad de las Ventas</v>
      </c>
      <c r="B28" s="61"/>
      <c r="D28" s="421" t="str">
        <f>E1</f>
        <v>Año 1:  2027</v>
      </c>
    </row>
    <row r="29" spans="1:15" ht="22.5">
      <c r="A29" s="67" t="str">
        <f>'Datos Básicos'!B9</f>
        <v>nombre empresa</v>
      </c>
    </row>
    <row r="30" spans="1:15" ht="14.25" customHeight="1" thickBot="1">
      <c r="A30" s="59"/>
    </row>
    <row r="31" spans="1:15" s="443" customFormat="1" ht="18.75" customHeight="1" thickBot="1">
      <c r="A31" s="448" t="s">
        <v>36</v>
      </c>
      <c r="B31" s="439" t="str">
        <f t="array" ref="B31:M31">meses</f>
        <v>enero</v>
      </c>
      <c r="C31" s="440" t="str">
        <v>febrero</v>
      </c>
      <c r="D31" s="440" t="str">
        <v>marzo</v>
      </c>
      <c r="E31" s="440" t="str">
        <v>abril</v>
      </c>
      <c r="F31" s="440" t="str">
        <v>mayo</v>
      </c>
      <c r="G31" s="440" t="str">
        <v>junio</v>
      </c>
      <c r="H31" s="440" t="str">
        <v>julio</v>
      </c>
      <c r="I31" s="440" t="str">
        <v>agosto</v>
      </c>
      <c r="J31" s="440" t="str">
        <v>septiembre</v>
      </c>
      <c r="K31" s="440" t="str">
        <v>octubre</v>
      </c>
      <c r="L31" s="440" t="str">
        <v>noviembre</v>
      </c>
      <c r="M31" s="441" t="str">
        <v>diciembre</v>
      </c>
      <c r="N31" s="438" t="s">
        <v>15</v>
      </c>
      <c r="O31" s="442"/>
    </row>
    <row r="32" spans="1:15" ht="18.75" customHeight="1">
      <c r="A32" s="1988" t="str">
        <f t="array" ref="A32:A39">productos</f>
        <v>producto o servicio</v>
      </c>
      <c r="B32" s="1993" t="str">
        <f t="array" aca="1" ref="B32:M39" ca="1">IF(OR($N17:$N24=0,B17:M24=""),"",B17:M24/$N17:$N24)</f>
        <v/>
      </c>
      <c r="C32" s="430" t="str">
        <f ca="1"/>
        <v/>
      </c>
      <c r="D32" s="430" t="str">
        <f ca="1"/>
        <v/>
      </c>
      <c r="E32" s="430" t="str">
        <f ca="1"/>
        <v/>
      </c>
      <c r="F32" s="430" t="str">
        <f ca="1"/>
        <v/>
      </c>
      <c r="G32" s="430" t="str">
        <f ca="1"/>
        <v/>
      </c>
      <c r="H32" s="430" t="str">
        <f ca="1"/>
        <v/>
      </c>
      <c r="I32" s="430" t="str">
        <f ca="1"/>
        <v/>
      </c>
      <c r="J32" s="430" t="str">
        <f ca="1"/>
        <v/>
      </c>
      <c r="K32" s="430" t="str">
        <f ca="1"/>
        <v/>
      </c>
      <c r="L32" s="430" t="str">
        <f ca="1"/>
        <v/>
      </c>
      <c r="M32" s="431" t="str">
        <f ca="1"/>
        <v/>
      </c>
      <c r="N32" s="575">
        <f t="shared" ref="N32:N40" ca="1" si="3">SUM(B32:M32)</f>
        <v>0</v>
      </c>
    </row>
    <row r="33" spans="1:20" ht="18.75" customHeight="1">
      <c r="A33" s="1989" t="str">
        <v/>
      </c>
      <c r="B33" s="1994" t="str">
        <f ca="1"/>
        <v/>
      </c>
      <c r="C33" s="432" t="str">
        <f ca="1"/>
        <v/>
      </c>
      <c r="D33" s="432" t="str">
        <f ca="1"/>
        <v/>
      </c>
      <c r="E33" s="432" t="str">
        <f ca="1"/>
        <v/>
      </c>
      <c r="F33" s="432" t="str">
        <f ca="1"/>
        <v/>
      </c>
      <c r="G33" s="432" t="str">
        <f ca="1"/>
        <v/>
      </c>
      <c r="H33" s="432" t="str">
        <f ca="1"/>
        <v/>
      </c>
      <c r="I33" s="432" t="str">
        <f ca="1"/>
        <v/>
      </c>
      <c r="J33" s="432" t="str">
        <f ca="1"/>
        <v/>
      </c>
      <c r="K33" s="432" t="str">
        <f ca="1"/>
        <v/>
      </c>
      <c r="L33" s="432" t="str">
        <f ca="1"/>
        <v/>
      </c>
      <c r="M33" s="433" t="str">
        <f ca="1"/>
        <v/>
      </c>
      <c r="N33" s="576">
        <f t="shared" ca="1" si="3"/>
        <v>0</v>
      </c>
    </row>
    <row r="34" spans="1:20" ht="18.75" customHeight="1">
      <c r="A34" s="1989" t="str">
        <v/>
      </c>
      <c r="B34" s="1994" t="str">
        <f ca="1"/>
        <v/>
      </c>
      <c r="C34" s="432" t="str">
        <f ca="1"/>
        <v/>
      </c>
      <c r="D34" s="432" t="str">
        <f ca="1"/>
        <v/>
      </c>
      <c r="E34" s="432" t="str">
        <f ca="1"/>
        <v/>
      </c>
      <c r="F34" s="432" t="str">
        <f ca="1"/>
        <v/>
      </c>
      <c r="G34" s="432" t="str">
        <f ca="1"/>
        <v/>
      </c>
      <c r="H34" s="432" t="str">
        <f ca="1"/>
        <v/>
      </c>
      <c r="I34" s="432" t="str">
        <f ca="1"/>
        <v/>
      </c>
      <c r="J34" s="432" t="str">
        <f ca="1"/>
        <v/>
      </c>
      <c r="K34" s="432" t="str">
        <f ca="1"/>
        <v/>
      </c>
      <c r="L34" s="432" t="str">
        <f ca="1"/>
        <v/>
      </c>
      <c r="M34" s="433" t="str">
        <f ca="1"/>
        <v/>
      </c>
      <c r="N34" s="576">
        <f t="shared" ca="1" si="3"/>
        <v>0</v>
      </c>
    </row>
    <row r="35" spans="1:20" ht="18.75" customHeight="1">
      <c r="A35" s="1989" t="str">
        <v/>
      </c>
      <c r="B35" s="1994" t="str">
        <f ca="1"/>
        <v/>
      </c>
      <c r="C35" s="432" t="str">
        <f ca="1"/>
        <v/>
      </c>
      <c r="D35" s="432" t="str">
        <f ca="1"/>
        <v/>
      </c>
      <c r="E35" s="432" t="str">
        <f ca="1"/>
        <v/>
      </c>
      <c r="F35" s="432" t="str">
        <f ca="1"/>
        <v/>
      </c>
      <c r="G35" s="432" t="str">
        <f ca="1"/>
        <v/>
      </c>
      <c r="H35" s="432" t="str">
        <f ca="1"/>
        <v/>
      </c>
      <c r="I35" s="432" t="str">
        <f ca="1"/>
        <v/>
      </c>
      <c r="J35" s="432" t="str">
        <f ca="1"/>
        <v/>
      </c>
      <c r="K35" s="432" t="str">
        <f ca="1"/>
        <v/>
      </c>
      <c r="L35" s="432" t="str">
        <f ca="1"/>
        <v/>
      </c>
      <c r="M35" s="433" t="str">
        <f ca="1"/>
        <v/>
      </c>
      <c r="N35" s="576">
        <f t="shared" ca="1" si="3"/>
        <v>0</v>
      </c>
    </row>
    <row r="36" spans="1:20" ht="18.75" customHeight="1">
      <c r="A36" s="1989" t="str">
        <v/>
      </c>
      <c r="B36" s="1994" t="str">
        <f ca="1"/>
        <v/>
      </c>
      <c r="C36" s="432" t="str">
        <f ca="1"/>
        <v/>
      </c>
      <c r="D36" s="432" t="str">
        <f ca="1"/>
        <v/>
      </c>
      <c r="E36" s="432" t="str">
        <f ca="1"/>
        <v/>
      </c>
      <c r="F36" s="432" t="str">
        <f ca="1"/>
        <v/>
      </c>
      <c r="G36" s="432" t="str">
        <f ca="1"/>
        <v/>
      </c>
      <c r="H36" s="432" t="str">
        <f ca="1"/>
        <v/>
      </c>
      <c r="I36" s="432" t="str">
        <f ca="1"/>
        <v/>
      </c>
      <c r="J36" s="432" t="str">
        <f ca="1"/>
        <v/>
      </c>
      <c r="K36" s="432" t="str">
        <f ca="1"/>
        <v/>
      </c>
      <c r="L36" s="432" t="str">
        <f ca="1"/>
        <v/>
      </c>
      <c r="M36" s="433" t="str">
        <f ca="1"/>
        <v/>
      </c>
      <c r="N36" s="576">
        <f t="shared" ca="1" si="3"/>
        <v>0</v>
      </c>
    </row>
    <row r="37" spans="1:20" ht="18.75" customHeight="1">
      <c r="A37" s="1989" t="str">
        <v/>
      </c>
      <c r="B37" s="1994" t="str">
        <f ca="1"/>
        <v/>
      </c>
      <c r="C37" s="432" t="str">
        <f ca="1"/>
        <v/>
      </c>
      <c r="D37" s="432" t="str">
        <f ca="1"/>
        <v/>
      </c>
      <c r="E37" s="432" t="str">
        <f ca="1"/>
        <v/>
      </c>
      <c r="F37" s="432" t="str">
        <f ca="1"/>
        <v/>
      </c>
      <c r="G37" s="432" t="str">
        <f ca="1"/>
        <v/>
      </c>
      <c r="H37" s="432" t="str">
        <f ca="1"/>
        <v/>
      </c>
      <c r="I37" s="432" t="str">
        <f ca="1"/>
        <v/>
      </c>
      <c r="J37" s="432" t="str">
        <f ca="1"/>
        <v/>
      </c>
      <c r="K37" s="432" t="str">
        <f ca="1"/>
        <v/>
      </c>
      <c r="L37" s="432" t="str">
        <f ca="1"/>
        <v/>
      </c>
      <c r="M37" s="433" t="str">
        <f ca="1"/>
        <v/>
      </c>
      <c r="N37" s="576">
        <f t="shared" ca="1" si="3"/>
        <v>0</v>
      </c>
    </row>
    <row r="38" spans="1:20" ht="18.75" customHeight="1">
      <c r="A38" s="1989" t="str">
        <v/>
      </c>
      <c r="B38" s="1994" t="str">
        <f ca="1"/>
        <v/>
      </c>
      <c r="C38" s="432" t="str">
        <f ca="1"/>
        <v/>
      </c>
      <c r="D38" s="432" t="str">
        <f ca="1"/>
        <v/>
      </c>
      <c r="E38" s="432" t="str">
        <f ca="1"/>
        <v/>
      </c>
      <c r="F38" s="432" t="str">
        <f ca="1"/>
        <v/>
      </c>
      <c r="G38" s="432" t="str">
        <f ca="1"/>
        <v/>
      </c>
      <c r="H38" s="432" t="str">
        <f ca="1"/>
        <v/>
      </c>
      <c r="I38" s="432" t="str">
        <f ca="1"/>
        <v/>
      </c>
      <c r="J38" s="432" t="str">
        <f ca="1"/>
        <v/>
      </c>
      <c r="K38" s="432" t="str">
        <f ca="1"/>
        <v/>
      </c>
      <c r="L38" s="432" t="str">
        <f ca="1"/>
        <v/>
      </c>
      <c r="M38" s="433" t="str">
        <f ca="1"/>
        <v/>
      </c>
      <c r="N38" s="576">
        <f t="shared" ca="1" si="3"/>
        <v>0</v>
      </c>
    </row>
    <row r="39" spans="1:20" ht="18.75" customHeight="1" thickBot="1">
      <c r="A39" s="1990" t="str">
        <v/>
      </c>
      <c r="B39" s="1995" t="str">
        <f ca="1"/>
        <v/>
      </c>
      <c r="C39" s="434" t="str">
        <f ca="1"/>
        <v/>
      </c>
      <c r="D39" s="434" t="str">
        <f ca="1"/>
        <v/>
      </c>
      <c r="E39" s="434" t="str">
        <f ca="1"/>
        <v/>
      </c>
      <c r="F39" s="434" t="str">
        <f ca="1"/>
        <v/>
      </c>
      <c r="G39" s="434" t="str">
        <f ca="1"/>
        <v/>
      </c>
      <c r="H39" s="434" t="str">
        <f ca="1"/>
        <v/>
      </c>
      <c r="I39" s="434" t="str">
        <f ca="1"/>
        <v/>
      </c>
      <c r="J39" s="434" t="str">
        <f ca="1"/>
        <v/>
      </c>
      <c r="K39" s="434" t="str">
        <f ca="1"/>
        <v/>
      </c>
      <c r="L39" s="434" t="str">
        <f ca="1"/>
        <v/>
      </c>
      <c r="M39" s="435" t="str">
        <f ca="1"/>
        <v/>
      </c>
      <c r="N39" s="577">
        <f t="shared" ca="1" si="3"/>
        <v>0</v>
      </c>
    </row>
    <row r="40" spans="1:20" s="35" customFormat="1" ht="18.75" customHeight="1" thickBot="1">
      <c r="A40" s="1991" t="s">
        <v>37</v>
      </c>
      <c r="B40" s="1996">
        <f t="array" aca="1" ref="B40:M40" ca="1">B25:M25/$N$25</f>
        <v>7.2398190045248875E-2</v>
      </c>
      <c r="C40" s="436">
        <f ca="1"/>
        <v>9.0497737556561084E-2</v>
      </c>
      <c r="D40" s="436">
        <f ca="1"/>
        <v>9.9547511312217188E-2</v>
      </c>
      <c r="E40" s="436">
        <f ca="1"/>
        <v>9.5022624434389136E-2</v>
      </c>
      <c r="F40" s="436">
        <f ca="1"/>
        <v>8.1447963800904979E-2</v>
      </c>
      <c r="G40" s="436">
        <f ca="1"/>
        <v>7.6923076923076927E-2</v>
      </c>
      <c r="H40" s="436">
        <f ca="1"/>
        <v>7.2398190045248875E-2</v>
      </c>
      <c r="I40" s="436">
        <f ca="1"/>
        <v>5.4298642533936653E-2</v>
      </c>
      <c r="J40" s="436">
        <f ca="1"/>
        <v>7.2398190045248875E-2</v>
      </c>
      <c r="K40" s="436">
        <f ca="1"/>
        <v>8.5972850678733032E-2</v>
      </c>
      <c r="L40" s="436">
        <f ca="1"/>
        <v>9.0497737556561084E-2</v>
      </c>
      <c r="M40" s="436">
        <f ca="1"/>
        <v>0.10859728506787331</v>
      </c>
      <c r="N40" s="437">
        <f t="shared" ca="1" si="3"/>
        <v>1</v>
      </c>
      <c r="O40" s="232"/>
      <c r="P40" s="61"/>
      <c r="Q40" s="61"/>
      <c r="R40" s="61"/>
      <c r="S40" s="61"/>
      <c r="T40" s="61"/>
    </row>
    <row r="41" spans="1:20" s="35" customFormat="1" ht="18.75" customHeight="1"/>
    <row r="43" spans="1:20">
      <c r="B43" s="61"/>
    </row>
    <row r="44" spans="1:20">
      <c r="B44" s="61"/>
    </row>
    <row r="45" spans="1:20">
      <c r="B45" s="61"/>
    </row>
    <row r="46" spans="1:20">
      <c r="B46" s="61"/>
    </row>
    <row r="47" spans="1:20">
      <c r="B47" s="61"/>
    </row>
    <row r="48" spans="1:20">
      <c r="B48" s="61"/>
    </row>
    <row r="49" spans="2:2">
      <c r="B49" s="61"/>
    </row>
    <row r="50" spans="2:2">
      <c r="B50" s="61"/>
    </row>
    <row r="51" spans="2:2">
      <c r="B51" s="61"/>
    </row>
    <row r="52" spans="2:2">
      <c r="B52" s="61"/>
    </row>
    <row r="53" spans="2:2">
      <c r="B53" s="61"/>
    </row>
    <row r="54" spans="2:2">
      <c r="B54" s="61"/>
    </row>
    <row r="55" spans="2:2">
      <c r="B55" s="61"/>
    </row>
    <row r="56" spans="2:2">
      <c r="B56" s="61"/>
    </row>
    <row r="57" spans="2:2">
      <c r="B57" s="61"/>
    </row>
    <row r="58" spans="2:2">
      <c r="B58" s="61"/>
    </row>
    <row r="59" spans="2:2">
      <c r="B59" s="61"/>
    </row>
    <row r="60" spans="2:2">
      <c r="B60" s="61"/>
    </row>
    <row r="61" spans="2:2">
      <c r="B61" s="61"/>
    </row>
    <row r="62" spans="2:2">
      <c r="B62" s="61"/>
    </row>
    <row r="63" spans="2:2">
      <c r="B63" s="61"/>
    </row>
    <row r="64" spans="2:2">
      <c r="B64" s="61"/>
    </row>
    <row r="65" spans="2:2">
      <c r="B65" s="61"/>
    </row>
    <row r="66" spans="2:2">
      <c r="B66" s="61"/>
    </row>
    <row r="80" spans="2:2">
      <c r="B80" s="61"/>
    </row>
    <row r="81" spans="2:2">
      <c r="B81" s="61"/>
    </row>
  </sheetData>
  <sheetProtection sheet="1" objects="1" scenarios="1"/>
  <phoneticPr fontId="6" type="noConversion"/>
  <conditionalFormatting sqref="B32:M39">
    <cfRule type="expression" dxfId="22" priority="1" stopIfTrue="1">
      <formula>B32=""</formula>
    </cfRule>
  </conditionalFormatting>
  <printOptions horizontalCentered="1" verticalCentered="1"/>
  <pageMargins left="0.38" right="0.19685039370078741" top="0.53" bottom="0.71" header="0.51181102362204722" footer="0.39370078740157483"/>
  <pageSetup paperSize="9" scale="78" fitToHeight="2" orientation="landscape" horizontalDpi="300" verticalDpi="300" r:id="rId1"/>
  <headerFooter alignWithMargins="0">
    <oddFooter>&amp;C&amp;"Tahoma,Normal"&amp;10&amp;A</oddFooter>
  </headerFooter>
  <rowBreaks count="1" manualBreakCount="1">
    <brk id="27"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14">
    <tabColor indexed="42"/>
  </sheetPr>
  <dimension ref="A1:T81"/>
  <sheetViews>
    <sheetView workbookViewId="0"/>
  </sheetViews>
  <sheetFormatPr baseColWidth="10" defaultColWidth="11" defaultRowHeight="12.75"/>
  <cols>
    <col min="1" max="1" width="24.5" style="232" customWidth="1"/>
    <col min="2" max="2" width="15.125" style="60" bestFit="1" customWidth="1"/>
    <col min="3" max="3" width="13" style="61" customWidth="1"/>
    <col min="4" max="9" width="10.125" style="61" customWidth="1"/>
    <col min="10" max="13" width="11.25" style="61" customWidth="1"/>
    <col min="14" max="14" width="10.75" style="61" customWidth="1"/>
    <col min="15" max="15" width="12.25" style="232" customWidth="1"/>
    <col min="16" max="16384" width="11" style="61"/>
  </cols>
  <sheetData>
    <row r="1" spans="1:15" ht="22.5">
      <c r="A1" s="67" t="str">
        <f>'Prev.Ventas 0'!A1</f>
        <v>Previsiones de Ventas de la empresa</v>
      </c>
      <c r="D1" s="523"/>
      <c r="E1" s="421" t="str">
        <f>Parametros!D77</f>
        <v>Año 2:  2028</v>
      </c>
    </row>
    <row r="2" spans="1:15" ht="22.5">
      <c r="A2" s="67" t="str">
        <f>'Datos Básicos'!B9</f>
        <v>nombre empresa</v>
      </c>
    </row>
    <row r="3" spans="1:15" ht="14.25" customHeight="1" thickBot="1">
      <c r="A3" s="59"/>
    </row>
    <row r="4" spans="1:15" s="447" customFormat="1" ht="15.75" customHeight="1" thickBot="1">
      <c r="A4" s="446" t="s">
        <v>167</v>
      </c>
      <c r="B4" s="444" t="str">
        <f t="array" ref="B4:M4">meses</f>
        <v>enero</v>
      </c>
      <c r="C4" s="440" t="str">
        <v>febrero</v>
      </c>
      <c r="D4" s="440" t="str">
        <v>marzo</v>
      </c>
      <c r="E4" s="440" t="str">
        <v>abril</v>
      </c>
      <c r="F4" s="440" t="str">
        <v>mayo</v>
      </c>
      <c r="G4" s="440" t="str">
        <v>junio</v>
      </c>
      <c r="H4" s="440" t="str">
        <v>julio</v>
      </c>
      <c r="I4" s="440" t="str">
        <v>agosto</v>
      </c>
      <c r="J4" s="440" t="str">
        <v>septiembre</v>
      </c>
      <c r="K4" s="440" t="str">
        <v>octubre</v>
      </c>
      <c r="L4" s="440" t="str">
        <v>noviembre</v>
      </c>
      <c r="M4" s="441" t="str">
        <v>diciembre</v>
      </c>
      <c r="N4" s="438" t="s">
        <v>15</v>
      </c>
    </row>
    <row r="5" spans="1:15" ht="15.75" customHeight="1">
      <c r="A5" s="1972" t="str">
        <f t="array" ref="A5:A12">productos</f>
        <v>producto o servicio</v>
      </c>
      <c r="B5" s="578">
        <f t="array" aca="1" ref="B5:M12" ca="1">'Estimaciones Ventas'!B32:M39*Parametros!B$88:M$88</f>
        <v>824</v>
      </c>
      <c r="C5" s="579">
        <f ca="1"/>
        <v>1030</v>
      </c>
      <c r="D5" s="579">
        <f ca="1"/>
        <v>1133</v>
      </c>
      <c r="E5" s="579">
        <f ca="1"/>
        <v>1081.5</v>
      </c>
      <c r="F5" s="579">
        <f ca="1"/>
        <v>927</v>
      </c>
      <c r="G5" s="579">
        <f ca="1"/>
        <v>875.5</v>
      </c>
      <c r="H5" s="579">
        <f ca="1"/>
        <v>824</v>
      </c>
      <c r="I5" s="579">
        <f ca="1"/>
        <v>618</v>
      </c>
      <c r="J5" s="579">
        <f ca="1"/>
        <v>824</v>
      </c>
      <c r="K5" s="579">
        <f ca="1"/>
        <v>978.5</v>
      </c>
      <c r="L5" s="579">
        <f ca="1"/>
        <v>1030</v>
      </c>
      <c r="M5" s="601">
        <f ca="1"/>
        <v>1236</v>
      </c>
      <c r="N5" s="580">
        <f t="shared" ref="N5:N12" ca="1" si="0">SUM(B5:M5)</f>
        <v>11381.5</v>
      </c>
      <c r="O5" s="61"/>
    </row>
    <row r="6" spans="1:15" ht="15.75" customHeight="1">
      <c r="A6" s="1973" t="str">
        <v/>
      </c>
      <c r="B6" s="581">
        <f ca="1"/>
        <v>0</v>
      </c>
      <c r="C6" s="582">
        <f ca="1"/>
        <v>0</v>
      </c>
      <c r="D6" s="582">
        <f ca="1"/>
        <v>0</v>
      </c>
      <c r="E6" s="582">
        <f ca="1"/>
        <v>0</v>
      </c>
      <c r="F6" s="582">
        <f ca="1"/>
        <v>0</v>
      </c>
      <c r="G6" s="582">
        <f ca="1"/>
        <v>0</v>
      </c>
      <c r="H6" s="582">
        <f ca="1"/>
        <v>0</v>
      </c>
      <c r="I6" s="582">
        <f ca="1"/>
        <v>0</v>
      </c>
      <c r="J6" s="582">
        <f ca="1"/>
        <v>0</v>
      </c>
      <c r="K6" s="582">
        <f ca="1"/>
        <v>0</v>
      </c>
      <c r="L6" s="582">
        <f ca="1"/>
        <v>0</v>
      </c>
      <c r="M6" s="602">
        <f ca="1"/>
        <v>0</v>
      </c>
      <c r="N6" s="583">
        <f t="shared" ca="1" si="0"/>
        <v>0</v>
      </c>
      <c r="O6" s="61"/>
    </row>
    <row r="7" spans="1:15" ht="15.75" customHeight="1">
      <c r="A7" s="1973" t="str">
        <v/>
      </c>
      <c r="B7" s="581">
        <f ca="1"/>
        <v>0</v>
      </c>
      <c r="C7" s="582">
        <f ca="1"/>
        <v>0</v>
      </c>
      <c r="D7" s="582">
        <f ca="1"/>
        <v>0</v>
      </c>
      <c r="E7" s="582">
        <f ca="1"/>
        <v>0</v>
      </c>
      <c r="F7" s="582">
        <f ca="1"/>
        <v>0</v>
      </c>
      <c r="G7" s="582">
        <f ca="1"/>
        <v>0</v>
      </c>
      <c r="H7" s="582">
        <f ca="1"/>
        <v>0</v>
      </c>
      <c r="I7" s="582">
        <f ca="1"/>
        <v>0</v>
      </c>
      <c r="J7" s="582">
        <f ca="1"/>
        <v>0</v>
      </c>
      <c r="K7" s="582">
        <f ca="1"/>
        <v>0</v>
      </c>
      <c r="L7" s="582">
        <f ca="1"/>
        <v>0</v>
      </c>
      <c r="M7" s="602">
        <f ca="1"/>
        <v>0</v>
      </c>
      <c r="N7" s="583">
        <f t="shared" ca="1" si="0"/>
        <v>0</v>
      </c>
      <c r="O7" s="61"/>
    </row>
    <row r="8" spans="1:15" ht="15.75" customHeight="1">
      <c r="A8" s="1973" t="str">
        <v/>
      </c>
      <c r="B8" s="581">
        <f ca="1"/>
        <v>0</v>
      </c>
      <c r="C8" s="582">
        <f ca="1"/>
        <v>0</v>
      </c>
      <c r="D8" s="582">
        <f ca="1"/>
        <v>0</v>
      </c>
      <c r="E8" s="582">
        <f ca="1"/>
        <v>0</v>
      </c>
      <c r="F8" s="582">
        <f ca="1"/>
        <v>0</v>
      </c>
      <c r="G8" s="582">
        <f ca="1"/>
        <v>0</v>
      </c>
      <c r="H8" s="582">
        <f ca="1"/>
        <v>0</v>
      </c>
      <c r="I8" s="582">
        <f ca="1"/>
        <v>0</v>
      </c>
      <c r="J8" s="582">
        <f ca="1"/>
        <v>0</v>
      </c>
      <c r="K8" s="582">
        <f ca="1"/>
        <v>0</v>
      </c>
      <c r="L8" s="582">
        <f ca="1"/>
        <v>0</v>
      </c>
      <c r="M8" s="602">
        <f ca="1"/>
        <v>0</v>
      </c>
      <c r="N8" s="583">
        <f t="shared" ca="1" si="0"/>
        <v>0</v>
      </c>
      <c r="O8" s="61"/>
    </row>
    <row r="9" spans="1:15" ht="15.75" customHeight="1">
      <c r="A9" s="1973" t="str">
        <v/>
      </c>
      <c r="B9" s="581">
        <f ca="1"/>
        <v>0</v>
      </c>
      <c r="C9" s="582">
        <f ca="1"/>
        <v>0</v>
      </c>
      <c r="D9" s="582">
        <f ca="1"/>
        <v>0</v>
      </c>
      <c r="E9" s="582">
        <f ca="1"/>
        <v>0</v>
      </c>
      <c r="F9" s="582">
        <f ca="1"/>
        <v>0</v>
      </c>
      <c r="G9" s="582">
        <f ca="1"/>
        <v>0</v>
      </c>
      <c r="H9" s="582">
        <f ca="1"/>
        <v>0</v>
      </c>
      <c r="I9" s="582">
        <f ca="1"/>
        <v>0</v>
      </c>
      <c r="J9" s="582">
        <f ca="1"/>
        <v>0</v>
      </c>
      <c r="K9" s="582">
        <f ca="1"/>
        <v>0</v>
      </c>
      <c r="L9" s="582">
        <f ca="1"/>
        <v>0</v>
      </c>
      <c r="M9" s="602">
        <f ca="1"/>
        <v>0</v>
      </c>
      <c r="N9" s="583">
        <f t="shared" ca="1" si="0"/>
        <v>0</v>
      </c>
      <c r="O9" s="61"/>
    </row>
    <row r="10" spans="1:15" ht="15.75" customHeight="1">
      <c r="A10" s="1973" t="str">
        <v/>
      </c>
      <c r="B10" s="581">
        <f ca="1"/>
        <v>0</v>
      </c>
      <c r="C10" s="582">
        <f ca="1"/>
        <v>0</v>
      </c>
      <c r="D10" s="582">
        <f ca="1"/>
        <v>0</v>
      </c>
      <c r="E10" s="582">
        <f ca="1"/>
        <v>0</v>
      </c>
      <c r="F10" s="582">
        <f ca="1"/>
        <v>0</v>
      </c>
      <c r="G10" s="582">
        <f ca="1"/>
        <v>0</v>
      </c>
      <c r="H10" s="582">
        <f ca="1"/>
        <v>0</v>
      </c>
      <c r="I10" s="582">
        <f ca="1"/>
        <v>0</v>
      </c>
      <c r="J10" s="582">
        <f ca="1"/>
        <v>0</v>
      </c>
      <c r="K10" s="582">
        <f ca="1"/>
        <v>0</v>
      </c>
      <c r="L10" s="582">
        <f ca="1"/>
        <v>0</v>
      </c>
      <c r="M10" s="602">
        <f ca="1"/>
        <v>0</v>
      </c>
      <c r="N10" s="583">
        <f t="shared" ca="1" si="0"/>
        <v>0</v>
      </c>
      <c r="O10" s="61"/>
    </row>
    <row r="11" spans="1:15" ht="15.75" customHeight="1">
      <c r="A11" s="1973" t="str">
        <v/>
      </c>
      <c r="B11" s="581">
        <f ca="1"/>
        <v>0</v>
      </c>
      <c r="C11" s="582">
        <f ca="1"/>
        <v>0</v>
      </c>
      <c r="D11" s="582">
        <f ca="1"/>
        <v>0</v>
      </c>
      <c r="E11" s="582">
        <f ca="1"/>
        <v>0</v>
      </c>
      <c r="F11" s="582">
        <f ca="1"/>
        <v>0</v>
      </c>
      <c r="G11" s="582">
        <f ca="1"/>
        <v>0</v>
      </c>
      <c r="H11" s="582">
        <f ca="1"/>
        <v>0</v>
      </c>
      <c r="I11" s="582">
        <f ca="1"/>
        <v>0</v>
      </c>
      <c r="J11" s="582">
        <f ca="1"/>
        <v>0</v>
      </c>
      <c r="K11" s="582">
        <f ca="1"/>
        <v>0</v>
      </c>
      <c r="L11" s="582">
        <f ca="1"/>
        <v>0</v>
      </c>
      <c r="M11" s="602">
        <f ca="1"/>
        <v>0</v>
      </c>
      <c r="N11" s="583">
        <f t="shared" ca="1" si="0"/>
        <v>0</v>
      </c>
      <c r="O11" s="61"/>
    </row>
    <row r="12" spans="1:15" ht="15.75" customHeight="1" thickBot="1">
      <c r="A12" s="1974" t="str">
        <v/>
      </c>
      <c r="B12" s="584">
        <f ca="1"/>
        <v>0</v>
      </c>
      <c r="C12" s="585">
        <f ca="1"/>
        <v>0</v>
      </c>
      <c r="D12" s="585">
        <f ca="1"/>
        <v>0</v>
      </c>
      <c r="E12" s="585">
        <f ca="1"/>
        <v>0</v>
      </c>
      <c r="F12" s="585">
        <f ca="1"/>
        <v>0</v>
      </c>
      <c r="G12" s="585">
        <f ca="1"/>
        <v>0</v>
      </c>
      <c r="H12" s="585">
        <f ca="1"/>
        <v>0</v>
      </c>
      <c r="I12" s="585">
        <f ca="1"/>
        <v>0</v>
      </c>
      <c r="J12" s="585">
        <f ca="1"/>
        <v>0</v>
      </c>
      <c r="K12" s="585">
        <f ca="1"/>
        <v>0</v>
      </c>
      <c r="L12" s="585">
        <f ca="1"/>
        <v>0</v>
      </c>
      <c r="M12" s="603">
        <f ca="1"/>
        <v>0</v>
      </c>
      <c r="N12" s="586">
        <f t="shared" ca="1" si="0"/>
        <v>0</v>
      </c>
      <c r="O12" s="61"/>
    </row>
    <row r="13" spans="1:15" ht="15">
      <c r="A13" s="72"/>
    </row>
    <row r="14" spans="1:15" ht="15">
      <c r="A14" s="72"/>
    </row>
    <row r="15" spans="1:15" ht="15.75" thickBot="1">
      <c r="A15" s="213"/>
    </row>
    <row r="16" spans="1:15" s="445" customFormat="1" ht="15.75" customHeight="1" thickBot="1">
      <c r="A16" s="446" t="str">
        <f>'Prev.Ventas 0'!A16</f>
        <v>Ventas (Euros)</v>
      </c>
      <c r="B16" s="444" t="str">
        <f t="array" ref="B16:M16">meses</f>
        <v>enero</v>
      </c>
      <c r="C16" s="440" t="str">
        <v>febrero</v>
      </c>
      <c r="D16" s="440" t="str">
        <v>marzo</v>
      </c>
      <c r="E16" s="440" t="str">
        <v>abril</v>
      </c>
      <c r="F16" s="440" t="str">
        <v>mayo</v>
      </c>
      <c r="G16" s="440" t="str">
        <v>junio</v>
      </c>
      <c r="H16" s="440" t="str">
        <v>julio</v>
      </c>
      <c r="I16" s="440" t="str">
        <v>agosto</v>
      </c>
      <c r="J16" s="440" t="str">
        <v>septiembre</v>
      </c>
      <c r="K16" s="440" t="str">
        <v>octubre</v>
      </c>
      <c r="L16" s="440" t="str">
        <v>noviembre</v>
      </c>
      <c r="M16" s="441" t="str">
        <v>diciembre</v>
      </c>
      <c r="N16" s="438" t="s">
        <v>15</v>
      </c>
    </row>
    <row r="17" spans="1:15" ht="15.75" customHeight="1">
      <c r="A17" s="1972" t="str">
        <f t="array" ref="A17:A24">productos</f>
        <v>producto o servicio</v>
      </c>
      <c r="B17" s="587">
        <f t="array" aca="1" ref="B17:M24" ca="1">B5:M12*'Precios-CV'!$F7:$F14</f>
        <v>2884</v>
      </c>
      <c r="C17" s="588">
        <f ca="1"/>
        <v>3605</v>
      </c>
      <c r="D17" s="588">
        <f ca="1"/>
        <v>3965.5</v>
      </c>
      <c r="E17" s="588">
        <f ca="1"/>
        <v>3785.25</v>
      </c>
      <c r="F17" s="588">
        <f ca="1"/>
        <v>3244.5</v>
      </c>
      <c r="G17" s="588">
        <f ca="1"/>
        <v>3064.25</v>
      </c>
      <c r="H17" s="588">
        <f ca="1"/>
        <v>2884</v>
      </c>
      <c r="I17" s="588">
        <f ca="1"/>
        <v>2163</v>
      </c>
      <c r="J17" s="588">
        <f ca="1"/>
        <v>2884</v>
      </c>
      <c r="K17" s="588">
        <f ca="1"/>
        <v>3424.75</v>
      </c>
      <c r="L17" s="588">
        <f ca="1"/>
        <v>3605</v>
      </c>
      <c r="M17" s="598">
        <f ca="1"/>
        <v>4326</v>
      </c>
      <c r="N17" s="580">
        <f t="shared" ref="N17:N25" ca="1" si="1">SUM(B17:M17)</f>
        <v>39835.25</v>
      </c>
      <c r="O17" s="61"/>
    </row>
    <row r="18" spans="1:15" ht="15.75" customHeight="1">
      <c r="A18" s="1973" t="str">
        <v/>
      </c>
      <c r="B18" s="589">
        <f ca="1"/>
        <v>0</v>
      </c>
      <c r="C18" s="590">
        <f ca="1"/>
        <v>0</v>
      </c>
      <c r="D18" s="590">
        <f ca="1"/>
        <v>0</v>
      </c>
      <c r="E18" s="590">
        <f ca="1"/>
        <v>0</v>
      </c>
      <c r="F18" s="590">
        <f ca="1"/>
        <v>0</v>
      </c>
      <c r="G18" s="590">
        <f ca="1"/>
        <v>0</v>
      </c>
      <c r="H18" s="590">
        <f ca="1"/>
        <v>0</v>
      </c>
      <c r="I18" s="590">
        <f ca="1"/>
        <v>0</v>
      </c>
      <c r="J18" s="590">
        <f ca="1"/>
        <v>0</v>
      </c>
      <c r="K18" s="590">
        <f ca="1"/>
        <v>0</v>
      </c>
      <c r="L18" s="590">
        <f ca="1"/>
        <v>0</v>
      </c>
      <c r="M18" s="599">
        <f ca="1"/>
        <v>0</v>
      </c>
      <c r="N18" s="583">
        <f t="shared" ca="1" si="1"/>
        <v>0</v>
      </c>
      <c r="O18" s="61"/>
    </row>
    <row r="19" spans="1:15" ht="15.75" customHeight="1">
      <c r="A19" s="1973" t="str">
        <v/>
      </c>
      <c r="B19" s="589">
        <f ca="1"/>
        <v>0</v>
      </c>
      <c r="C19" s="590">
        <f ca="1"/>
        <v>0</v>
      </c>
      <c r="D19" s="590">
        <f ca="1"/>
        <v>0</v>
      </c>
      <c r="E19" s="590">
        <f ca="1"/>
        <v>0</v>
      </c>
      <c r="F19" s="590">
        <f ca="1"/>
        <v>0</v>
      </c>
      <c r="G19" s="590">
        <f ca="1"/>
        <v>0</v>
      </c>
      <c r="H19" s="590">
        <f ca="1"/>
        <v>0</v>
      </c>
      <c r="I19" s="590">
        <f ca="1"/>
        <v>0</v>
      </c>
      <c r="J19" s="590">
        <f ca="1"/>
        <v>0</v>
      </c>
      <c r="K19" s="590">
        <f ca="1"/>
        <v>0</v>
      </c>
      <c r="L19" s="590">
        <f ca="1"/>
        <v>0</v>
      </c>
      <c r="M19" s="599">
        <f ca="1"/>
        <v>0</v>
      </c>
      <c r="N19" s="583">
        <f t="shared" ca="1" si="1"/>
        <v>0</v>
      </c>
      <c r="O19" s="61"/>
    </row>
    <row r="20" spans="1:15" ht="15.75" customHeight="1">
      <c r="A20" s="1973" t="str">
        <v/>
      </c>
      <c r="B20" s="589">
        <f ca="1"/>
        <v>0</v>
      </c>
      <c r="C20" s="590">
        <f ca="1"/>
        <v>0</v>
      </c>
      <c r="D20" s="590">
        <f ca="1"/>
        <v>0</v>
      </c>
      <c r="E20" s="590">
        <f ca="1"/>
        <v>0</v>
      </c>
      <c r="F20" s="590">
        <f ca="1"/>
        <v>0</v>
      </c>
      <c r="G20" s="590">
        <f ca="1"/>
        <v>0</v>
      </c>
      <c r="H20" s="590">
        <f ca="1"/>
        <v>0</v>
      </c>
      <c r="I20" s="590">
        <f ca="1"/>
        <v>0</v>
      </c>
      <c r="J20" s="590">
        <f ca="1"/>
        <v>0</v>
      </c>
      <c r="K20" s="590">
        <f ca="1"/>
        <v>0</v>
      </c>
      <c r="L20" s="590">
        <f ca="1"/>
        <v>0</v>
      </c>
      <c r="M20" s="599">
        <f ca="1"/>
        <v>0</v>
      </c>
      <c r="N20" s="583">
        <f t="shared" ca="1" si="1"/>
        <v>0</v>
      </c>
      <c r="O20" s="61"/>
    </row>
    <row r="21" spans="1:15" ht="15.75" customHeight="1">
      <c r="A21" s="1973" t="str">
        <v/>
      </c>
      <c r="B21" s="589">
        <f ca="1"/>
        <v>0</v>
      </c>
      <c r="C21" s="590">
        <f ca="1"/>
        <v>0</v>
      </c>
      <c r="D21" s="590">
        <f ca="1"/>
        <v>0</v>
      </c>
      <c r="E21" s="590">
        <f ca="1"/>
        <v>0</v>
      </c>
      <c r="F21" s="590">
        <f ca="1"/>
        <v>0</v>
      </c>
      <c r="G21" s="590">
        <f ca="1"/>
        <v>0</v>
      </c>
      <c r="H21" s="590">
        <f ca="1"/>
        <v>0</v>
      </c>
      <c r="I21" s="590">
        <f ca="1"/>
        <v>0</v>
      </c>
      <c r="J21" s="590">
        <f ca="1"/>
        <v>0</v>
      </c>
      <c r="K21" s="590">
        <f ca="1"/>
        <v>0</v>
      </c>
      <c r="L21" s="590">
        <f ca="1"/>
        <v>0</v>
      </c>
      <c r="M21" s="599">
        <f ca="1"/>
        <v>0</v>
      </c>
      <c r="N21" s="583">
        <f t="shared" ca="1" si="1"/>
        <v>0</v>
      </c>
      <c r="O21" s="61"/>
    </row>
    <row r="22" spans="1:15" ht="15.75" customHeight="1">
      <c r="A22" s="1973" t="str">
        <v/>
      </c>
      <c r="B22" s="589">
        <f ca="1"/>
        <v>0</v>
      </c>
      <c r="C22" s="590">
        <f ca="1"/>
        <v>0</v>
      </c>
      <c r="D22" s="590">
        <f ca="1"/>
        <v>0</v>
      </c>
      <c r="E22" s="590">
        <f ca="1"/>
        <v>0</v>
      </c>
      <c r="F22" s="590">
        <f ca="1"/>
        <v>0</v>
      </c>
      <c r="G22" s="590">
        <f ca="1"/>
        <v>0</v>
      </c>
      <c r="H22" s="590">
        <f ca="1"/>
        <v>0</v>
      </c>
      <c r="I22" s="590">
        <f ca="1"/>
        <v>0</v>
      </c>
      <c r="J22" s="590">
        <f ca="1"/>
        <v>0</v>
      </c>
      <c r="K22" s="590">
        <f ca="1"/>
        <v>0</v>
      </c>
      <c r="L22" s="590">
        <f ca="1"/>
        <v>0</v>
      </c>
      <c r="M22" s="599">
        <f ca="1"/>
        <v>0</v>
      </c>
      <c r="N22" s="583">
        <f t="shared" ca="1" si="1"/>
        <v>0</v>
      </c>
      <c r="O22" s="61"/>
    </row>
    <row r="23" spans="1:15" ht="15.75" customHeight="1">
      <c r="A23" s="1973" t="str">
        <v/>
      </c>
      <c r="B23" s="589">
        <f ca="1"/>
        <v>0</v>
      </c>
      <c r="C23" s="590">
        <f ca="1"/>
        <v>0</v>
      </c>
      <c r="D23" s="590">
        <f ca="1"/>
        <v>0</v>
      </c>
      <c r="E23" s="590">
        <f ca="1"/>
        <v>0</v>
      </c>
      <c r="F23" s="590">
        <f ca="1"/>
        <v>0</v>
      </c>
      <c r="G23" s="590">
        <f ca="1"/>
        <v>0</v>
      </c>
      <c r="H23" s="590">
        <f ca="1"/>
        <v>0</v>
      </c>
      <c r="I23" s="590">
        <f ca="1"/>
        <v>0</v>
      </c>
      <c r="J23" s="590">
        <f ca="1"/>
        <v>0</v>
      </c>
      <c r="K23" s="590">
        <f ca="1"/>
        <v>0</v>
      </c>
      <c r="L23" s="590">
        <f ca="1"/>
        <v>0</v>
      </c>
      <c r="M23" s="599">
        <f ca="1"/>
        <v>0</v>
      </c>
      <c r="N23" s="583">
        <f t="shared" ca="1" si="1"/>
        <v>0</v>
      </c>
      <c r="O23" s="61"/>
    </row>
    <row r="24" spans="1:15" ht="15.75" customHeight="1" thickBot="1">
      <c r="A24" s="1974" t="str">
        <v/>
      </c>
      <c r="B24" s="591">
        <f ca="1"/>
        <v>0</v>
      </c>
      <c r="C24" s="592">
        <f ca="1"/>
        <v>0</v>
      </c>
      <c r="D24" s="592">
        <f ca="1"/>
        <v>0</v>
      </c>
      <c r="E24" s="592">
        <f ca="1"/>
        <v>0</v>
      </c>
      <c r="F24" s="592">
        <f ca="1"/>
        <v>0</v>
      </c>
      <c r="G24" s="592">
        <f ca="1"/>
        <v>0</v>
      </c>
      <c r="H24" s="592">
        <f ca="1"/>
        <v>0</v>
      </c>
      <c r="I24" s="592">
        <f ca="1"/>
        <v>0</v>
      </c>
      <c r="J24" s="592">
        <f ca="1"/>
        <v>0</v>
      </c>
      <c r="K24" s="592">
        <f ca="1"/>
        <v>0</v>
      </c>
      <c r="L24" s="592">
        <f ca="1"/>
        <v>0</v>
      </c>
      <c r="M24" s="600">
        <f ca="1"/>
        <v>0</v>
      </c>
      <c r="N24" s="593">
        <f t="shared" ca="1" si="1"/>
        <v>0</v>
      </c>
      <c r="O24" s="61"/>
    </row>
    <row r="25" spans="1:15" ht="15.75" customHeight="1" thickBot="1">
      <c r="A25" s="428" t="s">
        <v>15</v>
      </c>
      <c r="B25" s="595">
        <f t="shared" ref="B25:M25" ca="1" si="2">B17+B18+B19+B20+B21+B22+B23+B24</f>
        <v>2884</v>
      </c>
      <c r="C25" s="596">
        <f t="shared" ca="1" si="2"/>
        <v>3605</v>
      </c>
      <c r="D25" s="596">
        <f t="shared" ca="1" si="2"/>
        <v>3965.5</v>
      </c>
      <c r="E25" s="596">
        <f t="shared" ca="1" si="2"/>
        <v>3785.25</v>
      </c>
      <c r="F25" s="596">
        <f t="shared" ca="1" si="2"/>
        <v>3244.5</v>
      </c>
      <c r="G25" s="596">
        <f t="shared" ca="1" si="2"/>
        <v>3064.25</v>
      </c>
      <c r="H25" s="596">
        <f t="shared" ca="1" si="2"/>
        <v>2884</v>
      </c>
      <c r="I25" s="596">
        <f t="shared" ca="1" si="2"/>
        <v>2163</v>
      </c>
      <c r="J25" s="596">
        <f t="shared" ca="1" si="2"/>
        <v>2884</v>
      </c>
      <c r="K25" s="596">
        <f t="shared" ca="1" si="2"/>
        <v>3424.75</v>
      </c>
      <c r="L25" s="596">
        <f t="shared" ca="1" si="2"/>
        <v>3605</v>
      </c>
      <c r="M25" s="597">
        <f t="shared" ca="1" si="2"/>
        <v>4326</v>
      </c>
      <c r="N25" s="594">
        <f t="shared" ca="1" si="1"/>
        <v>39835.25</v>
      </c>
      <c r="O25" s="61"/>
    </row>
    <row r="26" spans="1:15" ht="15">
      <c r="A26" s="213"/>
    </row>
    <row r="27" spans="1:15" ht="15">
      <c r="A27" s="213"/>
    </row>
    <row r="28" spans="1:15" ht="23.25" customHeight="1">
      <c r="A28" s="67" t="str">
        <f>'Prev.Ventas 0'!A28</f>
        <v>Estacionalidad de las Ventas</v>
      </c>
      <c r="B28" s="61"/>
      <c r="D28" s="421" t="str">
        <f>E1</f>
        <v>Año 2:  2028</v>
      </c>
    </row>
    <row r="29" spans="1:15" ht="22.5">
      <c r="A29" s="67" t="str">
        <f>'Datos Básicos'!B9</f>
        <v>nombre empresa</v>
      </c>
    </row>
    <row r="30" spans="1:15" ht="14.25" customHeight="1" thickBot="1">
      <c r="A30" s="59"/>
    </row>
    <row r="31" spans="1:15" s="443" customFormat="1" ht="18.75" customHeight="1" thickBot="1">
      <c r="A31" s="448" t="s">
        <v>36</v>
      </c>
      <c r="B31" s="438" t="str">
        <f t="array" ref="B31:M31">meses</f>
        <v>enero</v>
      </c>
      <c r="C31" s="438" t="str">
        <v>febrero</v>
      </c>
      <c r="D31" s="438" t="str">
        <v>marzo</v>
      </c>
      <c r="E31" s="438" t="str">
        <v>abril</v>
      </c>
      <c r="F31" s="438" t="str">
        <v>mayo</v>
      </c>
      <c r="G31" s="438" t="str">
        <v>junio</v>
      </c>
      <c r="H31" s="438" t="str">
        <v>julio</v>
      </c>
      <c r="I31" s="438" t="str">
        <v>agosto</v>
      </c>
      <c r="J31" s="438" t="str">
        <v>septiembre</v>
      </c>
      <c r="K31" s="438" t="str">
        <v>octubre</v>
      </c>
      <c r="L31" s="438" t="str">
        <v>noviembre</v>
      </c>
      <c r="M31" s="448" t="str">
        <v>diciembre</v>
      </c>
      <c r="N31" s="438" t="s">
        <v>15</v>
      </c>
      <c r="O31" s="442"/>
    </row>
    <row r="32" spans="1:15" ht="18.75" customHeight="1">
      <c r="A32" s="1988" t="str">
        <f t="array" ref="A32:A39">productos</f>
        <v>producto o servicio</v>
      </c>
      <c r="B32" s="1993" t="str">
        <f t="array" aca="1" ref="B32:M39" ca="1">IF(OR($N17:$N24=0,B17:M24=""),"",B17:M24/$N17:$N24)</f>
        <v/>
      </c>
      <c r="C32" s="430" t="str">
        <f ca="1"/>
        <v/>
      </c>
      <c r="D32" s="430" t="str">
        <f ca="1"/>
        <v/>
      </c>
      <c r="E32" s="430" t="str">
        <f ca="1"/>
        <v/>
      </c>
      <c r="F32" s="430" t="str">
        <f ca="1"/>
        <v/>
      </c>
      <c r="G32" s="430" t="str">
        <f ca="1"/>
        <v/>
      </c>
      <c r="H32" s="430" t="str">
        <f ca="1"/>
        <v/>
      </c>
      <c r="I32" s="430" t="str">
        <f ca="1"/>
        <v/>
      </c>
      <c r="J32" s="430" t="str">
        <f ca="1"/>
        <v/>
      </c>
      <c r="K32" s="430" t="str">
        <f ca="1"/>
        <v/>
      </c>
      <c r="L32" s="430" t="str">
        <f ca="1"/>
        <v/>
      </c>
      <c r="M32" s="431" t="str">
        <f ca="1"/>
        <v/>
      </c>
      <c r="N32" s="575">
        <f t="shared" ref="N32:N40" ca="1" si="3">SUM(B32:M32)</f>
        <v>0</v>
      </c>
    </row>
    <row r="33" spans="1:20" ht="18.75" customHeight="1">
      <c r="A33" s="1989" t="str">
        <v/>
      </c>
      <c r="B33" s="1994" t="str">
        <f ca="1"/>
        <v/>
      </c>
      <c r="C33" s="432" t="str">
        <f ca="1"/>
        <v/>
      </c>
      <c r="D33" s="432" t="str">
        <f ca="1"/>
        <v/>
      </c>
      <c r="E33" s="432" t="str">
        <f ca="1"/>
        <v/>
      </c>
      <c r="F33" s="432" t="str">
        <f ca="1"/>
        <v/>
      </c>
      <c r="G33" s="432" t="str">
        <f ca="1"/>
        <v/>
      </c>
      <c r="H33" s="432" t="str">
        <f ca="1"/>
        <v/>
      </c>
      <c r="I33" s="432" t="str">
        <f ca="1"/>
        <v/>
      </c>
      <c r="J33" s="432" t="str">
        <f ca="1"/>
        <v/>
      </c>
      <c r="K33" s="432" t="str">
        <f ca="1"/>
        <v/>
      </c>
      <c r="L33" s="432" t="str">
        <f ca="1"/>
        <v/>
      </c>
      <c r="M33" s="433" t="str">
        <f ca="1"/>
        <v/>
      </c>
      <c r="N33" s="576">
        <f t="shared" ca="1" si="3"/>
        <v>0</v>
      </c>
    </row>
    <row r="34" spans="1:20" ht="18.75" customHeight="1">
      <c r="A34" s="1989" t="str">
        <v/>
      </c>
      <c r="B34" s="1994" t="str">
        <f ca="1"/>
        <v/>
      </c>
      <c r="C34" s="432" t="str">
        <f ca="1"/>
        <v/>
      </c>
      <c r="D34" s="432" t="str">
        <f ca="1"/>
        <v/>
      </c>
      <c r="E34" s="432" t="str">
        <f ca="1"/>
        <v/>
      </c>
      <c r="F34" s="432" t="str">
        <f ca="1"/>
        <v/>
      </c>
      <c r="G34" s="432" t="str">
        <f ca="1"/>
        <v/>
      </c>
      <c r="H34" s="432" t="str">
        <f ca="1"/>
        <v/>
      </c>
      <c r="I34" s="432" t="str">
        <f ca="1"/>
        <v/>
      </c>
      <c r="J34" s="432" t="str">
        <f ca="1"/>
        <v/>
      </c>
      <c r="K34" s="432" t="str">
        <f ca="1"/>
        <v/>
      </c>
      <c r="L34" s="432" t="str">
        <f ca="1"/>
        <v/>
      </c>
      <c r="M34" s="433" t="str">
        <f ca="1"/>
        <v/>
      </c>
      <c r="N34" s="576">
        <f t="shared" ca="1" si="3"/>
        <v>0</v>
      </c>
    </row>
    <row r="35" spans="1:20" ht="18.75" customHeight="1">
      <c r="A35" s="1989" t="str">
        <v/>
      </c>
      <c r="B35" s="1994" t="str">
        <f ca="1"/>
        <v/>
      </c>
      <c r="C35" s="432" t="str">
        <f ca="1"/>
        <v/>
      </c>
      <c r="D35" s="432" t="str">
        <f ca="1"/>
        <v/>
      </c>
      <c r="E35" s="432" t="str">
        <f ca="1"/>
        <v/>
      </c>
      <c r="F35" s="432" t="str">
        <f ca="1"/>
        <v/>
      </c>
      <c r="G35" s="432" t="str">
        <f ca="1"/>
        <v/>
      </c>
      <c r="H35" s="432" t="str">
        <f ca="1"/>
        <v/>
      </c>
      <c r="I35" s="432" t="str">
        <f ca="1"/>
        <v/>
      </c>
      <c r="J35" s="432" t="str">
        <f ca="1"/>
        <v/>
      </c>
      <c r="K35" s="432" t="str">
        <f ca="1"/>
        <v/>
      </c>
      <c r="L35" s="432" t="str">
        <f ca="1"/>
        <v/>
      </c>
      <c r="M35" s="433" t="str">
        <f ca="1"/>
        <v/>
      </c>
      <c r="N35" s="576">
        <f t="shared" ca="1" si="3"/>
        <v>0</v>
      </c>
    </row>
    <row r="36" spans="1:20" ht="18.75" customHeight="1">
      <c r="A36" s="1989" t="str">
        <v/>
      </c>
      <c r="B36" s="1994" t="str">
        <f ca="1"/>
        <v/>
      </c>
      <c r="C36" s="432" t="str">
        <f ca="1"/>
        <v/>
      </c>
      <c r="D36" s="432" t="str">
        <f ca="1"/>
        <v/>
      </c>
      <c r="E36" s="432" t="str">
        <f ca="1"/>
        <v/>
      </c>
      <c r="F36" s="432" t="str">
        <f ca="1"/>
        <v/>
      </c>
      <c r="G36" s="432" t="str">
        <f ca="1"/>
        <v/>
      </c>
      <c r="H36" s="432" t="str">
        <f ca="1"/>
        <v/>
      </c>
      <c r="I36" s="432" t="str">
        <f ca="1"/>
        <v/>
      </c>
      <c r="J36" s="432" t="str">
        <f ca="1"/>
        <v/>
      </c>
      <c r="K36" s="432" t="str">
        <f ca="1"/>
        <v/>
      </c>
      <c r="L36" s="432" t="str">
        <f ca="1"/>
        <v/>
      </c>
      <c r="M36" s="433" t="str">
        <f ca="1"/>
        <v/>
      </c>
      <c r="N36" s="576">
        <f t="shared" ca="1" si="3"/>
        <v>0</v>
      </c>
    </row>
    <row r="37" spans="1:20" ht="18.75" customHeight="1">
      <c r="A37" s="1989" t="str">
        <v/>
      </c>
      <c r="B37" s="1994" t="str">
        <f ca="1"/>
        <v/>
      </c>
      <c r="C37" s="432" t="str">
        <f ca="1"/>
        <v/>
      </c>
      <c r="D37" s="432" t="str">
        <f ca="1"/>
        <v/>
      </c>
      <c r="E37" s="432" t="str">
        <f ca="1"/>
        <v/>
      </c>
      <c r="F37" s="432" t="str">
        <f ca="1"/>
        <v/>
      </c>
      <c r="G37" s="432" t="str">
        <f ca="1"/>
        <v/>
      </c>
      <c r="H37" s="432" t="str">
        <f ca="1"/>
        <v/>
      </c>
      <c r="I37" s="432" t="str">
        <f ca="1"/>
        <v/>
      </c>
      <c r="J37" s="432" t="str">
        <f ca="1"/>
        <v/>
      </c>
      <c r="K37" s="432" t="str">
        <f ca="1"/>
        <v/>
      </c>
      <c r="L37" s="432" t="str">
        <f ca="1"/>
        <v/>
      </c>
      <c r="M37" s="433" t="str">
        <f ca="1"/>
        <v/>
      </c>
      <c r="N37" s="576">
        <f t="shared" ca="1" si="3"/>
        <v>0</v>
      </c>
    </row>
    <row r="38" spans="1:20" ht="18.75" customHeight="1">
      <c r="A38" s="1989" t="str">
        <v/>
      </c>
      <c r="B38" s="1994" t="str">
        <f ca="1"/>
        <v/>
      </c>
      <c r="C38" s="432" t="str">
        <f ca="1"/>
        <v/>
      </c>
      <c r="D38" s="432" t="str">
        <f ca="1"/>
        <v/>
      </c>
      <c r="E38" s="432" t="str">
        <f ca="1"/>
        <v/>
      </c>
      <c r="F38" s="432" t="str">
        <f ca="1"/>
        <v/>
      </c>
      <c r="G38" s="432" t="str">
        <f ca="1"/>
        <v/>
      </c>
      <c r="H38" s="432" t="str">
        <f ca="1"/>
        <v/>
      </c>
      <c r="I38" s="432" t="str">
        <f ca="1"/>
        <v/>
      </c>
      <c r="J38" s="432" t="str">
        <f ca="1"/>
        <v/>
      </c>
      <c r="K38" s="432" t="str">
        <f ca="1"/>
        <v/>
      </c>
      <c r="L38" s="432" t="str">
        <f ca="1"/>
        <v/>
      </c>
      <c r="M38" s="433" t="str">
        <f ca="1"/>
        <v/>
      </c>
      <c r="N38" s="576">
        <f t="shared" ca="1" si="3"/>
        <v>0</v>
      </c>
    </row>
    <row r="39" spans="1:20" ht="18.75" customHeight="1" thickBot="1">
      <c r="A39" s="1990" t="str">
        <v/>
      </c>
      <c r="B39" s="1995" t="str">
        <f ca="1"/>
        <v/>
      </c>
      <c r="C39" s="434" t="str">
        <f ca="1"/>
        <v/>
      </c>
      <c r="D39" s="434" t="str">
        <f ca="1"/>
        <v/>
      </c>
      <c r="E39" s="434" t="str">
        <f ca="1"/>
        <v/>
      </c>
      <c r="F39" s="434" t="str">
        <f ca="1"/>
        <v/>
      </c>
      <c r="G39" s="434" t="str">
        <f ca="1"/>
        <v/>
      </c>
      <c r="H39" s="434" t="str">
        <f ca="1"/>
        <v/>
      </c>
      <c r="I39" s="434" t="str">
        <f ca="1"/>
        <v/>
      </c>
      <c r="J39" s="434" t="str">
        <f ca="1"/>
        <v/>
      </c>
      <c r="K39" s="434" t="str">
        <f ca="1"/>
        <v/>
      </c>
      <c r="L39" s="434" t="str">
        <f ca="1"/>
        <v/>
      </c>
      <c r="M39" s="435" t="str">
        <f ca="1"/>
        <v/>
      </c>
      <c r="N39" s="577">
        <f t="shared" ca="1" si="3"/>
        <v>0</v>
      </c>
    </row>
    <row r="40" spans="1:20" s="35" customFormat="1" ht="18.75" customHeight="1" thickBot="1">
      <c r="A40" s="1991" t="s">
        <v>37</v>
      </c>
      <c r="B40" s="1996">
        <f t="array" aca="1" ref="B40:M40" ca="1">B25:M25/$N$25</f>
        <v>7.2398190045248875E-2</v>
      </c>
      <c r="C40" s="436">
        <f ca="1"/>
        <v>9.0497737556561084E-2</v>
      </c>
      <c r="D40" s="436">
        <f ca="1"/>
        <v>9.9547511312217188E-2</v>
      </c>
      <c r="E40" s="436">
        <f ca="1"/>
        <v>9.5022624434389136E-2</v>
      </c>
      <c r="F40" s="436">
        <f ca="1"/>
        <v>8.1447963800904979E-2</v>
      </c>
      <c r="G40" s="436">
        <f ca="1"/>
        <v>7.6923076923076927E-2</v>
      </c>
      <c r="H40" s="436">
        <f ca="1"/>
        <v>7.2398190045248875E-2</v>
      </c>
      <c r="I40" s="436">
        <f ca="1"/>
        <v>5.4298642533936653E-2</v>
      </c>
      <c r="J40" s="436">
        <f ca="1"/>
        <v>7.2398190045248875E-2</v>
      </c>
      <c r="K40" s="436">
        <f ca="1"/>
        <v>8.5972850678733032E-2</v>
      </c>
      <c r="L40" s="436">
        <f ca="1"/>
        <v>9.0497737556561084E-2</v>
      </c>
      <c r="M40" s="436">
        <f ca="1"/>
        <v>0.10859728506787331</v>
      </c>
      <c r="N40" s="437">
        <f t="shared" ca="1" si="3"/>
        <v>1</v>
      </c>
      <c r="O40" s="232"/>
      <c r="P40" s="61"/>
      <c r="Q40" s="61"/>
      <c r="R40" s="61"/>
      <c r="S40" s="61"/>
      <c r="T40" s="61"/>
    </row>
    <row r="41" spans="1:20" s="35" customFormat="1" ht="18.75" customHeight="1"/>
    <row r="43" spans="1:20">
      <c r="B43" s="61"/>
    </row>
    <row r="44" spans="1:20">
      <c r="B44" s="61"/>
    </row>
    <row r="45" spans="1:20">
      <c r="B45" s="61"/>
    </row>
    <row r="46" spans="1:20">
      <c r="B46" s="61"/>
    </row>
    <row r="47" spans="1:20">
      <c r="B47" s="61"/>
    </row>
    <row r="48" spans="1:20">
      <c r="B48" s="61"/>
    </row>
    <row r="49" spans="2:2">
      <c r="B49" s="61"/>
    </row>
    <row r="50" spans="2:2">
      <c r="B50" s="61"/>
    </row>
    <row r="51" spans="2:2">
      <c r="B51" s="61"/>
    </row>
    <row r="52" spans="2:2">
      <c r="B52" s="61"/>
    </row>
    <row r="53" spans="2:2">
      <c r="B53" s="61"/>
    </row>
    <row r="54" spans="2:2">
      <c r="B54" s="61"/>
    </row>
    <row r="55" spans="2:2">
      <c r="B55" s="61"/>
    </row>
    <row r="56" spans="2:2">
      <c r="B56" s="61"/>
    </row>
    <row r="57" spans="2:2">
      <c r="B57" s="61"/>
    </row>
    <row r="58" spans="2:2">
      <c r="B58" s="61"/>
    </row>
    <row r="59" spans="2:2">
      <c r="B59" s="61"/>
    </row>
    <row r="60" spans="2:2">
      <c r="B60" s="61"/>
    </row>
    <row r="61" spans="2:2">
      <c r="B61" s="61"/>
    </row>
    <row r="62" spans="2:2">
      <c r="B62" s="61"/>
    </row>
    <row r="63" spans="2:2">
      <c r="B63" s="61"/>
    </row>
    <row r="64" spans="2:2">
      <c r="B64" s="61"/>
    </row>
    <row r="65" spans="2:2">
      <c r="B65" s="61"/>
    </row>
    <row r="66" spans="2:2">
      <c r="B66" s="61"/>
    </row>
    <row r="80" spans="2:2">
      <c r="B80" s="61"/>
    </row>
    <row r="81" spans="2:2">
      <c r="B81" s="61"/>
    </row>
  </sheetData>
  <sheetProtection sheet="1" objects="1" scenarios="1"/>
  <phoneticPr fontId="6" type="noConversion"/>
  <conditionalFormatting sqref="B32:M39">
    <cfRule type="expression" dxfId="21" priority="1" stopIfTrue="1">
      <formula>B32=""</formula>
    </cfRule>
  </conditionalFormatting>
  <printOptions horizontalCentered="1" verticalCentered="1"/>
  <pageMargins left="0.38" right="0.19685039370078741" top="0.53" bottom="0.7" header="0.51181102362204722" footer="0.39370078740157483"/>
  <pageSetup paperSize="9" scale="78" fitToHeight="2" orientation="landscape" horizontalDpi="300" verticalDpi="300" r:id="rId1"/>
  <headerFooter alignWithMargins="0">
    <oddFooter>&amp;C&amp;"Tahoma,Normal"&amp;10&amp;A</oddFooter>
  </headerFooter>
  <rowBreaks count="1" manualBreakCount="1">
    <brk id="27"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41">
    <tabColor indexed="61"/>
  </sheetPr>
  <dimension ref="A1:T81"/>
  <sheetViews>
    <sheetView workbookViewId="0"/>
  </sheetViews>
  <sheetFormatPr baseColWidth="10" defaultColWidth="11" defaultRowHeight="12.75"/>
  <cols>
    <col min="1" max="1" width="24.5" style="232" customWidth="1"/>
    <col min="2" max="2" width="15.125" style="60" bestFit="1" customWidth="1"/>
    <col min="3" max="3" width="13" style="61" customWidth="1"/>
    <col min="4" max="9" width="10.125" style="61" customWidth="1"/>
    <col min="10" max="13" width="11.25" style="61" customWidth="1"/>
    <col min="14" max="14" width="10.75" style="61" customWidth="1"/>
    <col min="15" max="15" width="12.25" style="232" customWidth="1"/>
    <col min="16" max="16384" width="11" style="61"/>
  </cols>
  <sheetData>
    <row r="1" spans="1:15" ht="22.5">
      <c r="A1" s="67" t="str">
        <f>'Prev.Ventas 0'!A1</f>
        <v>Previsiones de Ventas de la empresa</v>
      </c>
      <c r="D1" s="522"/>
      <c r="E1" s="421" t="str">
        <f>Parametros!E77</f>
        <v>Año 3:  2029</v>
      </c>
    </row>
    <row r="2" spans="1:15" ht="22.5">
      <c r="A2" s="67" t="str">
        <f>'Datos Básicos'!B9</f>
        <v>nombre empresa</v>
      </c>
    </row>
    <row r="3" spans="1:15" ht="14.25" customHeight="1" thickBot="1">
      <c r="A3" s="59"/>
    </row>
    <row r="4" spans="1:15" s="447" customFormat="1" ht="15.75" customHeight="1" thickBot="1">
      <c r="A4" s="446" t="s">
        <v>167</v>
      </c>
      <c r="B4" s="444" t="str">
        <f t="array" ref="B4:M4">meses</f>
        <v>enero</v>
      </c>
      <c r="C4" s="440" t="str">
        <v>febrero</v>
      </c>
      <c r="D4" s="440" t="str">
        <v>marzo</v>
      </c>
      <c r="E4" s="440" t="str">
        <v>abril</v>
      </c>
      <c r="F4" s="440" t="str">
        <v>mayo</v>
      </c>
      <c r="G4" s="440" t="str">
        <v>junio</v>
      </c>
      <c r="H4" s="440" t="str">
        <v>julio</v>
      </c>
      <c r="I4" s="440" t="str">
        <v>agosto</v>
      </c>
      <c r="J4" s="440" t="str">
        <v>septiembre</v>
      </c>
      <c r="K4" s="440" t="str">
        <v>octubre</v>
      </c>
      <c r="L4" s="440" t="str">
        <v>noviembre</v>
      </c>
      <c r="M4" s="441" t="str">
        <v>diciembre</v>
      </c>
      <c r="N4" s="438" t="s">
        <v>15</v>
      </c>
    </row>
    <row r="5" spans="1:15" ht="15.75" customHeight="1">
      <c r="A5" s="1972" t="str">
        <f t="array" ref="A5:A12">productos</f>
        <v>producto o servicio</v>
      </c>
      <c r="B5" s="578">
        <f t="array" aca="1" ref="B5:M12" ca="1">'Estimaciones Ventas'!B45:M52*Parametros!B$88:M$88</f>
        <v>848.72</v>
      </c>
      <c r="C5" s="579">
        <f ca="1"/>
        <v>1060.9000000000001</v>
      </c>
      <c r="D5" s="579">
        <f ca="1"/>
        <v>1166.99</v>
      </c>
      <c r="E5" s="579">
        <f ca="1"/>
        <v>1113.9449999999999</v>
      </c>
      <c r="F5" s="579">
        <f ca="1"/>
        <v>954.81000000000006</v>
      </c>
      <c r="G5" s="579">
        <f ca="1"/>
        <v>901.76499999999999</v>
      </c>
      <c r="H5" s="579">
        <f ca="1"/>
        <v>848.72</v>
      </c>
      <c r="I5" s="579">
        <f ca="1"/>
        <v>636.54</v>
      </c>
      <c r="J5" s="579">
        <f ca="1"/>
        <v>848.72</v>
      </c>
      <c r="K5" s="579">
        <f ca="1"/>
        <v>1007.855</v>
      </c>
      <c r="L5" s="579">
        <f ca="1"/>
        <v>1060.9000000000001</v>
      </c>
      <c r="M5" s="601">
        <f ca="1"/>
        <v>1273.08</v>
      </c>
      <c r="N5" s="580">
        <f t="shared" ref="N5:N12" ca="1" si="0">SUM(B5:M5)</f>
        <v>11722.945</v>
      </c>
      <c r="O5" s="61"/>
    </row>
    <row r="6" spans="1:15" ht="15.75" customHeight="1">
      <c r="A6" s="1973" t="str">
        <v/>
      </c>
      <c r="B6" s="581">
        <f ca="1"/>
        <v>0</v>
      </c>
      <c r="C6" s="582">
        <f ca="1"/>
        <v>0</v>
      </c>
      <c r="D6" s="582">
        <f ca="1"/>
        <v>0</v>
      </c>
      <c r="E6" s="582">
        <f ca="1"/>
        <v>0</v>
      </c>
      <c r="F6" s="582">
        <f ca="1"/>
        <v>0</v>
      </c>
      <c r="G6" s="582">
        <f ca="1"/>
        <v>0</v>
      </c>
      <c r="H6" s="582">
        <f ca="1"/>
        <v>0</v>
      </c>
      <c r="I6" s="582">
        <f ca="1"/>
        <v>0</v>
      </c>
      <c r="J6" s="582">
        <f ca="1"/>
        <v>0</v>
      </c>
      <c r="K6" s="582">
        <f ca="1"/>
        <v>0</v>
      </c>
      <c r="L6" s="582">
        <f ca="1"/>
        <v>0</v>
      </c>
      <c r="M6" s="602">
        <f ca="1"/>
        <v>0</v>
      </c>
      <c r="N6" s="583">
        <f t="shared" ca="1" si="0"/>
        <v>0</v>
      </c>
      <c r="O6" s="61"/>
    </row>
    <row r="7" spans="1:15" ht="15.75" customHeight="1">
      <c r="A7" s="1973" t="str">
        <v/>
      </c>
      <c r="B7" s="581">
        <f ca="1"/>
        <v>0</v>
      </c>
      <c r="C7" s="582">
        <f ca="1"/>
        <v>0</v>
      </c>
      <c r="D7" s="582">
        <f ca="1"/>
        <v>0</v>
      </c>
      <c r="E7" s="582">
        <f ca="1"/>
        <v>0</v>
      </c>
      <c r="F7" s="582">
        <f ca="1"/>
        <v>0</v>
      </c>
      <c r="G7" s="582">
        <f ca="1"/>
        <v>0</v>
      </c>
      <c r="H7" s="582">
        <f ca="1"/>
        <v>0</v>
      </c>
      <c r="I7" s="582">
        <f ca="1"/>
        <v>0</v>
      </c>
      <c r="J7" s="582">
        <f ca="1"/>
        <v>0</v>
      </c>
      <c r="K7" s="582">
        <f ca="1"/>
        <v>0</v>
      </c>
      <c r="L7" s="582">
        <f ca="1"/>
        <v>0</v>
      </c>
      <c r="M7" s="602">
        <f ca="1"/>
        <v>0</v>
      </c>
      <c r="N7" s="583">
        <f t="shared" ca="1" si="0"/>
        <v>0</v>
      </c>
      <c r="O7" s="61"/>
    </row>
    <row r="8" spans="1:15" ht="15.75" customHeight="1">
      <c r="A8" s="1973" t="str">
        <v/>
      </c>
      <c r="B8" s="581">
        <f ca="1"/>
        <v>0</v>
      </c>
      <c r="C8" s="582">
        <f ca="1"/>
        <v>0</v>
      </c>
      <c r="D8" s="582">
        <f ca="1"/>
        <v>0</v>
      </c>
      <c r="E8" s="582">
        <f ca="1"/>
        <v>0</v>
      </c>
      <c r="F8" s="582">
        <f ca="1"/>
        <v>0</v>
      </c>
      <c r="G8" s="582">
        <f ca="1"/>
        <v>0</v>
      </c>
      <c r="H8" s="582">
        <f ca="1"/>
        <v>0</v>
      </c>
      <c r="I8" s="582">
        <f ca="1"/>
        <v>0</v>
      </c>
      <c r="J8" s="582">
        <f ca="1"/>
        <v>0</v>
      </c>
      <c r="K8" s="582">
        <f ca="1"/>
        <v>0</v>
      </c>
      <c r="L8" s="582">
        <f ca="1"/>
        <v>0</v>
      </c>
      <c r="M8" s="602">
        <f ca="1"/>
        <v>0</v>
      </c>
      <c r="N8" s="583">
        <f t="shared" ca="1" si="0"/>
        <v>0</v>
      </c>
      <c r="O8" s="61"/>
    </row>
    <row r="9" spans="1:15" ht="15.75" customHeight="1">
      <c r="A9" s="1973" t="str">
        <v/>
      </c>
      <c r="B9" s="581">
        <f ca="1"/>
        <v>0</v>
      </c>
      <c r="C9" s="582">
        <f ca="1"/>
        <v>0</v>
      </c>
      <c r="D9" s="582">
        <f ca="1"/>
        <v>0</v>
      </c>
      <c r="E9" s="582">
        <f ca="1"/>
        <v>0</v>
      </c>
      <c r="F9" s="582">
        <f ca="1"/>
        <v>0</v>
      </c>
      <c r="G9" s="582">
        <f ca="1"/>
        <v>0</v>
      </c>
      <c r="H9" s="582">
        <f ca="1"/>
        <v>0</v>
      </c>
      <c r="I9" s="582">
        <f ca="1"/>
        <v>0</v>
      </c>
      <c r="J9" s="582">
        <f ca="1"/>
        <v>0</v>
      </c>
      <c r="K9" s="582">
        <f ca="1"/>
        <v>0</v>
      </c>
      <c r="L9" s="582">
        <f ca="1"/>
        <v>0</v>
      </c>
      <c r="M9" s="602">
        <f ca="1"/>
        <v>0</v>
      </c>
      <c r="N9" s="583">
        <f t="shared" ca="1" si="0"/>
        <v>0</v>
      </c>
      <c r="O9" s="61"/>
    </row>
    <row r="10" spans="1:15" ht="15.75" customHeight="1">
      <c r="A10" s="1973" t="str">
        <v/>
      </c>
      <c r="B10" s="581">
        <f ca="1"/>
        <v>0</v>
      </c>
      <c r="C10" s="582">
        <f ca="1"/>
        <v>0</v>
      </c>
      <c r="D10" s="582">
        <f ca="1"/>
        <v>0</v>
      </c>
      <c r="E10" s="582">
        <f ca="1"/>
        <v>0</v>
      </c>
      <c r="F10" s="582">
        <f ca="1"/>
        <v>0</v>
      </c>
      <c r="G10" s="582">
        <f ca="1"/>
        <v>0</v>
      </c>
      <c r="H10" s="582">
        <f ca="1"/>
        <v>0</v>
      </c>
      <c r="I10" s="582">
        <f ca="1"/>
        <v>0</v>
      </c>
      <c r="J10" s="582">
        <f ca="1"/>
        <v>0</v>
      </c>
      <c r="K10" s="582">
        <f ca="1"/>
        <v>0</v>
      </c>
      <c r="L10" s="582">
        <f ca="1"/>
        <v>0</v>
      </c>
      <c r="M10" s="602">
        <f ca="1"/>
        <v>0</v>
      </c>
      <c r="N10" s="583">
        <f t="shared" ca="1" si="0"/>
        <v>0</v>
      </c>
      <c r="O10" s="61"/>
    </row>
    <row r="11" spans="1:15" ht="15.75" customHeight="1">
      <c r="A11" s="1973" t="str">
        <v/>
      </c>
      <c r="B11" s="581">
        <f ca="1"/>
        <v>0</v>
      </c>
      <c r="C11" s="582">
        <f ca="1"/>
        <v>0</v>
      </c>
      <c r="D11" s="582">
        <f ca="1"/>
        <v>0</v>
      </c>
      <c r="E11" s="582">
        <f ca="1"/>
        <v>0</v>
      </c>
      <c r="F11" s="582">
        <f ca="1"/>
        <v>0</v>
      </c>
      <c r="G11" s="582">
        <f ca="1"/>
        <v>0</v>
      </c>
      <c r="H11" s="582">
        <f ca="1"/>
        <v>0</v>
      </c>
      <c r="I11" s="582">
        <f ca="1"/>
        <v>0</v>
      </c>
      <c r="J11" s="582">
        <f ca="1"/>
        <v>0</v>
      </c>
      <c r="K11" s="582">
        <f ca="1"/>
        <v>0</v>
      </c>
      <c r="L11" s="582">
        <f ca="1"/>
        <v>0</v>
      </c>
      <c r="M11" s="602">
        <f ca="1"/>
        <v>0</v>
      </c>
      <c r="N11" s="583">
        <f t="shared" ca="1" si="0"/>
        <v>0</v>
      </c>
      <c r="O11" s="61"/>
    </row>
    <row r="12" spans="1:15" ht="15.75" customHeight="1" thickBot="1">
      <c r="A12" s="1974" t="str">
        <v/>
      </c>
      <c r="B12" s="584">
        <f ca="1"/>
        <v>0</v>
      </c>
      <c r="C12" s="585">
        <f ca="1"/>
        <v>0</v>
      </c>
      <c r="D12" s="585">
        <f ca="1"/>
        <v>0</v>
      </c>
      <c r="E12" s="585">
        <f ca="1"/>
        <v>0</v>
      </c>
      <c r="F12" s="585">
        <f ca="1"/>
        <v>0</v>
      </c>
      <c r="G12" s="585">
        <f ca="1"/>
        <v>0</v>
      </c>
      <c r="H12" s="585">
        <f ca="1"/>
        <v>0</v>
      </c>
      <c r="I12" s="585">
        <f ca="1"/>
        <v>0</v>
      </c>
      <c r="J12" s="585">
        <f ca="1"/>
        <v>0</v>
      </c>
      <c r="K12" s="585">
        <f ca="1"/>
        <v>0</v>
      </c>
      <c r="L12" s="585">
        <f ca="1"/>
        <v>0</v>
      </c>
      <c r="M12" s="603">
        <f ca="1"/>
        <v>0</v>
      </c>
      <c r="N12" s="586">
        <f t="shared" ca="1" si="0"/>
        <v>0</v>
      </c>
      <c r="O12" s="61"/>
    </row>
    <row r="13" spans="1:15" ht="15">
      <c r="A13" s="72"/>
    </row>
    <row r="14" spans="1:15" ht="15">
      <c r="A14" s="72"/>
    </row>
    <row r="15" spans="1:15" ht="15.75" thickBot="1">
      <c r="A15" s="213"/>
    </row>
    <row r="16" spans="1:15" s="445" customFormat="1" ht="15.75" customHeight="1" thickBot="1">
      <c r="A16" s="446" t="str">
        <f>'Prev.Ventas 0'!A16</f>
        <v>Ventas (Euros)</v>
      </c>
      <c r="B16" s="444" t="str">
        <f t="array" ref="B16:M16">meses</f>
        <v>enero</v>
      </c>
      <c r="C16" s="440" t="str">
        <v>febrero</v>
      </c>
      <c r="D16" s="440" t="str">
        <v>marzo</v>
      </c>
      <c r="E16" s="440" t="str">
        <v>abril</v>
      </c>
      <c r="F16" s="440" t="str">
        <v>mayo</v>
      </c>
      <c r="G16" s="440" t="str">
        <v>junio</v>
      </c>
      <c r="H16" s="440" t="str">
        <v>julio</v>
      </c>
      <c r="I16" s="440" t="str">
        <v>agosto</v>
      </c>
      <c r="J16" s="440" t="str">
        <v>septiembre</v>
      </c>
      <c r="K16" s="440" t="str">
        <v>octubre</v>
      </c>
      <c r="L16" s="440" t="str">
        <v>noviembre</v>
      </c>
      <c r="M16" s="441" t="str">
        <v>diciembre</v>
      </c>
      <c r="N16" s="438" t="s">
        <v>15</v>
      </c>
    </row>
    <row r="17" spans="1:15" ht="15.75" customHeight="1">
      <c r="A17" s="1972" t="str">
        <f t="array" ref="A17:A24">productos</f>
        <v>producto o servicio</v>
      </c>
      <c r="B17" s="587">
        <f t="array" aca="1" ref="B17:M24" ca="1">B5:M12*'Precios-CV'!$H7:$H14</f>
        <v>2970.52</v>
      </c>
      <c r="C17" s="588">
        <f ca="1"/>
        <v>3713.1500000000005</v>
      </c>
      <c r="D17" s="588">
        <f ca="1"/>
        <v>4084.4650000000001</v>
      </c>
      <c r="E17" s="588">
        <f ca="1"/>
        <v>3898.8074999999999</v>
      </c>
      <c r="F17" s="588">
        <f ca="1"/>
        <v>3341.835</v>
      </c>
      <c r="G17" s="588">
        <f ca="1"/>
        <v>3156.1774999999998</v>
      </c>
      <c r="H17" s="588">
        <f ca="1"/>
        <v>2970.52</v>
      </c>
      <c r="I17" s="588">
        <f ca="1"/>
        <v>2227.89</v>
      </c>
      <c r="J17" s="588">
        <f ca="1"/>
        <v>2970.52</v>
      </c>
      <c r="K17" s="588">
        <f ca="1"/>
        <v>3527.4925000000003</v>
      </c>
      <c r="L17" s="588">
        <f ca="1"/>
        <v>3713.1500000000005</v>
      </c>
      <c r="M17" s="598">
        <f ca="1"/>
        <v>4455.78</v>
      </c>
      <c r="N17" s="580">
        <f t="shared" ref="N17:N25" ca="1" si="1">SUM(B17:M17)</f>
        <v>41030.307500000003</v>
      </c>
      <c r="O17" s="61"/>
    </row>
    <row r="18" spans="1:15" ht="15.75" customHeight="1">
      <c r="A18" s="1973" t="str">
        <v/>
      </c>
      <c r="B18" s="589">
        <f ca="1"/>
        <v>0</v>
      </c>
      <c r="C18" s="590">
        <f ca="1"/>
        <v>0</v>
      </c>
      <c r="D18" s="590">
        <f ca="1"/>
        <v>0</v>
      </c>
      <c r="E18" s="590">
        <f ca="1"/>
        <v>0</v>
      </c>
      <c r="F18" s="590">
        <f ca="1"/>
        <v>0</v>
      </c>
      <c r="G18" s="590">
        <f ca="1"/>
        <v>0</v>
      </c>
      <c r="H18" s="590">
        <f ca="1"/>
        <v>0</v>
      </c>
      <c r="I18" s="590">
        <f ca="1"/>
        <v>0</v>
      </c>
      <c r="J18" s="590">
        <f ca="1"/>
        <v>0</v>
      </c>
      <c r="K18" s="590">
        <f ca="1"/>
        <v>0</v>
      </c>
      <c r="L18" s="590">
        <f ca="1"/>
        <v>0</v>
      </c>
      <c r="M18" s="599">
        <f ca="1"/>
        <v>0</v>
      </c>
      <c r="N18" s="583">
        <f t="shared" ca="1" si="1"/>
        <v>0</v>
      </c>
      <c r="O18" s="61"/>
    </row>
    <row r="19" spans="1:15" ht="15.75" customHeight="1">
      <c r="A19" s="1973" t="str">
        <v/>
      </c>
      <c r="B19" s="589">
        <f ca="1"/>
        <v>0</v>
      </c>
      <c r="C19" s="590">
        <f ca="1"/>
        <v>0</v>
      </c>
      <c r="D19" s="590">
        <f ca="1"/>
        <v>0</v>
      </c>
      <c r="E19" s="590">
        <f ca="1"/>
        <v>0</v>
      </c>
      <c r="F19" s="590">
        <f ca="1"/>
        <v>0</v>
      </c>
      <c r="G19" s="590">
        <f ca="1"/>
        <v>0</v>
      </c>
      <c r="H19" s="590">
        <f ca="1"/>
        <v>0</v>
      </c>
      <c r="I19" s="590">
        <f ca="1"/>
        <v>0</v>
      </c>
      <c r="J19" s="590">
        <f ca="1"/>
        <v>0</v>
      </c>
      <c r="K19" s="590">
        <f ca="1"/>
        <v>0</v>
      </c>
      <c r="L19" s="590">
        <f ca="1"/>
        <v>0</v>
      </c>
      <c r="M19" s="599">
        <f ca="1"/>
        <v>0</v>
      </c>
      <c r="N19" s="583">
        <f t="shared" ca="1" si="1"/>
        <v>0</v>
      </c>
      <c r="O19" s="61"/>
    </row>
    <row r="20" spans="1:15" ht="15.75" customHeight="1">
      <c r="A20" s="1973" t="str">
        <v/>
      </c>
      <c r="B20" s="589">
        <f ca="1"/>
        <v>0</v>
      </c>
      <c r="C20" s="590">
        <f ca="1"/>
        <v>0</v>
      </c>
      <c r="D20" s="590">
        <f ca="1"/>
        <v>0</v>
      </c>
      <c r="E20" s="590">
        <f ca="1"/>
        <v>0</v>
      </c>
      <c r="F20" s="590">
        <f ca="1"/>
        <v>0</v>
      </c>
      <c r="G20" s="590">
        <f ca="1"/>
        <v>0</v>
      </c>
      <c r="H20" s="590">
        <f ca="1"/>
        <v>0</v>
      </c>
      <c r="I20" s="590">
        <f ca="1"/>
        <v>0</v>
      </c>
      <c r="J20" s="590">
        <f ca="1"/>
        <v>0</v>
      </c>
      <c r="K20" s="590">
        <f ca="1"/>
        <v>0</v>
      </c>
      <c r="L20" s="590">
        <f ca="1"/>
        <v>0</v>
      </c>
      <c r="M20" s="599">
        <f ca="1"/>
        <v>0</v>
      </c>
      <c r="N20" s="583">
        <f t="shared" ca="1" si="1"/>
        <v>0</v>
      </c>
      <c r="O20" s="61"/>
    </row>
    <row r="21" spans="1:15" ht="15.75" customHeight="1">
      <c r="A21" s="1973" t="str">
        <v/>
      </c>
      <c r="B21" s="589">
        <f ca="1"/>
        <v>0</v>
      </c>
      <c r="C21" s="590">
        <f ca="1"/>
        <v>0</v>
      </c>
      <c r="D21" s="590">
        <f ca="1"/>
        <v>0</v>
      </c>
      <c r="E21" s="590">
        <f ca="1"/>
        <v>0</v>
      </c>
      <c r="F21" s="590">
        <f ca="1"/>
        <v>0</v>
      </c>
      <c r="G21" s="590">
        <f ca="1"/>
        <v>0</v>
      </c>
      <c r="H21" s="590">
        <f ca="1"/>
        <v>0</v>
      </c>
      <c r="I21" s="590">
        <f ca="1"/>
        <v>0</v>
      </c>
      <c r="J21" s="590">
        <f ca="1"/>
        <v>0</v>
      </c>
      <c r="K21" s="590">
        <f ca="1"/>
        <v>0</v>
      </c>
      <c r="L21" s="590">
        <f ca="1"/>
        <v>0</v>
      </c>
      <c r="M21" s="599">
        <f ca="1"/>
        <v>0</v>
      </c>
      <c r="N21" s="583">
        <f t="shared" ca="1" si="1"/>
        <v>0</v>
      </c>
      <c r="O21" s="61"/>
    </row>
    <row r="22" spans="1:15" ht="15.75" customHeight="1">
      <c r="A22" s="1973" t="str">
        <v/>
      </c>
      <c r="B22" s="589">
        <f ca="1"/>
        <v>0</v>
      </c>
      <c r="C22" s="590">
        <f ca="1"/>
        <v>0</v>
      </c>
      <c r="D22" s="590">
        <f ca="1"/>
        <v>0</v>
      </c>
      <c r="E22" s="590">
        <f ca="1"/>
        <v>0</v>
      </c>
      <c r="F22" s="590">
        <f ca="1"/>
        <v>0</v>
      </c>
      <c r="G22" s="590">
        <f ca="1"/>
        <v>0</v>
      </c>
      <c r="H22" s="590">
        <f ca="1"/>
        <v>0</v>
      </c>
      <c r="I22" s="590">
        <f ca="1"/>
        <v>0</v>
      </c>
      <c r="J22" s="590">
        <f ca="1"/>
        <v>0</v>
      </c>
      <c r="K22" s="590">
        <f ca="1"/>
        <v>0</v>
      </c>
      <c r="L22" s="590">
        <f ca="1"/>
        <v>0</v>
      </c>
      <c r="M22" s="599">
        <f ca="1"/>
        <v>0</v>
      </c>
      <c r="N22" s="583">
        <f t="shared" ca="1" si="1"/>
        <v>0</v>
      </c>
      <c r="O22" s="61"/>
    </row>
    <row r="23" spans="1:15" ht="15.75" customHeight="1">
      <c r="A23" s="1973" t="str">
        <v/>
      </c>
      <c r="B23" s="589">
        <f ca="1"/>
        <v>0</v>
      </c>
      <c r="C23" s="590">
        <f ca="1"/>
        <v>0</v>
      </c>
      <c r="D23" s="590">
        <f ca="1"/>
        <v>0</v>
      </c>
      <c r="E23" s="590">
        <f ca="1"/>
        <v>0</v>
      </c>
      <c r="F23" s="590">
        <f ca="1"/>
        <v>0</v>
      </c>
      <c r="G23" s="590">
        <f ca="1"/>
        <v>0</v>
      </c>
      <c r="H23" s="590">
        <f ca="1"/>
        <v>0</v>
      </c>
      <c r="I23" s="590">
        <f ca="1"/>
        <v>0</v>
      </c>
      <c r="J23" s="590">
        <f ca="1"/>
        <v>0</v>
      </c>
      <c r="K23" s="590">
        <f ca="1"/>
        <v>0</v>
      </c>
      <c r="L23" s="590">
        <f ca="1"/>
        <v>0</v>
      </c>
      <c r="M23" s="599">
        <f ca="1"/>
        <v>0</v>
      </c>
      <c r="N23" s="583">
        <f t="shared" ca="1" si="1"/>
        <v>0</v>
      </c>
      <c r="O23" s="61"/>
    </row>
    <row r="24" spans="1:15" ht="15.75" customHeight="1" thickBot="1">
      <c r="A24" s="1974" t="str">
        <v/>
      </c>
      <c r="B24" s="591">
        <f ca="1"/>
        <v>0</v>
      </c>
      <c r="C24" s="592">
        <f ca="1"/>
        <v>0</v>
      </c>
      <c r="D24" s="592">
        <f ca="1"/>
        <v>0</v>
      </c>
      <c r="E24" s="592">
        <f ca="1"/>
        <v>0</v>
      </c>
      <c r="F24" s="592">
        <f ca="1"/>
        <v>0</v>
      </c>
      <c r="G24" s="592">
        <f ca="1"/>
        <v>0</v>
      </c>
      <c r="H24" s="592">
        <f ca="1"/>
        <v>0</v>
      </c>
      <c r="I24" s="592">
        <f ca="1"/>
        <v>0</v>
      </c>
      <c r="J24" s="592">
        <f ca="1"/>
        <v>0</v>
      </c>
      <c r="K24" s="592">
        <f ca="1"/>
        <v>0</v>
      </c>
      <c r="L24" s="592">
        <f ca="1"/>
        <v>0</v>
      </c>
      <c r="M24" s="600">
        <f ca="1"/>
        <v>0</v>
      </c>
      <c r="N24" s="593">
        <f t="shared" ca="1" si="1"/>
        <v>0</v>
      </c>
      <c r="O24" s="61"/>
    </row>
    <row r="25" spans="1:15" ht="15.75" customHeight="1" thickBot="1">
      <c r="A25" s="428" t="s">
        <v>15</v>
      </c>
      <c r="B25" s="595">
        <f t="shared" ref="B25:M25" ca="1" si="2">B17+B18+B19+B20+B21+B22+B23+B24</f>
        <v>2970.52</v>
      </c>
      <c r="C25" s="596">
        <f t="shared" ca="1" si="2"/>
        <v>3713.1500000000005</v>
      </c>
      <c r="D25" s="596">
        <f t="shared" ca="1" si="2"/>
        <v>4084.4650000000001</v>
      </c>
      <c r="E25" s="596">
        <f t="shared" ca="1" si="2"/>
        <v>3898.8074999999999</v>
      </c>
      <c r="F25" s="596">
        <f t="shared" ca="1" si="2"/>
        <v>3341.835</v>
      </c>
      <c r="G25" s="596">
        <f t="shared" ca="1" si="2"/>
        <v>3156.1774999999998</v>
      </c>
      <c r="H25" s="596">
        <f t="shared" ca="1" si="2"/>
        <v>2970.52</v>
      </c>
      <c r="I25" s="596">
        <f t="shared" ca="1" si="2"/>
        <v>2227.89</v>
      </c>
      <c r="J25" s="596">
        <f t="shared" ca="1" si="2"/>
        <v>2970.52</v>
      </c>
      <c r="K25" s="596">
        <f t="shared" ca="1" si="2"/>
        <v>3527.4925000000003</v>
      </c>
      <c r="L25" s="596">
        <f t="shared" ca="1" si="2"/>
        <v>3713.1500000000005</v>
      </c>
      <c r="M25" s="597">
        <f t="shared" ca="1" si="2"/>
        <v>4455.78</v>
      </c>
      <c r="N25" s="594">
        <f t="shared" ca="1" si="1"/>
        <v>41030.307500000003</v>
      </c>
      <c r="O25" s="61"/>
    </row>
    <row r="26" spans="1:15" ht="15">
      <c r="A26" s="213"/>
    </row>
    <row r="27" spans="1:15" ht="15">
      <c r="A27" s="213"/>
    </row>
    <row r="28" spans="1:15" ht="23.25" customHeight="1">
      <c r="A28" s="67" t="str">
        <f>'Prev.Ventas 0'!A28</f>
        <v>Estacionalidad de las Ventas</v>
      </c>
      <c r="B28" s="61"/>
      <c r="D28" s="421" t="str">
        <f>E1</f>
        <v>Año 3:  2029</v>
      </c>
    </row>
    <row r="29" spans="1:15" ht="22.5">
      <c r="A29" s="67" t="str">
        <f>'Datos Básicos'!B9</f>
        <v>nombre empresa</v>
      </c>
    </row>
    <row r="30" spans="1:15" ht="14.25" customHeight="1" thickBot="1">
      <c r="A30" s="59"/>
    </row>
    <row r="31" spans="1:15" s="443" customFormat="1" ht="18.75" customHeight="1" thickBot="1">
      <c r="A31" s="448" t="s">
        <v>36</v>
      </c>
      <c r="B31" s="438" t="str">
        <f t="array" ref="B31:M31">meses</f>
        <v>enero</v>
      </c>
      <c r="C31" s="438" t="str">
        <v>febrero</v>
      </c>
      <c r="D31" s="438" t="str">
        <v>marzo</v>
      </c>
      <c r="E31" s="438" t="str">
        <v>abril</v>
      </c>
      <c r="F31" s="438" t="str">
        <v>mayo</v>
      </c>
      <c r="G31" s="438" t="str">
        <v>junio</v>
      </c>
      <c r="H31" s="438" t="str">
        <v>julio</v>
      </c>
      <c r="I31" s="438" t="str">
        <v>agosto</v>
      </c>
      <c r="J31" s="438" t="str">
        <v>septiembre</v>
      </c>
      <c r="K31" s="438" t="str">
        <v>octubre</v>
      </c>
      <c r="L31" s="438" t="str">
        <v>noviembre</v>
      </c>
      <c r="M31" s="448" t="str">
        <v>diciembre</v>
      </c>
      <c r="N31" s="438" t="s">
        <v>15</v>
      </c>
      <c r="O31" s="442"/>
    </row>
    <row r="32" spans="1:15" ht="18.75" customHeight="1">
      <c r="A32" s="1988" t="str">
        <f t="array" ref="A32:A39">productos</f>
        <v>producto o servicio</v>
      </c>
      <c r="B32" s="1993" t="str">
        <f t="array" aca="1" ref="B32:M39" ca="1">IF(OR($N17:$N24=0,B17:M24=""),"",B17:M24/$N17:$N24)</f>
        <v/>
      </c>
      <c r="C32" s="430" t="str">
        <f ca="1"/>
        <v/>
      </c>
      <c r="D32" s="430" t="str">
        <f ca="1"/>
        <v/>
      </c>
      <c r="E32" s="430" t="str">
        <f ca="1"/>
        <v/>
      </c>
      <c r="F32" s="430" t="str">
        <f ca="1"/>
        <v/>
      </c>
      <c r="G32" s="430" t="str">
        <f ca="1"/>
        <v/>
      </c>
      <c r="H32" s="430" t="str">
        <f ca="1"/>
        <v/>
      </c>
      <c r="I32" s="430" t="str">
        <f ca="1"/>
        <v/>
      </c>
      <c r="J32" s="430" t="str">
        <f ca="1"/>
        <v/>
      </c>
      <c r="K32" s="430" t="str">
        <f ca="1"/>
        <v/>
      </c>
      <c r="L32" s="430" t="str">
        <f ca="1"/>
        <v/>
      </c>
      <c r="M32" s="431" t="str">
        <f ca="1"/>
        <v/>
      </c>
      <c r="N32" s="575">
        <f t="shared" ref="N32:N40" ca="1" si="3">SUM(B32:M32)</f>
        <v>0</v>
      </c>
    </row>
    <row r="33" spans="1:20" ht="18.75" customHeight="1">
      <c r="A33" s="1989" t="str">
        <v/>
      </c>
      <c r="B33" s="1994" t="str">
        <f ca="1"/>
        <v/>
      </c>
      <c r="C33" s="432" t="str">
        <f ca="1"/>
        <v/>
      </c>
      <c r="D33" s="432" t="str">
        <f ca="1"/>
        <v/>
      </c>
      <c r="E33" s="432" t="str">
        <f ca="1"/>
        <v/>
      </c>
      <c r="F33" s="432" t="str">
        <f ca="1"/>
        <v/>
      </c>
      <c r="G33" s="432" t="str">
        <f ca="1"/>
        <v/>
      </c>
      <c r="H33" s="432" t="str">
        <f ca="1"/>
        <v/>
      </c>
      <c r="I33" s="432" t="str">
        <f ca="1"/>
        <v/>
      </c>
      <c r="J33" s="432" t="str">
        <f ca="1"/>
        <v/>
      </c>
      <c r="K33" s="432" t="str">
        <f ca="1"/>
        <v/>
      </c>
      <c r="L33" s="432" t="str">
        <f ca="1"/>
        <v/>
      </c>
      <c r="M33" s="433" t="str">
        <f ca="1"/>
        <v/>
      </c>
      <c r="N33" s="576">
        <f t="shared" ca="1" si="3"/>
        <v>0</v>
      </c>
    </row>
    <row r="34" spans="1:20" ht="18.75" customHeight="1">
      <c r="A34" s="1989" t="str">
        <v/>
      </c>
      <c r="B34" s="1994" t="str">
        <f ca="1"/>
        <v/>
      </c>
      <c r="C34" s="432" t="str">
        <f ca="1"/>
        <v/>
      </c>
      <c r="D34" s="432" t="str">
        <f ca="1"/>
        <v/>
      </c>
      <c r="E34" s="432" t="str">
        <f ca="1"/>
        <v/>
      </c>
      <c r="F34" s="432" t="str">
        <f ca="1"/>
        <v/>
      </c>
      <c r="G34" s="432" t="str">
        <f ca="1"/>
        <v/>
      </c>
      <c r="H34" s="432" t="str">
        <f ca="1"/>
        <v/>
      </c>
      <c r="I34" s="432" t="str">
        <f ca="1"/>
        <v/>
      </c>
      <c r="J34" s="432" t="str">
        <f ca="1"/>
        <v/>
      </c>
      <c r="K34" s="432" t="str">
        <f ca="1"/>
        <v/>
      </c>
      <c r="L34" s="432" t="str">
        <f ca="1"/>
        <v/>
      </c>
      <c r="M34" s="433" t="str">
        <f ca="1"/>
        <v/>
      </c>
      <c r="N34" s="576">
        <f t="shared" ca="1" si="3"/>
        <v>0</v>
      </c>
    </row>
    <row r="35" spans="1:20" ht="18.75" customHeight="1">
      <c r="A35" s="1989" t="str">
        <v/>
      </c>
      <c r="B35" s="1994" t="str">
        <f ca="1"/>
        <v/>
      </c>
      <c r="C35" s="432" t="str">
        <f ca="1"/>
        <v/>
      </c>
      <c r="D35" s="432" t="str">
        <f ca="1"/>
        <v/>
      </c>
      <c r="E35" s="432" t="str">
        <f ca="1"/>
        <v/>
      </c>
      <c r="F35" s="432" t="str">
        <f ca="1"/>
        <v/>
      </c>
      <c r="G35" s="432" t="str">
        <f ca="1"/>
        <v/>
      </c>
      <c r="H35" s="432" t="str">
        <f ca="1"/>
        <v/>
      </c>
      <c r="I35" s="432" t="str">
        <f ca="1"/>
        <v/>
      </c>
      <c r="J35" s="432" t="str">
        <f ca="1"/>
        <v/>
      </c>
      <c r="K35" s="432" t="str">
        <f ca="1"/>
        <v/>
      </c>
      <c r="L35" s="432" t="str">
        <f ca="1"/>
        <v/>
      </c>
      <c r="M35" s="433" t="str">
        <f ca="1"/>
        <v/>
      </c>
      <c r="N35" s="576">
        <f t="shared" ca="1" si="3"/>
        <v>0</v>
      </c>
    </row>
    <row r="36" spans="1:20" ht="18.75" customHeight="1">
      <c r="A36" s="1989" t="str">
        <v/>
      </c>
      <c r="B36" s="1994" t="str">
        <f ca="1"/>
        <v/>
      </c>
      <c r="C36" s="432" t="str">
        <f ca="1"/>
        <v/>
      </c>
      <c r="D36" s="432" t="str">
        <f ca="1"/>
        <v/>
      </c>
      <c r="E36" s="432" t="str">
        <f ca="1"/>
        <v/>
      </c>
      <c r="F36" s="432" t="str">
        <f ca="1"/>
        <v/>
      </c>
      <c r="G36" s="432" t="str">
        <f ca="1"/>
        <v/>
      </c>
      <c r="H36" s="432" t="str">
        <f ca="1"/>
        <v/>
      </c>
      <c r="I36" s="432" t="str">
        <f ca="1"/>
        <v/>
      </c>
      <c r="J36" s="432" t="str">
        <f ca="1"/>
        <v/>
      </c>
      <c r="K36" s="432" t="str">
        <f ca="1"/>
        <v/>
      </c>
      <c r="L36" s="432" t="str">
        <f ca="1"/>
        <v/>
      </c>
      <c r="M36" s="433" t="str">
        <f ca="1"/>
        <v/>
      </c>
      <c r="N36" s="576">
        <f t="shared" ca="1" si="3"/>
        <v>0</v>
      </c>
    </row>
    <row r="37" spans="1:20" ht="18.75" customHeight="1">
      <c r="A37" s="1989" t="str">
        <v/>
      </c>
      <c r="B37" s="1994" t="str">
        <f ca="1"/>
        <v/>
      </c>
      <c r="C37" s="432" t="str">
        <f ca="1"/>
        <v/>
      </c>
      <c r="D37" s="432" t="str">
        <f ca="1"/>
        <v/>
      </c>
      <c r="E37" s="432" t="str">
        <f ca="1"/>
        <v/>
      </c>
      <c r="F37" s="432" t="str">
        <f ca="1"/>
        <v/>
      </c>
      <c r="G37" s="432" t="str">
        <f ca="1"/>
        <v/>
      </c>
      <c r="H37" s="432" t="str">
        <f ca="1"/>
        <v/>
      </c>
      <c r="I37" s="432" t="str">
        <f ca="1"/>
        <v/>
      </c>
      <c r="J37" s="432" t="str">
        <f ca="1"/>
        <v/>
      </c>
      <c r="K37" s="432" t="str">
        <f ca="1"/>
        <v/>
      </c>
      <c r="L37" s="432" t="str">
        <f ca="1"/>
        <v/>
      </c>
      <c r="M37" s="433" t="str">
        <f ca="1"/>
        <v/>
      </c>
      <c r="N37" s="576">
        <f t="shared" ca="1" si="3"/>
        <v>0</v>
      </c>
    </row>
    <row r="38" spans="1:20" ht="18.75" customHeight="1">
      <c r="A38" s="1989" t="str">
        <v/>
      </c>
      <c r="B38" s="1994" t="str">
        <f ca="1"/>
        <v/>
      </c>
      <c r="C38" s="432" t="str">
        <f ca="1"/>
        <v/>
      </c>
      <c r="D38" s="432" t="str">
        <f ca="1"/>
        <v/>
      </c>
      <c r="E38" s="432" t="str">
        <f ca="1"/>
        <v/>
      </c>
      <c r="F38" s="432" t="str">
        <f ca="1"/>
        <v/>
      </c>
      <c r="G38" s="432" t="str">
        <f ca="1"/>
        <v/>
      </c>
      <c r="H38" s="432" t="str">
        <f ca="1"/>
        <v/>
      </c>
      <c r="I38" s="432" t="str">
        <f ca="1"/>
        <v/>
      </c>
      <c r="J38" s="432" t="str">
        <f ca="1"/>
        <v/>
      </c>
      <c r="K38" s="432" t="str">
        <f ca="1"/>
        <v/>
      </c>
      <c r="L38" s="432" t="str">
        <f ca="1"/>
        <v/>
      </c>
      <c r="M38" s="433" t="str">
        <f ca="1"/>
        <v/>
      </c>
      <c r="N38" s="576">
        <f t="shared" ca="1" si="3"/>
        <v>0</v>
      </c>
    </row>
    <row r="39" spans="1:20" ht="18.75" customHeight="1" thickBot="1">
      <c r="A39" s="1990" t="str">
        <v/>
      </c>
      <c r="B39" s="1995" t="str">
        <f ca="1"/>
        <v/>
      </c>
      <c r="C39" s="434" t="str">
        <f ca="1"/>
        <v/>
      </c>
      <c r="D39" s="434" t="str">
        <f ca="1"/>
        <v/>
      </c>
      <c r="E39" s="434" t="str">
        <f ca="1"/>
        <v/>
      </c>
      <c r="F39" s="434" t="str">
        <f ca="1"/>
        <v/>
      </c>
      <c r="G39" s="434" t="str">
        <f ca="1"/>
        <v/>
      </c>
      <c r="H39" s="434" t="str">
        <f ca="1"/>
        <v/>
      </c>
      <c r="I39" s="434" t="str">
        <f ca="1"/>
        <v/>
      </c>
      <c r="J39" s="434" t="str">
        <f ca="1"/>
        <v/>
      </c>
      <c r="K39" s="434" t="str">
        <f ca="1"/>
        <v/>
      </c>
      <c r="L39" s="434" t="str">
        <f ca="1"/>
        <v/>
      </c>
      <c r="M39" s="435" t="str">
        <f ca="1"/>
        <v/>
      </c>
      <c r="N39" s="577">
        <f t="shared" ca="1" si="3"/>
        <v>0</v>
      </c>
    </row>
    <row r="40" spans="1:20" s="35" customFormat="1" ht="18.75" customHeight="1" thickBot="1">
      <c r="A40" s="1991" t="s">
        <v>37</v>
      </c>
      <c r="B40" s="1996">
        <f t="array" aca="1" ref="B40:M40" ca="1">B25:M25/$N$25</f>
        <v>7.2398190045248861E-2</v>
      </c>
      <c r="C40" s="436">
        <f ca="1"/>
        <v>9.0497737556561098E-2</v>
      </c>
      <c r="D40" s="436">
        <f ca="1"/>
        <v>9.9547511312217188E-2</v>
      </c>
      <c r="E40" s="436">
        <f ca="1"/>
        <v>9.5022624434389136E-2</v>
      </c>
      <c r="F40" s="436">
        <f ca="1"/>
        <v>8.1447963800904979E-2</v>
      </c>
      <c r="G40" s="436">
        <f ca="1"/>
        <v>7.6923076923076913E-2</v>
      </c>
      <c r="H40" s="436">
        <f ca="1"/>
        <v>7.2398190045248861E-2</v>
      </c>
      <c r="I40" s="436">
        <f ca="1"/>
        <v>5.4298642533936646E-2</v>
      </c>
      <c r="J40" s="436">
        <f ca="1"/>
        <v>7.2398190045248861E-2</v>
      </c>
      <c r="K40" s="436">
        <f ca="1"/>
        <v>8.5972850678733032E-2</v>
      </c>
      <c r="L40" s="436">
        <f ca="1"/>
        <v>9.0497737556561098E-2</v>
      </c>
      <c r="M40" s="436">
        <f ca="1"/>
        <v>0.10859728506787329</v>
      </c>
      <c r="N40" s="437">
        <f t="shared" ca="1" si="3"/>
        <v>0.99999999999999989</v>
      </c>
      <c r="O40" s="232"/>
      <c r="P40" s="61"/>
      <c r="Q40" s="61"/>
      <c r="R40" s="61"/>
      <c r="S40" s="61"/>
      <c r="T40" s="61"/>
    </row>
    <row r="41" spans="1:20" s="35" customFormat="1" ht="18.75" customHeight="1"/>
    <row r="43" spans="1:20">
      <c r="B43" s="61"/>
    </row>
    <row r="44" spans="1:20">
      <c r="B44" s="61"/>
    </row>
    <row r="45" spans="1:20">
      <c r="B45" s="61"/>
    </row>
    <row r="46" spans="1:20">
      <c r="B46" s="61"/>
    </row>
    <row r="47" spans="1:20">
      <c r="B47" s="61"/>
    </row>
    <row r="48" spans="1:20">
      <c r="B48" s="61"/>
    </row>
    <row r="49" spans="2:2">
      <c r="B49" s="61"/>
    </row>
    <row r="50" spans="2:2">
      <c r="B50" s="61"/>
    </row>
    <row r="51" spans="2:2">
      <c r="B51" s="61"/>
    </row>
    <row r="52" spans="2:2">
      <c r="B52" s="61"/>
    </row>
    <row r="53" spans="2:2">
      <c r="B53" s="61"/>
    </row>
    <row r="54" spans="2:2">
      <c r="B54" s="61"/>
    </row>
    <row r="55" spans="2:2">
      <c r="B55" s="61"/>
    </row>
    <row r="56" spans="2:2">
      <c r="B56" s="61"/>
    </row>
    <row r="57" spans="2:2">
      <c r="B57" s="61"/>
    </row>
    <row r="58" spans="2:2">
      <c r="B58" s="61"/>
    </row>
    <row r="59" spans="2:2">
      <c r="B59" s="61"/>
    </row>
    <row r="60" spans="2:2">
      <c r="B60" s="61"/>
    </row>
    <row r="61" spans="2:2">
      <c r="B61" s="61"/>
    </row>
    <row r="62" spans="2:2">
      <c r="B62" s="61"/>
    </row>
    <row r="63" spans="2:2">
      <c r="B63" s="61"/>
    </row>
    <row r="64" spans="2:2">
      <c r="B64" s="61"/>
    </row>
    <row r="65" spans="2:2">
      <c r="B65" s="61"/>
    </row>
    <row r="66" spans="2:2">
      <c r="B66" s="61"/>
    </row>
    <row r="80" spans="2:2">
      <c r="B80" s="61"/>
    </row>
    <row r="81" spans="2:2">
      <c r="B81" s="61"/>
    </row>
  </sheetData>
  <sheetProtection sheet="1" objects="1" scenarios="1"/>
  <phoneticPr fontId="6" type="noConversion"/>
  <conditionalFormatting sqref="B32:M39">
    <cfRule type="expression" dxfId="20" priority="1" stopIfTrue="1">
      <formula>B32=""</formula>
    </cfRule>
  </conditionalFormatting>
  <printOptions horizontalCentered="1" verticalCentered="1"/>
  <pageMargins left="0.38" right="0.19685039370078741" top="0.53" bottom="0.7" header="0.51181102362204722" footer="0.39370078740157483"/>
  <pageSetup paperSize="9" scale="78" fitToHeight="2" orientation="landscape" horizontalDpi="300" verticalDpi="300" r:id="rId1"/>
  <headerFooter alignWithMargins="0">
    <oddFooter>&amp;C&amp;"Tahoma,Normal"&amp;10&amp;A</oddFooter>
  </headerFooter>
  <rowBreaks count="1" manualBreakCount="1">
    <brk id="27"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42">
    <tabColor indexed="61"/>
  </sheetPr>
  <dimension ref="A1:T81"/>
  <sheetViews>
    <sheetView workbookViewId="0"/>
  </sheetViews>
  <sheetFormatPr baseColWidth="10" defaultColWidth="11" defaultRowHeight="12.75"/>
  <cols>
    <col min="1" max="1" width="24.5" style="232" customWidth="1"/>
    <col min="2" max="2" width="15.125" style="60" bestFit="1" customWidth="1"/>
    <col min="3" max="3" width="13" style="61" customWidth="1"/>
    <col min="4" max="4" width="11" style="61"/>
    <col min="5" max="9" width="10.125" style="61" customWidth="1"/>
    <col min="10" max="13" width="11.25" style="61" customWidth="1"/>
    <col min="14" max="14" width="10.75" style="61" customWidth="1"/>
    <col min="15" max="15" width="12.25" style="232" customWidth="1"/>
    <col min="16" max="16384" width="11" style="61"/>
  </cols>
  <sheetData>
    <row r="1" spans="1:15" ht="22.5">
      <c r="A1" s="67" t="str">
        <f>'Prev.Ventas 0'!A1</f>
        <v>Previsiones de Ventas de la empresa</v>
      </c>
      <c r="D1" s="522"/>
      <c r="E1" s="421" t="str">
        <f>Parametros!F77</f>
        <v>Año 4:  2030</v>
      </c>
    </row>
    <row r="2" spans="1:15" ht="22.5">
      <c r="A2" s="67" t="str">
        <f>'Datos Básicos'!B9</f>
        <v>nombre empresa</v>
      </c>
    </row>
    <row r="3" spans="1:15" ht="14.25" customHeight="1" thickBot="1">
      <c r="A3" s="59"/>
    </row>
    <row r="4" spans="1:15" s="447" customFormat="1" ht="15.75" customHeight="1" thickBot="1">
      <c r="A4" s="446" t="s">
        <v>167</v>
      </c>
      <c r="B4" s="444" t="str">
        <f t="array" ref="B4:M4">meses</f>
        <v>enero</v>
      </c>
      <c r="C4" s="440" t="str">
        <v>febrero</v>
      </c>
      <c r="D4" s="440" t="str">
        <v>marzo</v>
      </c>
      <c r="E4" s="440" t="str">
        <v>abril</v>
      </c>
      <c r="F4" s="440" t="str">
        <v>mayo</v>
      </c>
      <c r="G4" s="440" t="str">
        <v>junio</v>
      </c>
      <c r="H4" s="440" t="str">
        <v>julio</v>
      </c>
      <c r="I4" s="440" t="str">
        <v>agosto</v>
      </c>
      <c r="J4" s="440" t="str">
        <v>septiembre</v>
      </c>
      <c r="K4" s="440" t="str">
        <v>octubre</v>
      </c>
      <c r="L4" s="440" t="str">
        <v>noviembre</v>
      </c>
      <c r="M4" s="441" t="str">
        <v>diciembre</v>
      </c>
      <c r="N4" s="438" t="s">
        <v>15</v>
      </c>
    </row>
    <row r="5" spans="1:15" ht="15.75" customHeight="1">
      <c r="A5" s="1972" t="str">
        <f t="array" ref="A5:A12">productos</f>
        <v>producto o servicio</v>
      </c>
      <c r="B5" s="578">
        <f t="array" aca="1" ref="B5:M12" ca="1">'Estimaciones Ventas'!B58:M65*Parametros!B$88:M$88</f>
        <v>874.1816</v>
      </c>
      <c r="C5" s="579">
        <f ca="1"/>
        <v>1092.7270000000001</v>
      </c>
      <c r="D5" s="579">
        <f ca="1"/>
        <v>1201.9997000000001</v>
      </c>
      <c r="E5" s="579">
        <f ca="1"/>
        <v>1147.3633499999999</v>
      </c>
      <c r="F5" s="579">
        <f ca="1"/>
        <v>983.4543000000001</v>
      </c>
      <c r="G5" s="579">
        <f ca="1"/>
        <v>928.81795</v>
      </c>
      <c r="H5" s="579">
        <f ca="1"/>
        <v>874.1816</v>
      </c>
      <c r="I5" s="579">
        <f ca="1"/>
        <v>655.63620000000003</v>
      </c>
      <c r="J5" s="579">
        <f ca="1"/>
        <v>874.1816</v>
      </c>
      <c r="K5" s="579">
        <f ca="1"/>
        <v>1038.0906500000001</v>
      </c>
      <c r="L5" s="579">
        <f ca="1"/>
        <v>1092.7270000000001</v>
      </c>
      <c r="M5" s="601">
        <f ca="1"/>
        <v>1311.2724000000001</v>
      </c>
      <c r="N5" s="580">
        <f t="shared" ref="N5:N12" ca="1" si="0">SUM(B5:M5)</f>
        <v>12074.63335</v>
      </c>
      <c r="O5" s="61"/>
    </row>
    <row r="6" spans="1:15" ht="15.75" customHeight="1">
      <c r="A6" s="1973" t="str">
        <v/>
      </c>
      <c r="B6" s="581">
        <f ca="1"/>
        <v>0</v>
      </c>
      <c r="C6" s="582">
        <f ca="1"/>
        <v>0</v>
      </c>
      <c r="D6" s="582">
        <f ca="1"/>
        <v>0</v>
      </c>
      <c r="E6" s="582">
        <f ca="1"/>
        <v>0</v>
      </c>
      <c r="F6" s="582">
        <f ca="1"/>
        <v>0</v>
      </c>
      <c r="G6" s="582">
        <f ca="1"/>
        <v>0</v>
      </c>
      <c r="H6" s="582">
        <f ca="1"/>
        <v>0</v>
      </c>
      <c r="I6" s="582">
        <f ca="1"/>
        <v>0</v>
      </c>
      <c r="J6" s="582">
        <f ca="1"/>
        <v>0</v>
      </c>
      <c r="K6" s="582">
        <f ca="1"/>
        <v>0</v>
      </c>
      <c r="L6" s="582">
        <f ca="1"/>
        <v>0</v>
      </c>
      <c r="M6" s="602">
        <f ca="1"/>
        <v>0</v>
      </c>
      <c r="N6" s="583">
        <f t="shared" ca="1" si="0"/>
        <v>0</v>
      </c>
      <c r="O6" s="61"/>
    </row>
    <row r="7" spans="1:15" ht="15.75" customHeight="1">
      <c r="A7" s="1973" t="str">
        <v/>
      </c>
      <c r="B7" s="581">
        <f ca="1"/>
        <v>0</v>
      </c>
      <c r="C7" s="582">
        <f ca="1"/>
        <v>0</v>
      </c>
      <c r="D7" s="582">
        <f ca="1"/>
        <v>0</v>
      </c>
      <c r="E7" s="582">
        <f ca="1"/>
        <v>0</v>
      </c>
      <c r="F7" s="582">
        <f ca="1"/>
        <v>0</v>
      </c>
      <c r="G7" s="582">
        <f ca="1"/>
        <v>0</v>
      </c>
      <c r="H7" s="582">
        <f ca="1"/>
        <v>0</v>
      </c>
      <c r="I7" s="582">
        <f ca="1"/>
        <v>0</v>
      </c>
      <c r="J7" s="582">
        <f ca="1"/>
        <v>0</v>
      </c>
      <c r="K7" s="582">
        <f ca="1"/>
        <v>0</v>
      </c>
      <c r="L7" s="582">
        <f ca="1"/>
        <v>0</v>
      </c>
      <c r="M7" s="602">
        <f ca="1"/>
        <v>0</v>
      </c>
      <c r="N7" s="583">
        <f t="shared" ca="1" si="0"/>
        <v>0</v>
      </c>
      <c r="O7" s="61"/>
    </row>
    <row r="8" spans="1:15" ht="15.75" customHeight="1">
      <c r="A8" s="1973" t="str">
        <v/>
      </c>
      <c r="B8" s="581">
        <f ca="1"/>
        <v>0</v>
      </c>
      <c r="C8" s="582">
        <f ca="1"/>
        <v>0</v>
      </c>
      <c r="D8" s="582">
        <f ca="1"/>
        <v>0</v>
      </c>
      <c r="E8" s="582">
        <f ca="1"/>
        <v>0</v>
      </c>
      <c r="F8" s="582">
        <f ca="1"/>
        <v>0</v>
      </c>
      <c r="G8" s="582">
        <f ca="1"/>
        <v>0</v>
      </c>
      <c r="H8" s="582">
        <f ca="1"/>
        <v>0</v>
      </c>
      <c r="I8" s="582">
        <f ca="1"/>
        <v>0</v>
      </c>
      <c r="J8" s="582">
        <f ca="1"/>
        <v>0</v>
      </c>
      <c r="K8" s="582">
        <f ca="1"/>
        <v>0</v>
      </c>
      <c r="L8" s="582">
        <f ca="1"/>
        <v>0</v>
      </c>
      <c r="M8" s="602">
        <f ca="1"/>
        <v>0</v>
      </c>
      <c r="N8" s="583">
        <f t="shared" ca="1" si="0"/>
        <v>0</v>
      </c>
      <c r="O8" s="61"/>
    </row>
    <row r="9" spans="1:15" ht="15.75" customHeight="1">
      <c r="A9" s="1973" t="str">
        <v/>
      </c>
      <c r="B9" s="581">
        <f ca="1"/>
        <v>0</v>
      </c>
      <c r="C9" s="582">
        <f ca="1"/>
        <v>0</v>
      </c>
      <c r="D9" s="582">
        <f ca="1"/>
        <v>0</v>
      </c>
      <c r="E9" s="582">
        <f ca="1"/>
        <v>0</v>
      </c>
      <c r="F9" s="582">
        <f ca="1"/>
        <v>0</v>
      </c>
      <c r="G9" s="582">
        <f ca="1"/>
        <v>0</v>
      </c>
      <c r="H9" s="582">
        <f ca="1"/>
        <v>0</v>
      </c>
      <c r="I9" s="582">
        <f ca="1"/>
        <v>0</v>
      </c>
      <c r="J9" s="582">
        <f ca="1"/>
        <v>0</v>
      </c>
      <c r="K9" s="582">
        <f ca="1"/>
        <v>0</v>
      </c>
      <c r="L9" s="582">
        <f ca="1"/>
        <v>0</v>
      </c>
      <c r="M9" s="602">
        <f ca="1"/>
        <v>0</v>
      </c>
      <c r="N9" s="583">
        <f t="shared" ca="1" si="0"/>
        <v>0</v>
      </c>
      <c r="O9" s="61"/>
    </row>
    <row r="10" spans="1:15" ht="15.75" customHeight="1">
      <c r="A10" s="1973" t="str">
        <v/>
      </c>
      <c r="B10" s="581">
        <f ca="1"/>
        <v>0</v>
      </c>
      <c r="C10" s="582">
        <f ca="1"/>
        <v>0</v>
      </c>
      <c r="D10" s="582">
        <f ca="1"/>
        <v>0</v>
      </c>
      <c r="E10" s="582">
        <f ca="1"/>
        <v>0</v>
      </c>
      <c r="F10" s="582">
        <f ca="1"/>
        <v>0</v>
      </c>
      <c r="G10" s="582">
        <f ca="1"/>
        <v>0</v>
      </c>
      <c r="H10" s="582">
        <f ca="1"/>
        <v>0</v>
      </c>
      <c r="I10" s="582">
        <f ca="1"/>
        <v>0</v>
      </c>
      <c r="J10" s="582">
        <f ca="1"/>
        <v>0</v>
      </c>
      <c r="K10" s="582">
        <f ca="1"/>
        <v>0</v>
      </c>
      <c r="L10" s="582">
        <f ca="1"/>
        <v>0</v>
      </c>
      <c r="M10" s="602">
        <f ca="1"/>
        <v>0</v>
      </c>
      <c r="N10" s="583">
        <f t="shared" ca="1" si="0"/>
        <v>0</v>
      </c>
      <c r="O10" s="61"/>
    </row>
    <row r="11" spans="1:15" ht="15.75" customHeight="1">
      <c r="A11" s="1973" t="str">
        <v/>
      </c>
      <c r="B11" s="581">
        <f ca="1"/>
        <v>0</v>
      </c>
      <c r="C11" s="582">
        <f ca="1"/>
        <v>0</v>
      </c>
      <c r="D11" s="582">
        <f ca="1"/>
        <v>0</v>
      </c>
      <c r="E11" s="582">
        <f ca="1"/>
        <v>0</v>
      </c>
      <c r="F11" s="582">
        <f ca="1"/>
        <v>0</v>
      </c>
      <c r="G11" s="582">
        <f ca="1"/>
        <v>0</v>
      </c>
      <c r="H11" s="582">
        <f ca="1"/>
        <v>0</v>
      </c>
      <c r="I11" s="582">
        <f ca="1"/>
        <v>0</v>
      </c>
      <c r="J11" s="582">
        <f ca="1"/>
        <v>0</v>
      </c>
      <c r="K11" s="582">
        <f ca="1"/>
        <v>0</v>
      </c>
      <c r="L11" s="582">
        <f ca="1"/>
        <v>0</v>
      </c>
      <c r="M11" s="602">
        <f ca="1"/>
        <v>0</v>
      </c>
      <c r="N11" s="583">
        <f t="shared" ca="1" si="0"/>
        <v>0</v>
      </c>
      <c r="O11" s="61"/>
    </row>
    <row r="12" spans="1:15" ht="15.75" customHeight="1" thickBot="1">
      <c r="A12" s="1974" t="str">
        <v/>
      </c>
      <c r="B12" s="584">
        <f ca="1"/>
        <v>0</v>
      </c>
      <c r="C12" s="585">
        <f ca="1"/>
        <v>0</v>
      </c>
      <c r="D12" s="585">
        <f ca="1"/>
        <v>0</v>
      </c>
      <c r="E12" s="585">
        <f ca="1"/>
        <v>0</v>
      </c>
      <c r="F12" s="585">
        <f ca="1"/>
        <v>0</v>
      </c>
      <c r="G12" s="585">
        <f ca="1"/>
        <v>0</v>
      </c>
      <c r="H12" s="585">
        <f ca="1"/>
        <v>0</v>
      </c>
      <c r="I12" s="585">
        <f ca="1"/>
        <v>0</v>
      </c>
      <c r="J12" s="585">
        <f ca="1"/>
        <v>0</v>
      </c>
      <c r="K12" s="585">
        <f ca="1"/>
        <v>0</v>
      </c>
      <c r="L12" s="585">
        <f ca="1"/>
        <v>0</v>
      </c>
      <c r="M12" s="603">
        <f ca="1"/>
        <v>0</v>
      </c>
      <c r="N12" s="586">
        <f t="shared" ca="1" si="0"/>
        <v>0</v>
      </c>
      <c r="O12" s="61"/>
    </row>
    <row r="13" spans="1:15" ht="15">
      <c r="A13" s="72"/>
    </row>
    <row r="14" spans="1:15" ht="15">
      <c r="A14" s="72"/>
    </row>
    <row r="15" spans="1:15" ht="15.75" thickBot="1">
      <c r="A15" s="213"/>
    </row>
    <row r="16" spans="1:15" s="445" customFormat="1" ht="15.75" customHeight="1" thickBot="1">
      <c r="A16" s="446" t="str">
        <f>'Prev.Ventas 0'!A16</f>
        <v>Ventas (Euros)</v>
      </c>
      <c r="B16" s="444" t="str">
        <f t="array" ref="B16:M16">meses</f>
        <v>enero</v>
      </c>
      <c r="C16" s="440" t="str">
        <v>febrero</v>
      </c>
      <c r="D16" s="440" t="str">
        <v>marzo</v>
      </c>
      <c r="E16" s="440" t="str">
        <v>abril</v>
      </c>
      <c r="F16" s="440" t="str">
        <v>mayo</v>
      </c>
      <c r="G16" s="440" t="str">
        <v>junio</v>
      </c>
      <c r="H16" s="440" t="str">
        <v>julio</v>
      </c>
      <c r="I16" s="440" t="str">
        <v>agosto</v>
      </c>
      <c r="J16" s="440" t="str">
        <v>septiembre</v>
      </c>
      <c r="K16" s="440" t="str">
        <v>octubre</v>
      </c>
      <c r="L16" s="440" t="str">
        <v>noviembre</v>
      </c>
      <c r="M16" s="441" t="str">
        <v>diciembre</v>
      </c>
      <c r="N16" s="438" t="s">
        <v>15</v>
      </c>
    </row>
    <row r="17" spans="1:15" ht="15.75" customHeight="1">
      <c r="A17" s="1972" t="str">
        <f t="array" ref="A17:A24">productos</f>
        <v>producto o servicio</v>
      </c>
      <c r="B17" s="587">
        <f t="array" aca="1" ref="B17:M24" ca="1">B5:M12*'Precios-CV'!$J7:$J14</f>
        <v>3059.6356000000001</v>
      </c>
      <c r="C17" s="588">
        <f ca="1"/>
        <v>3824.5445000000004</v>
      </c>
      <c r="D17" s="588">
        <f ca="1"/>
        <v>4206.9989500000001</v>
      </c>
      <c r="E17" s="588">
        <f ca="1"/>
        <v>4015.7717249999996</v>
      </c>
      <c r="F17" s="588">
        <f ca="1"/>
        <v>3442.0900500000002</v>
      </c>
      <c r="G17" s="588">
        <f ca="1"/>
        <v>3250.8628250000002</v>
      </c>
      <c r="H17" s="588">
        <f ca="1"/>
        <v>3059.6356000000001</v>
      </c>
      <c r="I17" s="588">
        <f ca="1"/>
        <v>2294.7267000000002</v>
      </c>
      <c r="J17" s="588">
        <f ca="1"/>
        <v>3059.6356000000001</v>
      </c>
      <c r="K17" s="588">
        <f ca="1"/>
        <v>3633.3172750000003</v>
      </c>
      <c r="L17" s="588">
        <f ca="1"/>
        <v>3824.5445000000004</v>
      </c>
      <c r="M17" s="598">
        <f ca="1"/>
        <v>4589.4534000000003</v>
      </c>
      <c r="N17" s="580">
        <f t="shared" ref="N17:N25" ca="1" si="1">SUM(B17:M17)</f>
        <v>42261.216725000006</v>
      </c>
      <c r="O17" s="61"/>
    </row>
    <row r="18" spans="1:15" ht="15.75" customHeight="1">
      <c r="A18" s="1973" t="str">
        <v/>
      </c>
      <c r="B18" s="589">
        <f ca="1"/>
        <v>0</v>
      </c>
      <c r="C18" s="590">
        <f ca="1"/>
        <v>0</v>
      </c>
      <c r="D18" s="590">
        <f ca="1"/>
        <v>0</v>
      </c>
      <c r="E18" s="590">
        <f ca="1"/>
        <v>0</v>
      </c>
      <c r="F18" s="590">
        <f ca="1"/>
        <v>0</v>
      </c>
      <c r="G18" s="590">
        <f ca="1"/>
        <v>0</v>
      </c>
      <c r="H18" s="590">
        <f ca="1"/>
        <v>0</v>
      </c>
      <c r="I18" s="590">
        <f ca="1"/>
        <v>0</v>
      </c>
      <c r="J18" s="590">
        <f ca="1"/>
        <v>0</v>
      </c>
      <c r="K18" s="590">
        <f ca="1"/>
        <v>0</v>
      </c>
      <c r="L18" s="590">
        <f ca="1"/>
        <v>0</v>
      </c>
      <c r="M18" s="599">
        <f ca="1"/>
        <v>0</v>
      </c>
      <c r="N18" s="583">
        <f t="shared" ca="1" si="1"/>
        <v>0</v>
      </c>
      <c r="O18" s="61"/>
    </row>
    <row r="19" spans="1:15" ht="15.75" customHeight="1">
      <c r="A19" s="1973" t="str">
        <v/>
      </c>
      <c r="B19" s="589">
        <f ca="1"/>
        <v>0</v>
      </c>
      <c r="C19" s="590">
        <f ca="1"/>
        <v>0</v>
      </c>
      <c r="D19" s="590">
        <f ca="1"/>
        <v>0</v>
      </c>
      <c r="E19" s="590">
        <f ca="1"/>
        <v>0</v>
      </c>
      <c r="F19" s="590">
        <f ca="1"/>
        <v>0</v>
      </c>
      <c r="G19" s="590">
        <f ca="1"/>
        <v>0</v>
      </c>
      <c r="H19" s="590">
        <f ca="1"/>
        <v>0</v>
      </c>
      <c r="I19" s="590">
        <f ca="1"/>
        <v>0</v>
      </c>
      <c r="J19" s="590">
        <f ca="1"/>
        <v>0</v>
      </c>
      <c r="K19" s="590">
        <f ca="1"/>
        <v>0</v>
      </c>
      <c r="L19" s="590">
        <f ca="1"/>
        <v>0</v>
      </c>
      <c r="M19" s="599">
        <f ca="1"/>
        <v>0</v>
      </c>
      <c r="N19" s="583">
        <f t="shared" ca="1" si="1"/>
        <v>0</v>
      </c>
      <c r="O19" s="61"/>
    </row>
    <row r="20" spans="1:15" ht="15.75" customHeight="1">
      <c r="A20" s="1973" t="str">
        <v/>
      </c>
      <c r="B20" s="589">
        <f ca="1"/>
        <v>0</v>
      </c>
      <c r="C20" s="590">
        <f ca="1"/>
        <v>0</v>
      </c>
      <c r="D20" s="590">
        <f ca="1"/>
        <v>0</v>
      </c>
      <c r="E20" s="590">
        <f ca="1"/>
        <v>0</v>
      </c>
      <c r="F20" s="590">
        <f ca="1"/>
        <v>0</v>
      </c>
      <c r="G20" s="590">
        <f ca="1"/>
        <v>0</v>
      </c>
      <c r="H20" s="590">
        <f ca="1"/>
        <v>0</v>
      </c>
      <c r="I20" s="590">
        <f ca="1"/>
        <v>0</v>
      </c>
      <c r="J20" s="590">
        <f ca="1"/>
        <v>0</v>
      </c>
      <c r="K20" s="590">
        <f ca="1"/>
        <v>0</v>
      </c>
      <c r="L20" s="590">
        <f ca="1"/>
        <v>0</v>
      </c>
      <c r="M20" s="599">
        <f ca="1"/>
        <v>0</v>
      </c>
      <c r="N20" s="583">
        <f t="shared" ca="1" si="1"/>
        <v>0</v>
      </c>
      <c r="O20" s="61"/>
    </row>
    <row r="21" spans="1:15" ht="15.75" customHeight="1">
      <c r="A21" s="1973" t="str">
        <v/>
      </c>
      <c r="B21" s="589">
        <f ca="1"/>
        <v>0</v>
      </c>
      <c r="C21" s="590">
        <f ca="1"/>
        <v>0</v>
      </c>
      <c r="D21" s="590">
        <f ca="1"/>
        <v>0</v>
      </c>
      <c r="E21" s="590">
        <f ca="1"/>
        <v>0</v>
      </c>
      <c r="F21" s="590">
        <f ca="1"/>
        <v>0</v>
      </c>
      <c r="G21" s="590">
        <f ca="1"/>
        <v>0</v>
      </c>
      <c r="H21" s="590">
        <f ca="1"/>
        <v>0</v>
      </c>
      <c r="I21" s="590">
        <f ca="1"/>
        <v>0</v>
      </c>
      <c r="J21" s="590">
        <f ca="1"/>
        <v>0</v>
      </c>
      <c r="K21" s="590">
        <f ca="1"/>
        <v>0</v>
      </c>
      <c r="L21" s="590">
        <f ca="1"/>
        <v>0</v>
      </c>
      <c r="M21" s="599">
        <f ca="1"/>
        <v>0</v>
      </c>
      <c r="N21" s="583">
        <f t="shared" ca="1" si="1"/>
        <v>0</v>
      </c>
      <c r="O21" s="61"/>
    </row>
    <row r="22" spans="1:15" ht="15.75" customHeight="1">
      <c r="A22" s="1973" t="str">
        <v/>
      </c>
      <c r="B22" s="589">
        <f ca="1"/>
        <v>0</v>
      </c>
      <c r="C22" s="590">
        <f ca="1"/>
        <v>0</v>
      </c>
      <c r="D22" s="590">
        <f ca="1"/>
        <v>0</v>
      </c>
      <c r="E22" s="590">
        <f ca="1"/>
        <v>0</v>
      </c>
      <c r="F22" s="590">
        <f ca="1"/>
        <v>0</v>
      </c>
      <c r="G22" s="590">
        <f ca="1"/>
        <v>0</v>
      </c>
      <c r="H22" s="590">
        <f ca="1"/>
        <v>0</v>
      </c>
      <c r="I22" s="590">
        <f ca="1"/>
        <v>0</v>
      </c>
      <c r="J22" s="590">
        <f ca="1"/>
        <v>0</v>
      </c>
      <c r="K22" s="590">
        <f ca="1"/>
        <v>0</v>
      </c>
      <c r="L22" s="590">
        <f ca="1"/>
        <v>0</v>
      </c>
      <c r="M22" s="599">
        <f ca="1"/>
        <v>0</v>
      </c>
      <c r="N22" s="583">
        <f t="shared" ca="1" si="1"/>
        <v>0</v>
      </c>
      <c r="O22" s="61"/>
    </row>
    <row r="23" spans="1:15" ht="15.75" customHeight="1">
      <c r="A23" s="1973" t="str">
        <v/>
      </c>
      <c r="B23" s="589">
        <f ca="1"/>
        <v>0</v>
      </c>
      <c r="C23" s="590">
        <f ca="1"/>
        <v>0</v>
      </c>
      <c r="D23" s="590">
        <f ca="1"/>
        <v>0</v>
      </c>
      <c r="E23" s="590">
        <f ca="1"/>
        <v>0</v>
      </c>
      <c r="F23" s="590">
        <f ca="1"/>
        <v>0</v>
      </c>
      <c r="G23" s="590">
        <f ca="1"/>
        <v>0</v>
      </c>
      <c r="H23" s="590">
        <f ca="1"/>
        <v>0</v>
      </c>
      <c r="I23" s="590">
        <f ca="1"/>
        <v>0</v>
      </c>
      <c r="J23" s="590">
        <f ca="1"/>
        <v>0</v>
      </c>
      <c r="K23" s="590">
        <f ca="1"/>
        <v>0</v>
      </c>
      <c r="L23" s="590">
        <f ca="1"/>
        <v>0</v>
      </c>
      <c r="M23" s="599">
        <f ca="1"/>
        <v>0</v>
      </c>
      <c r="N23" s="583">
        <f t="shared" ca="1" si="1"/>
        <v>0</v>
      </c>
      <c r="O23" s="61"/>
    </row>
    <row r="24" spans="1:15" ht="15.75" customHeight="1" thickBot="1">
      <c r="A24" s="1974" t="str">
        <v/>
      </c>
      <c r="B24" s="591">
        <f ca="1"/>
        <v>0</v>
      </c>
      <c r="C24" s="592">
        <f ca="1"/>
        <v>0</v>
      </c>
      <c r="D24" s="592">
        <f ca="1"/>
        <v>0</v>
      </c>
      <c r="E24" s="592">
        <f ca="1"/>
        <v>0</v>
      </c>
      <c r="F24" s="592">
        <f ca="1"/>
        <v>0</v>
      </c>
      <c r="G24" s="592">
        <f ca="1"/>
        <v>0</v>
      </c>
      <c r="H24" s="592">
        <f ca="1"/>
        <v>0</v>
      </c>
      <c r="I24" s="592">
        <f ca="1"/>
        <v>0</v>
      </c>
      <c r="J24" s="592">
        <f ca="1"/>
        <v>0</v>
      </c>
      <c r="K24" s="592">
        <f ca="1"/>
        <v>0</v>
      </c>
      <c r="L24" s="592">
        <f ca="1"/>
        <v>0</v>
      </c>
      <c r="M24" s="600">
        <f ca="1"/>
        <v>0</v>
      </c>
      <c r="N24" s="593">
        <f t="shared" ca="1" si="1"/>
        <v>0</v>
      </c>
      <c r="O24" s="61"/>
    </row>
    <row r="25" spans="1:15" ht="15.75" customHeight="1" thickBot="1">
      <c r="A25" s="428" t="s">
        <v>15</v>
      </c>
      <c r="B25" s="595">
        <f t="shared" ref="B25:M25" ca="1" si="2">B17+B18+B19+B20+B21+B22+B23+B24</f>
        <v>3059.6356000000001</v>
      </c>
      <c r="C25" s="596">
        <f t="shared" ca="1" si="2"/>
        <v>3824.5445000000004</v>
      </c>
      <c r="D25" s="596">
        <f t="shared" ca="1" si="2"/>
        <v>4206.9989500000001</v>
      </c>
      <c r="E25" s="596">
        <f t="shared" ca="1" si="2"/>
        <v>4015.7717249999996</v>
      </c>
      <c r="F25" s="596">
        <f t="shared" ca="1" si="2"/>
        <v>3442.0900500000002</v>
      </c>
      <c r="G25" s="596">
        <f t="shared" ca="1" si="2"/>
        <v>3250.8628250000002</v>
      </c>
      <c r="H25" s="596">
        <f t="shared" ca="1" si="2"/>
        <v>3059.6356000000001</v>
      </c>
      <c r="I25" s="596">
        <f t="shared" ca="1" si="2"/>
        <v>2294.7267000000002</v>
      </c>
      <c r="J25" s="596">
        <f t="shared" ca="1" si="2"/>
        <v>3059.6356000000001</v>
      </c>
      <c r="K25" s="596">
        <f t="shared" ca="1" si="2"/>
        <v>3633.3172750000003</v>
      </c>
      <c r="L25" s="596">
        <f t="shared" ca="1" si="2"/>
        <v>3824.5445000000004</v>
      </c>
      <c r="M25" s="597">
        <f t="shared" ca="1" si="2"/>
        <v>4589.4534000000003</v>
      </c>
      <c r="N25" s="594">
        <f t="shared" ca="1" si="1"/>
        <v>42261.216725000006</v>
      </c>
      <c r="O25" s="61"/>
    </row>
    <row r="26" spans="1:15" ht="15">
      <c r="A26" s="213"/>
    </row>
    <row r="27" spans="1:15" ht="15">
      <c r="A27" s="213"/>
    </row>
    <row r="28" spans="1:15" ht="23.25" customHeight="1">
      <c r="A28" s="67" t="str">
        <f>'Prev.Ventas 0'!A28</f>
        <v>Estacionalidad de las Ventas</v>
      </c>
      <c r="B28" s="61"/>
      <c r="D28" s="421" t="str">
        <f>E1</f>
        <v>Año 4:  2030</v>
      </c>
    </row>
    <row r="29" spans="1:15" ht="22.5">
      <c r="A29" s="67" t="str">
        <f>'Datos Básicos'!B9</f>
        <v>nombre empresa</v>
      </c>
    </row>
    <row r="30" spans="1:15" ht="14.25" customHeight="1" thickBot="1">
      <c r="A30" s="59"/>
    </row>
    <row r="31" spans="1:15" s="443" customFormat="1" ht="18.75" customHeight="1" thickBot="1">
      <c r="A31" s="448" t="s">
        <v>36</v>
      </c>
      <c r="B31" s="438" t="str">
        <f t="array" ref="B31:M31">meses</f>
        <v>enero</v>
      </c>
      <c r="C31" s="438" t="str">
        <v>febrero</v>
      </c>
      <c r="D31" s="438" t="str">
        <v>marzo</v>
      </c>
      <c r="E31" s="438" t="str">
        <v>abril</v>
      </c>
      <c r="F31" s="438" t="str">
        <v>mayo</v>
      </c>
      <c r="G31" s="438" t="str">
        <v>junio</v>
      </c>
      <c r="H31" s="438" t="str">
        <v>julio</v>
      </c>
      <c r="I31" s="438" t="str">
        <v>agosto</v>
      </c>
      <c r="J31" s="438" t="str">
        <v>septiembre</v>
      </c>
      <c r="K31" s="438" t="str">
        <v>octubre</v>
      </c>
      <c r="L31" s="438" t="str">
        <v>noviembre</v>
      </c>
      <c r="M31" s="448" t="str">
        <v>diciembre</v>
      </c>
      <c r="N31" s="438" t="s">
        <v>15</v>
      </c>
      <c r="O31" s="442"/>
    </row>
    <row r="32" spans="1:15" ht="18.75" customHeight="1">
      <c r="A32" s="1988" t="str">
        <f t="array" ref="A32:A39">productos</f>
        <v>producto o servicio</v>
      </c>
      <c r="B32" s="1993" t="str">
        <f t="array" aca="1" ref="B32:M39" ca="1">IF(OR($N17:$N24=0,B17:M24=""),"",B17:M24/$N17:$N24)</f>
        <v/>
      </c>
      <c r="C32" s="430" t="str">
        <f ca="1"/>
        <v/>
      </c>
      <c r="D32" s="430" t="str">
        <f ca="1"/>
        <v/>
      </c>
      <c r="E32" s="430" t="str">
        <f ca="1"/>
        <v/>
      </c>
      <c r="F32" s="430" t="str">
        <f ca="1"/>
        <v/>
      </c>
      <c r="G32" s="430" t="str">
        <f ca="1"/>
        <v/>
      </c>
      <c r="H32" s="430" t="str">
        <f ca="1"/>
        <v/>
      </c>
      <c r="I32" s="430" t="str">
        <f ca="1"/>
        <v/>
      </c>
      <c r="J32" s="430" t="str">
        <f ca="1"/>
        <v/>
      </c>
      <c r="K32" s="430" t="str">
        <f ca="1"/>
        <v/>
      </c>
      <c r="L32" s="430" t="str">
        <f ca="1"/>
        <v/>
      </c>
      <c r="M32" s="431" t="str">
        <f ca="1"/>
        <v/>
      </c>
      <c r="N32" s="575">
        <f t="shared" ref="N32:N40" ca="1" si="3">SUM(B32:M32)</f>
        <v>0</v>
      </c>
    </row>
    <row r="33" spans="1:20" ht="18.75" customHeight="1">
      <c r="A33" s="1989" t="str">
        <v/>
      </c>
      <c r="B33" s="1994" t="str">
        <f ca="1"/>
        <v/>
      </c>
      <c r="C33" s="432" t="str">
        <f ca="1"/>
        <v/>
      </c>
      <c r="D33" s="432" t="str">
        <f ca="1"/>
        <v/>
      </c>
      <c r="E33" s="432" t="str">
        <f ca="1"/>
        <v/>
      </c>
      <c r="F33" s="432" t="str">
        <f ca="1"/>
        <v/>
      </c>
      <c r="G33" s="432" t="str">
        <f ca="1"/>
        <v/>
      </c>
      <c r="H33" s="432" t="str">
        <f ca="1"/>
        <v/>
      </c>
      <c r="I33" s="432" t="str">
        <f ca="1"/>
        <v/>
      </c>
      <c r="J33" s="432" t="str">
        <f ca="1"/>
        <v/>
      </c>
      <c r="K33" s="432" t="str">
        <f ca="1"/>
        <v/>
      </c>
      <c r="L33" s="432" t="str">
        <f ca="1"/>
        <v/>
      </c>
      <c r="M33" s="433" t="str">
        <f ca="1"/>
        <v/>
      </c>
      <c r="N33" s="576">
        <f t="shared" ca="1" si="3"/>
        <v>0</v>
      </c>
    </row>
    <row r="34" spans="1:20" ht="18.75" customHeight="1">
      <c r="A34" s="1989" t="str">
        <v/>
      </c>
      <c r="B34" s="1994" t="str">
        <f ca="1"/>
        <v/>
      </c>
      <c r="C34" s="432" t="str">
        <f ca="1"/>
        <v/>
      </c>
      <c r="D34" s="432" t="str">
        <f ca="1"/>
        <v/>
      </c>
      <c r="E34" s="432" t="str">
        <f ca="1"/>
        <v/>
      </c>
      <c r="F34" s="432" t="str">
        <f ca="1"/>
        <v/>
      </c>
      <c r="G34" s="432" t="str">
        <f ca="1"/>
        <v/>
      </c>
      <c r="H34" s="432" t="str">
        <f ca="1"/>
        <v/>
      </c>
      <c r="I34" s="432" t="str">
        <f ca="1"/>
        <v/>
      </c>
      <c r="J34" s="432" t="str">
        <f ca="1"/>
        <v/>
      </c>
      <c r="K34" s="432" t="str">
        <f ca="1"/>
        <v/>
      </c>
      <c r="L34" s="432" t="str">
        <f ca="1"/>
        <v/>
      </c>
      <c r="M34" s="433" t="str">
        <f ca="1"/>
        <v/>
      </c>
      <c r="N34" s="576">
        <f t="shared" ca="1" si="3"/>
        <v>0</v>
      </c>
    </row>
    <row r="35" spans="1:20" ht="18.75" customHeight="1">
      <c r="A35" s="1989" t="str">
        <v/>
      </c>
      <c r="B35" s="1994" t="str">
        <f ca="1"/>
        <v/>
      </c>
      <c r="C35" s="432" t="str">
        <f ca="1"/>
        <v/>
      </c>
      <c r="D35" s="432" t="str">
        <f ca="1"/>
        <v/>
      </c>
      <c r="E35" s="432" t="str">
        <f ca="1"/>
        <v/>
      </c>
      <c r="F35" s="432" t="str">
        <f ca="1"/>
        <v/>
      </c>
      <c r="G35" s="432" t="str">
        <f ca="1"/>
        <v/>
      </c>
      <c r="H35" s="432" t="str">
        <f ca="1"/>
        <v/>
      </c>
      <c r="I35" s="432" t="str">
        <f ca="1"/>
        <v/>
      </c>
      <c r="J35" s="432" t="str">
        <f ca="1"/>
        <v/>
      </c>
      <c r="K35" s="432" t="str">
        <f ca="1"/>
        <v/>
      </c>
      <c r="L35" s="432" t="str">
        <f ca="1"/>
        <v/>
      </c>
      <c r="M35" s="433" t="str">
        <f ca="1"/>
        <v/>
      </c>
      <c r="N35" s="576">
        <f t="shared" ca="1" si="3"/>
        <v>0</v>
      </c>
    </row>
    <row r="36" spans="1:20" ht="18.75" customHeight="1">
      <c r="A36" s="1989" t="str">
        <v/>
      </c>
      <c r="B36" s="1994" t="str">
        <f ca="1"/>
        <v/>
      </c>
      <c r="C36" s="432" t="str">
        <f ca="1"/>
        <v/>
      </c>
      <c r="D36" s="432" t="str">
        <f ca="1"/>
        <v/>
      </c>
      <c r="E36" s="432" t="str">
        <f ca="1"/>
        <v/>
      </c>
      <c r="F36" s="432" t="str">
        <f ca="1"/>
        <v/>
      </c>
      <c r="G36" s="432" t="str">
        <f ca="1"/>
        <v/>
      </c>
      <c r="H36" s="432" t="str">
        <f ca="1"/>
        <v/>
      </c>
      <c r="I36" s="432" t="str">
        <f ca="1"/>
        <v/>
      </c>
      <c r="J36" s="432" t="str">
        <f ca="1"/>
        <v/>
      </c>
      <c r="K36" s="432" t="str">
        <f ca="1"/>
        <v/>
      </c>
      <c r="L36" s="432" t="str">
        <f ca="1"/>
        <v/>
      </c>
      <c r="M36" s="433" t="str">
        <f ca="1"/>
        <v/>
      </c>
      <c r="N36" s="576">
        <f t="shared" ca="1" si="3"/>
        <v>0</v>
      </c>
    </row>
    <row r="37" spans="1:20" ht="18.75" customHeight="1">
      <c r="A37" s="1989" t="str">
        <v/>
      </c>
      <c r="B37" s="1994" t="str">
        <f ca="1"/>
        <v/>
      </c>
      <c r="C37" s="432" t="str">
        <f ca="1"/>
        <v/>
      </c>
      <c r="D37" s="432" t="str">
        <f ca="1"/>
        <v/>
      </c>
      <c r="E37" s="432" t="str">
        <f ca="1"/>
        <v/>
      </c>
      <c r="F37" s="432" t="str">
        <f ca="1"/>
        <v/>
      </c>
      <c r="G37" s="432" t="str">
        <f ca="1"/>
        <v/>
      </c>
      <c r="H37" s="432" t="str">
        <f ca="1"/>
        <v/>
      </c>
      <c r="I37" s="432" t="str">
        <f ca="1"/>
        <v/>
      </c>
      <c r="J37" s="432" t="str">
        <f ca="1"/>
        <v/>
      </c>
      <c r="K37" s="432" t="str">
        <f ca="1"/>
        <v/>
      </c>
      <c r="L37" s="432" t="str">
        <f ca="1"/>
        <v/>
      </c>
      <c r="M37" s="433" t="str">
        <f ca="1"/>
        <v/>
      </c>
      <c r="N37" s="576">
        <f t="shared" ca="1" si="3"/>
        <v>0</v>
      </c>
    </row>
    <row r="38" spans="1:20" ht="18.75" customHeight="1">
      <c r="A38" s="1989" t="str">
        <v/>
      </c>
      <c r="B38" s="1994" t="str">
        <f ca="1"/>
        <v/>
      </c>
      <c r="C38" s="432" t="str">
        <f ca="1"/>
        <v/>
      </c>
      <c r="D38" s="432" t="str">
        <f ca="1"/>
        <v/>
      </c>
      <c r="E38" s="432" t="str">
        <f ca="1"/>
        <v/>
      </c>
      <c r="F38" s="432" t="str">
        <f ca="1"/>
        <v/>
      </c>
      <c r="G38" s="432" t="str">
        <f ca="1"/>
        <v/>
      </c>
      <c r="H38" s="432" t="str">
        <f ca="1"/>
        <v/>
      </c>
      <c r="I38" s="432" t="str">
        <f ca="1"/>
        <v/>
      </c>
      <c r="J38" s="432" t="str">
        <f ca="1"/>
        <v/>
      </c>
      <c r="K38" s="432" t="str">
        <f ca="1"/>
        <v/>
      </c>
      <c r="L38" s="432" t="str">
        <f ca="1"/>
        <v/>
      </c>
      <c r="M38" s="433" t="str">
        <f ca="1"/>
        <v/>
      </c>
      <c r="N38" s="576">
        <f t="shared" ca="1" si="3"/>
        <v>0</v>
      </c>
    </row>
    <row r="39" spans="1:20" ht="18.75" customHeight="1" thickBot="1">
      <c r="A39" s="1990" t="str">
        <v/>
      </c>
      <c r="B39" s="1995" t="str">
        <f ca="1"/>
        <v/>
      </c>
      <c r="C39" s="434" t="str">
        <f ca="1"/>
        <v/>
      </c>
      <c r="D39" s="434" t="str">
        <f ca="1"/>
        <v/>
      </c>
      <c r="E39" s="434" t="str">
        <f ca="1"/>
        <v/>
      </c>
      <c r="F39" s="434" t="str">
        <f ca="1"/>
        <v/>
      </c>
      <c r="G39" s="434" t="str">
        <f ca="1"/>
        <v/>
      </c>
      <c r="H39" s="434" t="str">
        <f ca="1"/>
        <v/>
      </c>
      <c r="I39" s="434" t="str">
        <f ca="1"/>
        <v/>
      </c>
      <c r="J39" s="434" t="str">
        <f ca="1"/>
        <v/>
      </c>
      <c r="K39" s="434" t="str">
        <f ca="1"/>
        <v/>
      </c>
      <c r="L39" s="434" t="str">
        <f ca="1"/>
        <v/>
      </c>
      <c r="M39" s="435" t="str">
        <f ca="1"/>
        <v/>
      </c>
      <c r="N39" s="577">
        <f t="shared" ca="1" si="3"/>
        <v>0</v>
      </c>
    </row>
    <row r="40" spans="1:20" s="35" customFormat="1" ht="18.75" customHeight="1" thickBot="1">
      <c r="A40" s="1991" t="s">
        <v>37</v>
      </c>
      <c r="B40" s="1996">
        <f t="array" aca="1" ref="B40:M40" ca="1">B25:M25/$N$25</f>
        <v>7.2398190045248861E-2</v>
      </c>
      <c r="C40" s="436">
        <f ca="1"/>
        <v>9.0497737556561084E-2</v>
      </c>
      <c r="D40" s="436">
        <f ca="1"/>
        <v>9.9547511312217188E-2</v>
      </c>
      <c r="E40" s="436">
        <f ca="1"/>
        <v>9.5022624434389122E-2</v>
      </c>
      <c r="F40" s="436">
        <f ca="1"/>
        <v>8.1447963800904966E-2</v>
      </c>
      <c r="G40" s="436">
        <f ca="1"/>
        <v>7.6923076923076913E-2</v>
      </c>
      <c r="H40" s="436">
        <f ca="1"/>
        <v>7.2398190045248861E-2</v>
      </c>
      <c r="I40" s="436">
        <f ca="1"/>
        <v>5.4298642533936646E-2</v>
      </c>
      <c r="J40" s="436">
        <f ca="1"/>
        <v>7.2398190045248861E-2</v>
      </c>
      <c r="K40" s="436">
        <f ca="1"/>
        <v>8.5972850678733032E-2</v>
      </c>
      <c r="L40" s="436">
        <f ca="1"/>
        <v>9.0497737556561084E-2</v>
      </c>
      <c r="M40" s="436">
        <f ca="1"/>
        <v>0.10859728506787329</v>
      </c>
      <c r="N40" s="437">
        <f t="shared" ca="1" si="3"/>
        <v>0.99999999999999989</v>
      </c>
      <c r="O40" s="232"/>
      <c r="P40" s="61"/>
      <c r="Q40" s="61"/>
      <c r="R40" s="61"/>
      <c r="S40" s="61"/>
      <c r="T40" s="61"/>
    </row>
    <row r="41" spans="1:20" s="35" customFormat="1" ht="18.75" customHeight="1"/>
    <row r="43" spans="1:20">
      <c r="B43" s="61"/>
    </row>
    <row r="44" spans="1:20">
      <c r="B44" s="61"/>
    </row>
    <row r="45" spans="1:20">
      <c r="B45" s="61"/>
    </row>
    <row r="46" spans="1:20">
      <c r="B46" s="61"/>
    </row>
    <row r="47" spans="1:20">
      <c r="B47" s="61"/>
    </row>
    <row r="48" spans="1:20">
      <c r="B48" s="61"/>
    </row>
    <row r="49" spans="2:2">
      <c r="B49" s="61"/>
    </row>
    <row r="50" spans="2:2">
      <c r="B50" s="61"/>
    </row>
    <row r="51" spans="2:2">
      <c r="B51" s="61"/>
    </row>
    <row r="52" spans="2:2">
      <c r="B52" s="61"/>
    </row>
    <row r="53" spans="2:2">
      <c r="B53" s="61"/>
    </row>
    <row r="54" spans="2:2">
      <c r="B54" s="61"/>
    </row>
    <row r="55" spans="2:2">
      <c r="B55" s="61"/>
    </row>
    <row r="56" spans="2:2">
      <c r="B56" s="61"/>
    </row>
    <row r="57" spans="2:2">
      <c r="B57" s="61"/>
    </row>
    <row r="58" spans="2:2">
      <c r="B58" s="61"/>
    </row>
    <row r="59" spans="2:2">
      <c r="B59" s="61"/>
    </row>
    <row r="60" spans="2:2">
      <c r="B60" s="61"/>
    </row>
    <row r="61" spans="2:2">
      <c r="B61" s="61"/>
    </row>
    <row r="62" spans="2:2">
      <c r="B62" s="61"/>
    </row>
    <row r="63" spans="2:2">
      <c r="B63" s="61"/>
    </row>
    <row r="64" spans="2:2">
      <c r="B64" s="61"/>
    </row>
    <row r="65" spans="2:2">
      <c r="B65" s="61"/>
    </row>
    <row r="66" spans="2:2">
      <c r="B66" s="61"/>
    </row>
    <row r="80" spans="2:2">
      <c r="B80" s="61"/>
    </row>
    <row r="81" spans="2:2">
      <c r="B81" s="61"/>
    </row>
  </sheetData>
  <sheetProtection sheet="1" objects="1" scenarios="1"/>
  <phoneticPr fontId="6" type="noConversion"/>
  <conditionalFormatting sqref="B32:M39">
    <cfRule type="expression" dxfId="19" priority="1" stopIfTrue="1">
      <formula>B32=""</formula>
    </cfRule>
  </conditionalFormatting>
  <printOptions horizontalCentered="1" verticalCentered="1"/>
  <pageMargins left="0.38" right="0.19685039370078741" top="0.53" bottom="0.7" header="0.51181102362204722" footer="0.39370078740157483"/>
  <pageSetup paperSize="9" scale="78" fitToHeight="2" orientation="landscape" horizontalDpi="300" verticalDpi="300" r:id="rId1"/>
  <headerFooter alignWithMargins="0">
    <oddFooter>&amp;C&amp;"Tahoma,Normal"&amp;10&amp;A</oddFooter>
  </headerFooter>
  <rowBreaks count="1" manualBreakCount="1">
    <brk id="27"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63">
    <tabColor indexed="53"/>
    <pageSetUpPr fitToPage="1"/>
  </sheetPr>
  <dimension ref="A1:Q17"/>
  <sheetViews>
    <sheetView workbookViewId="0"/>
  </sheetViews>
  <sheetFormatPr baseColWidth="10" defaultColWidth="11" defaultRowHeight="12.75"/>
  <cols>
    <col min="1" max="1" width="24" style="232" customWidth="1"/>
    <col min="2" max="2" width="15.125" style="60" bestFit="1" customWidth="1"/>
    <col min="3" max="3" width="13" style="61" customWidth="1"/>
    <col min="4" max="4" width="11.5" style="61" customWidth="1"/>
    <col min="5" max="9" width="10.125" style="61" customWidth="1"/>
    <col min="10" max="13" width="11.25" style="61" customWidth="1"/>
    <col min="14" max="14" width="10.75" style="61" customWidth="1"/>
    <col min="15" max="15" width="11.5" style="232" customWidth="1"/>
    <col min="16" max="16384" width="11" style="61"/>
  </cols>
  <sheetData>
    <row r="1" spans="1:17" ht="27.75" customHeight="1">
      <c r="A1" s="67" t="s">
        <v>878</v>
      </c>
    </row>
    <row r="2" spans="1:17" ht="26.25" customHeight="1">
      <c r="A2" s="67" t="str">
        <f>'Datos Básicos'!B9</f>
        <v>nombre empresa</v>
      </c>
    </row>
    <row r="3" spans="1:17" ht="14.25" customHeight="1">
      <c r="A3" s="59"/>
    </row>
    <row r="4" spans="1:17" ht="14.25" customHeight="1">
      <c r="A4" s="59"/>
    </row>
    <row r="5" spans="1:17" ht="25.5" customHeight="1" thickBot="1">
      <c r="A5" s="422" t="s">
        <v>861</v>
      </c>
    </row>
    <row r="6" spans="1:17" ht="22.5" customHeight="1" thickBot="1">
      <c r="A6" s="446" t="s">
        <v>859</v>
      </c>
      <c r="B6" s="446">
        <v>-360</v>
      </c>
      <c r="C6" s="446">
        <v>-330</v>
      </c>
      <c r="D6" s="446">
        <v>-300</v>
      </c>
      <c r="E6" s="446">
        <v>-270</v>
      </c>
      <c r="F6" s="446">
        <v>-240</v>
      </c>
      <c r="G6" s="446">
        <v>-210</v>
      </c>
      <c r="H6" s="446">
        <v>-180</v>
      </c>
      <c r="I6" s="446">
        <v>-150</v>
      </c>
      <c r="J6" s="446">
        <v>-120</v>
      </c>
      <c r="K6" s="446">
        <v>-90</v>
      </c>
      <c r="L6" s="446">
        <v>-60</v>
      </c>
      <c r="M6" s="446">
        <v>-30</v>
      </c>
      <c r="N6" s="446">
        <v>0</v>
      </c>
      <c r="O6" s="1975" t="s">
        <v>860</v>
      </c>
      <c r="P6" s="1975" t="s">
        <v>15</v>
      </c>
    </row>
    <row r="7" spans="1:17" ht="22.5" customHeight="1" thickBot="1">
      <c r="A7" s="1960" t="s">
        <v>858</v>
      </c>
      <c r="B7" s="446">
        <v>12</v>
      </c>
      <c r="C7" s="446">
        <v>11</v>
      </c>
      <c r="D7" s="446">
        <v>10</v>
      </c>
      <c r="E7" s="446">
        <v>9</v>
      </c>
      <c r="F7" s="446">
        <v>8</v>
      </c>
      <c r="G7" s="446">
        <v>7</v>
      </c>
      <c r="H7" s="446">
        <v>6</v>
      </c>
      <c r="I7" s="446">
        <v>5</v>
      </c>
      <c r="J7" s="446">
        <v>4</v>
      </c>
      <c r="K7" s="446">
        <v>3</v>
      </c>
      <c r="L7" s="446">
        <v>2</v>
      </c>
      <c r="M7" s="446">
        <v>1</v>
      </c>
      <c r="N7" s="438">
        <v>0</v>
      </c>
      <c r="O7" s="446"/>
      <c r="P7" s="446"/>
    </row>
    <row r="8" spans="1:17" ht="21" customHeight="1">
      <c r="A8" s="2797" t="str">
        <f t="array" ref="A8:A15">productos</f>
        <v>producto o servicio</v>
      </c>
      <c r="B8" s="1760">
        <v>0</v>
      </c>
      <c r="C8" s="1760">
        <v>0</v>
      </c>
      <c r="D8" s="1760">
        <v>0</v>
      </c>
      <c r="E8" s="1760">
        <v>0</v>
      </c>
      <c r="F8" s="1760">
        <v>0</v>
      </c>
      <c r="G8" s="1760">
        <v>0</v>
      </c>
      <c r="H8" s="1760">
        <v>0</v>
      </c>
      <c r="I8" s="1760">
        <v>0</v>
      </c>
      <c r="J8" s="1760">
        <v>0</v>
      </c>
      <c r="K8" s="1760">
        <v>0</v>
      </c>
      <c r="L8" s="1760">
        <v>0</v>
      </c>
      <c r="M8" s="1760">
        <v>0</v>
      </c>
      <c r="N8" s="1759">
        <f t="shared" ref="N8:N15" si="0">IF(SUM(B8:M8)&gt;1,"ERROR",1-SUM(B8:M8))</f>
        <v>1</v>
      </c>
      <c r="O8" s="1961">
        <f t="array" ref="O8">-SUM($B$6:$N$6*B8:N8)</f>
        <v>0</v>
      </c>
      <c r="P8" s="1761">
        <f t="shared" ref="P8:P15" si="1">SUM(B8:N8)</f>
        <v>1</v>
      </c>
      <c r="Q8" s="1758" t="str">
        <f t="shared" ref="Q8:Q15" si="2">IF(P8&lt;&gt;1,"ERROR EN PORCENTAJES DE PRODUCCIÓN","")</f>
        <v/>
      </c>
    </row>
    <row r="9" spans="1:17" ht="21" customHeight="1">
      <c r="A9" s="2798" t="str">
        <v/>
      </c>
      <c r="B9" s="1760">
        <v>0</v>
      </c>
      <c r="C9" s="1760">
        <v>0</v>
      </c>
      <c r="D9" s="1760">
        <v>0</v>
      </c>
      <c r="E9" s="1760">
        <v>0</v>
      </c>
      <c r="F9" s="1760">
        <v>0</v>
      </c>
      <c r="G9" s="1760">
        <v>0</v>
      </c>
      <c r="H9" s="1760">
        <v>0</v>
      </c>
      <c r="I9" s="1760">
        <v>0</v>
      </c>
      <c r="J9" s="1760">
        <v>0</v>
      </c>
      <c r="K9" s="1760">
        <v>0</v>
      </c>
      <c r="L9" s="1760">
        <v>0</v>
      </c>
      <c r="M9" s="1760">
        <v>0</v>
      </c>
      <c r="N9" s="1759">
        <f t="shared" si="0"/>
        <v>1</v>
      </c>
      <c r="O9" s="1961">
        <f t="array" ref="O9">-SUM($B$6:$N$6*B9:N9)</f>
        <v>0</v>
      </c>
      <c r="P9" s="1761">
        <f t="shared" si="1"/>
        <v>1</v>
      </c>
      <c r="Q9" s="1758" t="str">
        <f t="shared" si="2"/>
        <v/>
      </c>
    </row>
    <row r="10" spans="1:17" ht="21" customHeight="1">
      <c r="A10" s="2798" t="str">
        <v/>
      </c>
      <c r="B10" s="1760">
        <v>0</v>
      </c>
      <c r="C10" s="1760">
        <v>0</v>
      </c>
      <c r="D10" s="1760">
        <v>0</v>
      </c>
      <c r="E10" s="1760">
        <v>0</v>
      </c>
      <c r="F10" s="1760">
        <v>0</v>
      </c>
      <c r="G10" s="1760">
        <v>0</v>
      </c>
      <c r="H10" s="1760">
        <v>0</v>
      </c>
      <c r="I10" s="1760">
        <v>0</v>
      </c>
      <c r="J10" s="1760">
        <v>0</v>
      </c>
      <c r="K10" s="1760">
        <v>0</v>
      </c>
      <c r="L10" s="1760">
        <v>0</v>
      </c>
      <c r="M10" s="1760">
        <v>0</v>
      </c>
      <c r="N10" s="1759">
        <f t="shared" si="0"/>
        <v>1</v>
      </c>
      <c r="O10" s="1961">
        <f t="array" ref="O10">-SUM($B$6:$N$6*B10:N10)</f>
        <v>0</v>
      </c>
      <c r="P10" s="1761">
        <f t="shared" si="1"/>
        <v>1</v>
      </c>
      <c r="Q10" s="1758" t="str">
        <f t="shared" si="2"/>
        <v/>
      </c>
    </row>
    <row r="11" spans="1:17" ht="21" customHeight="1">
      <c r="A11" s="2798" t="str">
        <v/>
      </c>
      <c r="B11" s="1760">
        <v>0</v>
      </c>
      <c r="C11" s="1760">
        <v>0</v>
      </c>
      <c r="D11" s="1760">
        <v>0</v>
      </c>
      <c r="E11" s="1760">
        <v>0</v>
      </c>
      <c r="F11" s="1760">
        <v>0</v>
      </c>
      <c r="G11" s="1760">
        <v>0</v>
      </c>
      <c r="H11" s="1760">
        <v>0</v>
      </c>
      <c r="I11" s="1760">
        <v>0</v>
      </c>
      <c r="J11" s="1760">
        <v>0</v>
      </c>
      <c r="K11" s="1760">
        <v>0</v>
      </c>
      <c r="L11" s="1760">
        <v>0</v>
      </c>
      <c r="M11" s="1760">
        <v>0</v>
      </c>
      <c r="N11" s="1759">
        <f t="shared" si="0"/>
        <v>1</v>
      </c>
      <c r="O11" s="1961">
        <f t="array" ref="O11">-SUM($B$6:$N$6*B11:N11)</f>
        <v>0</v>
      </c>
      <c r="P11" s="1761">
        <f t="shared" si="1"/>
        <v>1</v>
      </c>
      <c r="Q11" s="1758" t="str">
        <f t="shared" si="2"/>
        <v/>
      </c>
    </row>
    <row r="12" spans="1:17" ht="21" customHeight="1">
      <c r="A12" s="2798" t="str">
        <v/>
      </c>
      <c r="B12" s="1760">
        <v>0</v>
      </c>
      <c r="C12" s="1760">
        <v>0</v>
      </c>
      <c r="D12" s="1760">
        <v>0</v>
      </c>
      <c r="E12" s="1760">
        <v>0</v>
      </c>
      <c r="F12" s="1760">
        <v>0</v>
      </c>
      <c r="G12" s="1760">
        <v>0</v>
      </c>
      <c r="H12" s="1760">
        <v>0</v>
      </c>
      <c r="I12" s="1760">
        <v>0</v>
      </c>
      <c r="J12" s="1760">
        <v>0</v>
      </c>
      <c r="K12" s="1760">
        <v>0</v>
      </c>
      <c r="L12" s="1760">
        <v>0</v>
      </c>
      <c r="M12" s="1760">
        <v>0</v>
      </c>
      <c r="N12" s="1759">
        <f t="shared" si="0"/>
        <v>1</v>
      </c>
      <c r="O12" s="1961">
        <f t="array" ref="O12">-SUM($B$6:$N$6*B12:N12)</f>
        <v>0</v>
      </c>
      <c r="P12" s="1761">
        <f t="shared" si="1"/>
        <v>1</v>
      </c>
      <c r="Q12" s="1758" t="str">
        <f t="shared" si="2"/>
        <v/>
      </c>
    </row>
    <row r="13" spans="1:17" ht="21" customHeight="1">
      <c r="A13" s="2798" t="str">
        <v/>
      </c>
      <c r="B13" s="1760">
        <v>0</v>
      </c>
      <c r="C13" s="1760">
        <v>0</v>
      </c>
      <c r="D13" s="1760">
        <v>0</v>
      </c>
      <c r="E13" s="1760">
        <v>0</v>
      </c>
      <c r="F13" s="1760">
        <v>0</v>
      </c>
      <c r="G13" s="1760">
        <v>0</v>
      </c>
      <c r="H13" s="1760">
        <v>0</v>
      </c>
      <c r="I13" s="1760">
        <v>0</v>
      </c>
      <c r="J13" s="1760">
        <v>0</v>
      </c>
      <c r="K13" s="1760">
        <v>0</v>
      </c>
      <c r="L13" s="1760">
        <v>0</v>
      </c>
      <c r="M13" s="1760">
        <v>0</v>
      </c>
      <c r="N13" s="1759">
        <f t="shared" si="0"/>
        <v>1</v>
      </c>
      <c r="O13" s="1961">
        <f t="array" ref="O13">-SUM($B$6:$N$6*B13:N13)</f>
        <v>0</v>
      </c>
      <c r="P13" s="1761">
        <f t="shared" si="1"/>
        <v>1</v>
      </c>
      <c r="Q13" s="1758" t="str">
        <f t="shared" si="2"/>
        <v/>
      </c>
    </row>
    <row r="14" spans="1:17" ht="21" customHeight="1">
      <c r="A14" s="2798" t="str">
        <v/>
      </c>
      <c r="B14" s="1760">
        <v>0</v>
      </c>
      <c r="C14" s="1760">
        <v>0</v>
      </c>
      <c r="D14" s="1760">
        <v>0</v>
      </c>
      <c r="E14" s="1760">
        <v>0</v>
      </c>
      <c r="F14" s="1760">
        <v>0</v>
      </c>
      <c r="G14" s="1760">
        <v>0</v>
      </c>
      <c r="H14" s="1760">
        <v>0</v>
      </c>
      <c r="I14" s="1760">
        <v>0</v>
      </c>
      <c r="J14" s="1760">
        <v>0</v>
      </c>
      <c r="K14" s="1760">
        <v>0</v>
      </c>
      <c r="L14" s="1760">
        <v>0</v>
      </c>
      <c r="M14" s="1760">
        <v>0</v>
      </c>
      <c r="N14" s="1759">
        <f t="shared" si="0"/>
        <v>1</v>
      </c>
      <c r="O14" s="1961">
        <f t="array" ref="O14">-SUM($B$6:$N$6*B14:N14)</f>
        <v>0</v>
      </c>
      <c r="P14" s="1761">
        <f t="shared" si="1"/>
        <v>1</v>
      </c>
      <c r="Q14" s="1758" t="str">
        <f t="shared" si="2"/>
        <v/>
      </c>
    </row>
    <row r="15" spans="1:17" ht="21" customHeight="1" thickBot="1">
      <c r="A15" s="2799" t="str">
        <v/>
      </c>
      <c r="B15" s="1763">
        <v>0</v>
      </c>
      <c r="C15" s="1763">
        <v>0</v>
      </c>
      <c r="D15" s="1763">
        <v>0</v>
      </c>
      <c r="E15" s="1763">
        <v>0</v>
      </c>
      <c r="F15" s="1763">
        <v>0</v>
      </c>
      <c r="G15" s="1763">
        <v>0</v>
      </c>
      <c r="H15" s="1763">
        <v>0</v>
      </c>
      <c r="I15" s="1763">
        <v>0</v>
      </c>
      <c r="J15" s="1763">
        <v>0</v>
      </c>
      <c r="K15" s="1763">
        <v>0</v>
      </c>
      <c r="L15" s="1763">
        <v>0</v>
      </c>
      <c r="M15" s="1763">
        <v>0</v>
      </c>
      <c r="N15" s="1762">
        <f t="shared" si="0"/>
        <v>1</v>
      </c>
      <c r="O15" s="1961">
        <f t="array" ref="O15">-SUM($B$6:$N$6*B15:N15)</f>
        <v>0</v>
      </c>
      <c r="P15" s="1764">
        <f t="shared" si="1"/>
        <v>1</v>
      </c>
      <c r="Q15" s="1758" t="str">
        <f t="shared" si="2"/>
        <v/>
      </c>
    </row>
    <row r="16" spans="1:17" ht="14.25" customHeight="1">
      <c r="A16" s="59"/>
    </row>
    <row r="17" spans="1:1" ht="14.25" customHeight="1">
      <c r="A17" s="59"/>
    </row>
  </sheetData>
  <sheetProtection sheet="1" objects="1" scenarios="1"/>
  <phoneticPr fontId="6" type="noConversion"/>
  <dataValidations xWindow="240" yWindow="248" count="1">
    <dataValidation type="decimal" allowBlank="1" showInputMessage="1" showErrorMessage="1" sqref="H8:M15" xr:uid="{00000000-0002-0000-1B00-000000000000}">
      <formula1>0</formula1>
      <formula2>1</formula2>
    </dataValidation>
  </dataValidations>
  <printOptions horizontalCentered="1" verticalCentered="1"/>
  <pageMargins left="0.38" right="0.19685039370078741" top="0.53" bottom="0.71" header="0.51181102362204722" footer="0.39370078740157483"/>
  <pageSetup paperSize="9" scale="62" fitToHeight="2" orientation="landscape" horizontalDpi="300" verticalDpi="300" r:id="rId1"/>
  <headerFooter alignWithMargins="0">
    <oddFooter>&amp;C&amp;"Tahoma,Normal"&amp;10&amp;A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67">
    <tabColor indexed="10"/>
    <pageSetUpPr fitToPage="1"/>
  </sheetPr>
  <dimension ref="A1:Z251"/>
  <sheetViews>
    <sheetView workbookViewId="0"/>
  </sheetViews>
  <sheetFormatPr baseColWidth="10" defaultColWidth="11" defaultRowHeight="12.75"/>
  <cols>
    <col min="1" max="1" width="24" style="232" customWidth="1"/>
    <col min="2" max="2" width="11.375" style="60" customWidth="1"/>
    <col min="3" max="14" width="11.375" style="61" customWidth="1"/>
    <col min="15" max="15" width="11.5" style="232" customWidth="1"/>
    <col min="16" max="18" width="11" style="61"/>
    <col min="19" max="19" width="12.125" style="61" customWidth="1"/>
    <col min="20" max="16384" width="11" style="61"/>
  </cols>
  <sheetData>
    <row r="1" spans="1:16" ht="22.5">
      <c r="A1" s="67" t="s">
        <v>876</v>
      </c>
      <c r="K1" s="2709" t="str">
        <f>Parametros!B$77</f>
        <v>Año 0:  2026</v>
      </c>
      <c r="L1" s="421"/>
    </row>
    <row r="2" spans="1:16" ht="22.5">
      <c r="A2" s="67" t="str">
        <f>'Datos Básicos'!B9</f>
        <v>nombre empresa</v>
      </c>
    </row>
    <row r="3" spans="1:16" ht="14.25" customHeight="1">
      <c r="A3" s="59"/>
    </row>
    <row r="4" spans="1:16" ht="14.25" customHeight="1">
      <c r="A4" s="59"/>
    </row>
    <row r="5" spans="1:16" ht="14.25" customHeight="1">
      <c r="A5" s="59"/>
    </row>
    <row r="6" spans="1:16" ht="24" customHeight="1" thickBot="1">
      <c r="A6" s="422" t="s">
        <v>863</v>
      </c>
    </row>
    <row r="7" spans="1:16" s="447" customFormat="1" ht="15.75" customHeight="1" thickBot="1">
      <c r="A7" s="446" t="s">
        <v>167</v>
      </c>
      <c r="B7" s="444" t="str">
        <f t="array" ref="B7:M7">meses</f>
        <v>enero</v>
      </c>
      <c r="C7" s="440" t="str">
        <v>febrero</v>
      </c>
      <c r="D7" s="440" t="str">
        <v>marzo</v>
      </c>
      <c r="E7" s="440" t="str">
        <v>abril</v>
      </c>
      <c r="F7" s="440" t="str">
        <v>mayo</v>
      </c>
      <c r="G7" s="440" t="str">
        <v>junio</v>
      </c>
      <c r="H7" s="440" t="str">
        <v>julio</v>
      </c>
      <c r="I7" s="440" t="str">
        <v>agosto</v>
      </c>
      <c r="J7" s="440" t="str">
        <v>septiembre</v>
      </c>
      <c r="K7" s="440" t="str">
        <v>octubre</v>
      </c>
      <c r="L7" s="440" t="str">
        <v>noviembre</v>
      </c>
      <c r="M7" s="441" t="str">
        <v>diciembre</v>
      </c>
      <c r="N7" s="438" t="s">
        <v>15</v>
      </c>
    </row>
    <row r="8" spans="1:16" ht="15.75" customHeight="1">
      <c r="A8" s="1972" t="str">
        <f t="array" ref="A8:A15">productos</f>
        <v>producto o servicio</v>
      </c>
      <c r="B8" s="578">
        <f t="array" aca="1" ref="B8:M15" ca="1">'Prev.Ventas 0'!B5:M12</f>
        <v>500</v>
      </c>
      <c r="C8" s="579">
        <f ca="1"/>
        <v>534.469696969697</v>
      </c>
      <c r="D8" s="579">
        <f ca="1"/>
        <v>587.12121212121212</v>
      </c>
      <c r="E8" s="579">
        <f ca="1"/>
        <v>617.0454545454545</v>
      </c>
      <c r="F8" s="579">
        <f ca="1"/>
        <v>601.5151515151515</v>
      </c>
      <c r="G8" s="579">
        <f ca="1"/>
        <v>604.16666666666663</v>
      </c>
      <c r="H8" s="579">
        <f ca="1"/>
        <v>597.72727272727275</v>
      </c>
      <c r="I8" s="579">
        <f ca="1"/>
        <v>486.74242424242419</v>
      </c>
      <c r="J8" s="579">
        <f ca="1"/>
        <v>630.30303030303025</v>
      </c>
      <c r="K8" s="579">
        <f ca="1"/>
        <v>769.31818181818176</v>
      </c>
      <c r="L8" s="579">
        <f ca="1"/>
        <v>844.69696969696963</v>
      </c>
      <c r="M8" s="601">
        <f ca="1"/>
        <v>1079.1666666666665</v>
      </c>
      <c r="N8" s="580">
        <f t="shared" ref="N8:N15" ca="1" si="0">SUM(B8:M8)</f>
        <v>7852.2727272727261</v>
      </c>
      <c r="O8" s="61"/>
      <c r="P8" s="447"/>
    </row>
    <row r="9" spans="1:16" ht="15.75" customHeight="1">
      <c r="A9" s="1973" t="str">
        <v/>
      </c>
      <c r="B9" s="581">
        <f ca="1"/>
        <v>0</v>
      </c>
      <c r="C9" s="582">
        <f ca="1"/>
        <v>0</v>
      </c>
      <c r="D9" s="582">
        <f ca="1"/>
        <v>0</v>
      </c>
      <c r="E9" s="582">
        <f ca="1"/>
        <v>0</v>
      </c>
      <c r="F9" s="582">
        <f ca="1"/>
        <v>0</v>
      </c>
      <c r="G9" s="582">
        <f ca="1"/>
        <v>0</v>
      </c>
      <c r="H9" s="582">
        <f ca="1"/>
        <v>0</v>
      </c>
      <c r="I9" s="582">
        <f ca="1"/>
        <v>0</v>
      </c>
      <c r="J9" s="582">
        <f ca="1"/>
        <v>0</v>
      </c>
      <c r="K9" s="582">
        <f ca="1"/>
        <v>0</v>
      </c>
      <c r="L9" s="582">
        <f ca="1"/>
        <v>0</v>
      </c>
      <c r="M9" s="602">
        <f ca="1"/>
        <v>0</v>
      </c>
      <c r="N9" s="583">
        <f t="shared" ca="1" si="0"/>
        <v>0</v>
      </c>
      <c r="O9" s="61"/>
      <c r="P9" s="447"/>
    </row>
    <row r="10" spans="1:16" ht="15.75" customHeight="1">
      <c r="A10" s="1973" t="str">
        <v/>
      </c>
      <c r="B10" s="581">
        <f ca="1"/>
        <v>0</v>
      </c>
      <c r="C10" s="582">
        <f ca="1"/>
        <v>0</v>
      </c>
      <c r="D10" s="582">
        <f ca="1"/>
        <v>0</v>
      </c>
      <c r="E10" s="582">
        <f ca="1"/>
        <v>0</v>
      </c>
      <c r="F10" s="582">
        <f ca="1"/>
        <v>0</v>
      </c>
      <c r="G10" s="582">
        <f ca="1"/>
        <v>0</v>
      </c>
      <c r="H10" s="582">
        <f ca="1"/>
        <v>0</v>
      </c>
      <c r="I10" s="582">
        <f ca="1"/>
        <v>0</v>
      </c>
      <c r="J10" s="582">
        <f ca="1"/>
        <v>0</v>
      </c>
      <c r="K10" s="582">
        <f ca="1"/>
        <v>0</v>
      </c>
      <c r="L10" s="582">
        <f ca="1"/>
        <v>0</v>
      </c>
      <c r="M10" s="602">
        <f ca="1"/>
        <v>0</v>
      </c>
      <c r="N10" s="583">
        <f t="shared" ca="1" si="0"/>
        <v>0</v>
      </c>
      <c r="O10" s="61"/>
      <c r="P10" s="447"/>
    </row>
    <row r="11" spans="1:16" ht="15.75" customHeight="1">
      <c r="A11" s="1973" t="str">
        <v/>
      </c>
      <c r="B11" s="581">
        <f ca="1"/>
        <v>0</v>
      </c>
      <c r="C11" s="582">
        <f ca="1"/>
        <v>0</v>
      </c>
      <c r="D11" s="582">
        <f ca="1"/>
        <v>0</v>
      </c>
      <c r="E11" s="582">
        <f ca="1"/>
        <v>0</v>
      </c>
      <c r="F11" s="582">
        <f ca="1"/>
        <v>0</v>
      </c>
      <c r="G11" s="582">
        <f ca="1"/>
        <v>0</v>
      </c>
      <c r="H11" s="582">
        <f ca="1"/>
        <v>0</v>
      </c>
      <c r="I11" s="582">
        <f ca="1"/>
        <v>0</v>
      </c>
      <c r="J11" s="582">
        <f ca="1"/>
        <v>0</v>
      </c>
      <c r="K11" s="582">
        <f ca="1"/>
        <v>0</v>
      </c>
      <c r="L11" s="582">
        <f ca="1"/>
        <v>0</v>
      </c>
      <c r="M11" s="602">
        <f ca="1"/>
        <v>0</v>
      </c>
      <c r="N11" s="583">
        <f t="shared" ca="1" si="0"/>
        <v>0</v>
      </c>
      <c r="O11" s="61"/>
      <c r="P11" s="447"/>
    </row>
    <row r="12" spans="1:16" ht="15.75" customHeight="1">
      <c r="A12" s="1973" t="str">
        <v/>
      </c>
      <c r="B12" s="581">
        <f ca="1"/>
        <v>0</v>
      </c>
      <c r="C12" s="582">
        <f ca="1"/>
        <v>0</v>
      </c>
      <c r="D12" s="582">
        <f ca="1"/>
        <v>0</v>
      </c>
      <c r="E12" s="582">
        <f ca="1"/>
        <v>0</v>
      </c>
      <c r="F12" s="582">
        <f ca="1"/>
        <v>0</v>
      </c>
      <c r="G12" s="582">
        <f ca="1"/>
        <v>0</v>
      </c>
      <c r="H12" s="582">
        <f ca="1"/>
        <v>0</v>
      </c>
      <c r="I12" s="582">
        <f ca="1"/>
        <v>0</v>
      </c>
      <c r="J12" s="582">
        <f ca="1"/>
        <v>0</v>
      </c>
      <c r="K12" s="582">
        <f ca="1"/>
        <v>0</v>
      </c>
      <c r="L12" s="582">
        <f ca="1"/>
        <v>0</v>
      </c>
      <c r="M12" s="602">
        <f ca="1"/>
        <v>0</v>
      </c>
      <c r="N12" s="583">
        <f t="shared" ca="1" si="0"/>
        <v>0</v>
      </c>
      <c r="O12" s="61"/>
      <c r="P12" s="447"/>
    </row>
    <row r="13" spans="1:16" ht="15.75" customHeight="1">
      <c r="A13" s="1973" t="str">
        <v/>
      </c>
      <c r="B13" s="581">
        <f ca="1"/>
        <v>0</v>
      </c>
      <c r="C13" s="582">
        <f ca="1"/>
        <v>0</v>
      </c>
      <c r="D13" s="582">
        <f ca="1"/>
        <v>0</v>
      </c>
      <c r="E13" s="582">
        <f ca="1"/>
        <v>0</v>
      </c>
      <c r="F13" s="582">
        <f ca="1"/>
        <v>0</v>
      </c>
      <c r="G13" s="582">
        <f ca="1"/>
        <v>0</v>
      </c>
      <c r="H13" s="582">
        <f ca="1"/>
        <v>0</v>
      </c>
      <c r="I13" s="582">
        <f ca="1"/>
        <v>0</v>
      </c>
      <c r="J13" s="582">
        <f ca="1"/>
        <v>0</v>
      </c>
      <c r="K13" s="582">
        <f ca="1"/>
        <v>0</v>
      </c>
      <c r="L13" s="582">
        <f ca="1"/>
        <v>0</v>
      </c>
      <c r="M13" s="602">
        <f ca="1"/>
        <v>0</v>
      </c>
      <c r="N13" s="583">
        <f t="shared" ca="1" si="0"/>
        <v>0</v>
      </c>
      <c r="O13" s="61"/>
      <c r="P13" s="447"/>
    </row>
    <row r="14" spans="1:16" ht="15.75" customHeight="1">
      <c r="A14" s="1973" t="str">
        <v/>
      </c>
      <c r="B14" s="581">
        <f ca="1"/>
        <v>0</v>
      </c>
      <c r="C14" s="582">
        <f ca="1"/>
        <v>0</v>
      </c>
      <c r="D14" s="582">
        <f ca="1"/>
        <v>0</v>
      </c>
      <c r="E14" s="582">
        <f ca="1"/>
        <v>0</v>
      </c>
      <c r="F14" s="582">
        <f ca="1"/>
        <v>0</v>
      </c>
      <c r="G14" s="582">
        <f ca="1"/>
        <v>0</v>
      </c>
      <c r="H14" s="582">
        <f ca="1"/>
        <v>0</v>
      </c>
      <c r="I14" s="582">
        <f ca="1"/>
        <v>0</v>
      </c>
      <c r="J14" s="582">
        <f ca="1"/>
        <v>0</v>
      </c>
      <c r="K14" s="582">
        <f ca="1"/>
        <v>0</v>
      </c>
      <c r="L14" s="582">
        <f ca="1"/>
        <v>0</v>
      </c>
      <c r="M14" s="602">
        <f ca="1"/>
        <v>0</v>
      </c>
      <c r="N14" s="583">
        <f t="shared" ca="1" si="0"/>
        <v>0</v>
      </c>
      <c r="O14" s="61"/>
      <c r="P14" s="447"/>
    </row>
    <row r="15" spans="1:16" ht="15.75" customHeight="1" thickBot="1">
      <c r="A15" s="1974" t="str">
        <v/>
      </c>
      <c r="B15" s="584">
        <f ca="1"/>
        <v>0</v>
      </c>
      <c r="C15" s="585">
        <f ca="1"/>
        <v>0</v>
      </c>
      <c r="D15" s="585">
        <f ca="1"/>
        <v>0</v>
      </c>
      <c r="E15" s="585">
        <f ca="1"/>
        <v>0</v>
      </c>
      <c r="F15" s="585">
        <f ca="1"/>
        <v>0</v>
      </c>
      <c r="G15" s="585">
        <f ca="1"/>
        <v>0</v>
      </c>
      <c r="H15" s="585">
        <f ca="1"/>
        <v>0</v>
      </c>
      <c r="I15" s="585">
        <f ca="1"/>
        <v>0</v>
      </c>
      <c r="J15" s="585">
        <f ca="1"/>
        <v>0</v>
      </c>
      <c r="K15" s="585">
        <f ca="1"/>
        <v>0</v>
      </c>
      <c r="L15" s="585">
        <f ca="1"/>
        <v>0</v>
      </c>
      <c r="M15" s="603">
        <f ca="1"/>
        <v>0</v>
      </c>
      <c r="N15" s="586">
        <f t="shared" ca="1" si="0"/>
        <v>0</v>
      </c>
      <c r="O15" s="61"/>
      <c r="P15" s="447"/>
    </row>
    <row r="16" spans="1:16" ht="15">
      <c r="A16" s="72"/>
    </row>
    <row r="17" spans="1:16" ht="15">
      <c r="A17" s="213"/>
    </row>
    <row r="18" spans="1:16" ht="18.75" thickBot="1">
      <c r="A18" s="1969" t="s">
        <v>1067</v>
      </c>
      <c r="G18" s="2710" t="str">
        <f>$K$1</f>
        <v>Año 0:  2026</v>
      </c>
      <c r="I18" s="1969" t="str">
        <f>'Datos Básicos'!A28&amp;" NO incluido"</f>
        <v>IVA NO incluido</v>
      </c>
    </row>
    <row r="19" spans="1:16" s="445" customFormat="1" ht="15.75" customHeight="1" thickBot="1">
      <c r="A19" s="446" t="s">
        <v>857</v>
      </c>
      <c r="B19" s="444" t="str">
        <f t="array" ref="B19:M19">meses</f>
        <v>enero</v>
      </c>
      <c r="C19" s="440" t="str">
        <v>febrero</v>
      </c>
      <c r="D19" s="440" t="str">
        <v>marzo</v>
      </c>
      <c r="E19" s="440" t="str">
        <v>abril</v>
      </c>
      <c r="F19" s="440" t="str">
        <v>mayo</v>
      </c>
      <c r="G19" s="440" t="str">
        <v>junio</v>
      </c>
      <c r="H19" s="440" t="str">
        <v>julio</v>
      </c>
      <c r="I19" s="440" t="str">
        <v>agosto</v>
      </c>
      <c r="J19" s="440" t="str">
        <v>septiembre</v>
      </c>
      <c r="K19" s="440" t="str">
        <v>octubre</v>
      </c>
      <c r="L19" s="440" t="str">
        <v>noviembre</v>
      </c>
      <c r="M19" s="441" t="str">
        <v>diciembre</v>
      </c>
      <c r="N19" s="438" t="str">
        <f>N$7</f>
        <v>Totales</v>
      </c>
    </row>
    <row r="20" spans="1:16" ht="15.75" customHeight="1">
      <c r="A20" s="1972" t="str">
        <f t="array" ref="A20:A27">productos</f>
        <v>producto o servicio</v>
      </c>
      <c r="B20" s="587">
        <f t="array" aca="1" ref="B20:M27" ca="1">B8:M15*'Precios-CV'!$B19:$B26</f>
        <v>175.00000000000003</v>
      </c>
      <c r="C20" s="588">
        <f ca="1"/>
        <v>187.06439393939397</v>
      </c>
      <c r="D20" s="588">
        <f ca="1"/>
        <v>205.49242424242425</v>
      </c>
      <c r="E20" s="588">
        <f ca="1"/>
        <v>215.96590909090909</v>
      </c>
      <c r="F20" s="588">
        <f ca="1"/>
        <v>210.53030303030306</v>
      </c>
      <c r="G20" s="588">
        <f ca="1"/>
        <v>211.45833333333334</v>
      </c>
      <c r="H20" s="588">
        <f ca="1"/>
        <v>209.2045454545455</v>
      </c>
      <c r="I20" s="588">
        <f ca="1"/>
        <v>170.35984848484847</v>
      </c>
      <c r="J20" s="588">
        <f ca="1"/>
        <v>220.60606060606062</v>
      </c>
      <c r="K20" s="588">
        <f ca="1"/>
        <v>269.26136363636363</v>
      </c>
      <c r="L20" s="588">
        <f ca="1"/>
        <v>295.64393939393938</v>
      </c>
      <c r="M20" s="598">
        <f ca="1"/>
        <v>377.70833333333331</v>
      </c>
      <c r="N20" s="580">
        <f t="shared" ref="N20:N39" ca="1" si="1">SUM(B20:M20)</f>
        <v>2748.295454545455</v>
      </c>
      <c r="O20" s="61"/>
      <c r="P20" s="445"/>
    </row>
    <row r="21" spans="1:16" ht="15.75" customHeight="1">
      <c r="A21" s="1973" t="str">
        <v/>
      </c>
      <c r="B21" s="589">
        <f ca="1"/>
        <v>0</v>
      </c>
      <c r="C21" s="590">
        <f ca="1"/>
        <v>0</v>
      </c>
      <c r="D21" s="590">
        <f ca="1"/>
        <v>0</v>
      </c>
      <c r="E21" s="590">
        <f ca="1"/>
        <v>0</v>
      </c>
      <c r="F21" s="590">
        <f ca="1"/>
        <v>0</v>
      </c>
      <c r="G21" s="590">
        <f ca="1"/>
        <v>0</v>
      </c>
      <c r="H21" s="590">
        <f ca="1"/>
        <v>0</v>
      </c>
      <c r="I21" s="590">
        <f ca="1"/>
        <v>0</v>
      </c>
      <c r="J21" s="590">
        <f ca="1"/>
        <v>0</v>
      </c>
      <c r="K21" s="590">
        <f ca="1"/>
        <v>0</v>
      </c>
      <c r="L21" s="590">
        <f ca="1"/>
        <v>0</v>
      </c>
      <c r="M21" s="599">
        <f ca="1"/>
        <v>0</v>
      </c>
      <c r="N21" s="583">
        <f t="shared" ca="1" si="1"/>
        <v>0</v>
      </c>
      <c r="O21" s="61"/>
      <c r="P21" s="445"/>
    </row>
    <row r="22" spans="1:16" ht="15.75" customHeight="1">
      <c r="A22" s="1973" t="str">
        <v/>
      </c>
      <c r="B22" s="589">
        <f ca="1"/>
        <v>0</v>
      </c>
      <c r="C22" s="590">
        <f ca="1"/>
        <v>0</v>
      </c>
      <c r="D22" s="590">
        <f ca="1"/>
        <v>0</v>
      </c>
      <c r="E22" s="590">
        <f ca="1"/>
        <v>0</v>
      </c>
      <c r="F22" s="590">
        <f ca="1"/>
        <v>0</v>
      </c>
      <c r="G22" s="590">
        <f ca="1"/>
        <v>0</v>
      </c>
      <c r="H22" s="590">
        <f ca="1"/>
        <v>0</v>
      </c>
      <c r="I22" s="590">
        <f ca="1"/>
        <v>0</v>
      </c>
      <c r="J22" s="590">
        <f ca="1"/>
        <v>0</v>
      </c>
      <c r="K22" s="590">
        <f ca="1"/>
        <v>0</v>
      </c>
      <c r="L22" s="590">
        <f ca="1"/>
        <v>0</v>
      </c>
      <c r="M22" s="599">
        <f ca="1"/>
        <v>0</v>
      </c>
      <c r="N22" s="583">
        <f t="shared" ca="1" si="1"/>
        <v>0</v>
      </c>
      <c r="O22" s="61"/>
      <c r="P22" s="445"/>
    </row>
    <row r="23" spans="1:16" ht="15.75" customHeight="1">
      <c r="A23" s="1973" t="str">
        <v/>
      </c>
      <c r="B23" s="589">
        <f ca="1"/>
        <v>0</v>
      </c>
      <c r="C23" s="590">
        <f ca="1"/>
        <v>0</v>
      </c>
      <c r="D23" s="590">
        <f ca="1"/>
        <v>0</v>
      </c>
      <c r="E23" s="590">
        <f ca="1"/>
        <v>0</v>
      </c>
      <c r="F23" s="590">
        <f ca="1"/>
        <v>0</v>
      </c>
      <c r="G23" s="590">
        <f ca="1"/>
        <v>0</v>
      </c>
      <c r="H23" s="590">
        <f ca="1"/>
        <v>0</v>
      </c>
      <c r="I23" s="590">
        <f ca="1"/>
        <v>0</v>
      </c>
      <c r="J23" s="590">
        <f ca="1"/>
        <v>0</v>
      </c>
      <c r="K23" s="590">
        <f ca="1"/>
        <v>0</v>
      </c>
      <c r="L23" s="590">
        <f ca="1"/>
        <v>0</v>
      </c>
      <c r="M23" s="599">
        <f ca="1"/>
        <v>0</v>
      </c>
      <c r="N23" s="583">
        <f t="shared" ca="1" si="1"/>
        <v>0</v>
      </c>
      <c r="O23" s="61"/>
      <c r="P23" s="445"/>
    </row>
    <row r="24" spans="1:16" ht="15.75" customHeight="1">
      <c r="A24" s="1973" t="str">
        <v/>
      </c>
      <c r="B24" s="589">
        <f ca="1"/>
        <v>0</v>
      </c>
      <c r="C24" s="590">
        <f ca="1"/>
        <v>0</v>
      </c>
      <c r="D24" s="590">
        <f ca="1"/>
        <v>0</v>
      </c>
      <c r="E24" s="590">
        <f ca="1"/>
        <v>0</v>
      </c>
      <c r="F24" s="590">
        <f ca="1"/>
        <v>0</v>
      </c>
      <c r="G24" s="590">
        <f ca="1"/>
        <v>0</v>
      </c>
      <c r="H24" s="590">
        <f ca="1"/>
        <v>0</v>
      </c>
      <c r="I24" s="590">
        <f ca="1"/>
        <v>0</v>
      </c>
      <c r="J24" s="590">
        <f ca="1"/>
        <v>0</v>
      </c>
      <c r="K24" s="590">
        <f ca="1"/>
        <v>0</v>
      </c>
      <c r="L24" s="590">
        <f ca="1"/>
        <v>0</v>
      </c>
      <c r="M24" s="599">
        <f ca="1"/>
        <v>0</v>
      </c>
      <c r="N24" s="583">
        <f t="shared" ca="1" si="1"/>
        <v>0</v>
      </c>
      <c r="O24" s="61"/>
      <c r="P24" s="445"/>
    </row>
    <row r="25" spans="1:16" ht="15.75" customHeight="1">
      <c r="A25" s="1973" t="str">
        <v/>
      </c>
      <c r="B25" s="589">
        <f ca="1"/>
        <v>0</v>
      </c>
      <c r="C25" s="590">
        <f ca="1"/>
        <v>0</v>
      </c>
      <c r="D25" s="590">
        <f ca="1"/>
        <v>0</v>
      </c>
      <c r="E25" s="590">
        <f ca="1"/>
        <v>0</v>
      </c>
      <c r="F25" s="590">
        <f ca="1"/>
        <v>0</v>
      </c>
      <c r="G25" s="590">
        <f ca="1"/>
        <v>0</v>
      </c>
      <c r="H25" s="590">
        <f ca="1"/>
        <v>0</v>
      </c>
      <c r="I25" s="590">
        <f ca="1"/>
        <v>0</v>
      </c>
      <c r="J25" s="590">
        <f ca="1"/>
        <v>0</v>
      </c>
      <c r="K25" s="590">
        <f ca="1"/>
        <v>0</v>
      </c>
      <c r="L25" s="590">
        <f ca="1"/>
        <v>0</v>
      </c>
      <c r="M25" s="599">
        <f ca="1"/>
        <v>0</v>
      </c>
      <c r="N25" s="583">
        <f t="shared" ca="1" si="1"/>
        <v>0</v>
      </c>
      <c r="O25" s="61"/>
      <c r="P25" s="445"/>
    </row>
    <row r="26" spans="1:16" ht="15.75" customHeight="1">
      <c r="A26" s="1973" t="str">
        <v/>
      </c>
      <c r="B26" s="589">
        <f ca="1"/>
        <v>0</v>
      </c>
      <c r="C26" s="590">
        <f ca="1"/>
        <v>0</v>
      </c>
      <c r="D26" s="590">
        <f ca="1"/>
        <v>0</v>
      </c>
      <c r="E26" s="590">
        <f ca="1"/>
        <v>0</v>
      </c>
      <c r="F26" s="590">
        <f ca="1"/>
        <v>0</v>
      </c>
      <c r="G26" s="590">
        <f ca="1"/>
        <v>0</v>
      </c>
      <c r="H26" s="590">
        <f ca="1"/>
        <v>0</v>
      </c>
      <c r="I26" s="590">
        <f ca="1"/>
        <v>0</v>
      </c>
      <c r="J26" s="590">
        <f ca="1"/>
        <v>0</v>
      </c>
      <c r="K26" s="590">
        <f ca="1"/>
        <v>0</v>
      </c>
      <c r="L26" s="590">
        <f ca="1"/>
        <v>0</v>
      </c>
      <c r="M26" s="599">
        <f ca="1"/>
        <v>0</v>
      </c>
      <c r="N26" s="583">
        <f t="shared" ca="1" si="1"/>
        <v>0</v>
      </c>
      <c r="O26" s="61"/>
      <c r="P26" s="445"/>
    </row>
    <row r="27" spans="1:16" ht="15.75" customHeight="1" thickBot="1">
      <c r="A27" s="1974" t="str">
        <v/>
      </c>
      <c r="B27" s="591">
        <f ca="1"/>
        <v>0</v>
      </c>
      <c r="C27" s="592">
        <f ca="1"/>
        <v>0</v>
      </c>
      <c r="D27" s="592">
        <f ca="1"/>
        <v>0</v>
      </c>
      <c r="E27" s="592">
        <f ca="1"/>
        <v>0</v>
      </c>
      <c r="F27" s="592">
        <f ca="1"/>
        <v>0</v>
      </c>
      <c r="G27" s="592">
        <f ca="1"/>
        <v>0</v>
      </c>
      <c r="H27" s="592">
        <f ca="1"/>
        <v>0</v>
      </c>
      <c r="I27" s="592">
        <f ca="1"/>
        <v>0</v>
      </c>
      <c r="J27" s="592">
        <f ca="1"/>
        <v>0</v>
      </c>
      <c r="K27" s="592">
        <f ca="1"/>
        <v>0</v>
      </c>
      <c r="L27" s="592">
        <f ca="1"/>
        <v>0</v>
      </c>
      <c r="M27" s="600">
        <f ca="1"/>
        <v>0</v>
      </c>
      <c r="N27" s="593">
        <f t="shared" ca="1" si="1"/>
        <v>0</v>
      </c>
      <c r="O27" s="61"/>
      <c r="P27" s="445"/>
    </row>
    <row r="28" spans="1:16" ht="15.75" customHeight="1" thickBot="1">
      <c r="A28" s="103" t="s">
        <v>15</v>
      </c>
      <c r="B28" s="595">
        <f t="shared" ref="B28:M28" ca="1" si="2">SUM(B20:B27)</f>
        <v>175.00000000000003</v>
      </c>
      <c r="C28" s="596">
        <f t="shared" ca="1" si="2"/>
        <v>187.06439393939397</v>
      </c>
      <c r="D28" s="596">
        <f t="shared" ca="1" si="2"/>
        <v>205.49242424242425</v>
      </c>
      <c r="E28" s="596">
        <f t="shared" ca="1" si="2"/>
        <v>215.96590909090909</v>
      </c>
      <c r="F28" s="596">
        <f t="shared" ca="1" si="2"/>
        <v>210.53030303030306</v>
      </c>
      <c r="G28" s="596">
        <f t="shared" ca="1" si="2"/>
        <v>211.45833333333334</v>
      </c>
      <c r="H28" s="596">
        <f t="shared" ca="1" si="2"/>
        <v>209.2045454545455</v>
      </c>
      <c r="I28" s="596">
        <f t="shared" ca="1" si="2"/>
        <v>170.35984848484847</v>
      </c>
      <c r="J28" s="596">
        <f t="shared" ca="1" si="2"/>
        <v>220.60606060606062</v>
      </c>
      <c r="K28" s="596">
        <f t="shared" ca="1" si="2"/>
        <v>269.26136363636363</v>
      </c>
      <c r="L28" s="596">
        <f t="shared" ca="1" si="2"/>
        <v>295.64393939393938</v>
      </c>
      <c r="M28" s="597">
        <f t="shared" ca="1" si="2"/>
        <v>377.70833333333331</v>
      </c>
      <c r="N28" s="594">
        <f t="shared" ca="1" si="1"/>
        <v>2748.295454545455</v>
      </c>
      <c r="O28" s="61"/>
      <c r="P28" s="445"/>
    </row>
    <row r="29" spans="1:16" ht="15">
      <c r="A29" s="213"/>
      <c r="P29" s="445"/>
    </row>
    <row r="30" spans="1:16" ht="15.75" thickBot="1">
      <c r="A30" s="213"/>
    </row>
    <row r="31" spans="1:16" ht="19.5" customHeight="1" thickBot="1">
      <c r="A31" s="446" t="str">
        <f>'Datos Básicos'!A28&amp;" sop. Costes producc."</f>
        <v>IVA sop. Costes producc.</v>
      </c>
      <c r="B31" s="444" t="str">
        <f t="array" ref="B31:M31">meses</f>
        <v>enero</v>
      </c>
      <c r="C31" s="440" t="str">
        <v>febrero</v>
      </c>
      <c r="D31" s="440" t="str">
        <v>marzo</v>
      </c>
      <c r="E31" s="440" t="str">
        <v>abril</v>
      </c>
      <c r="F31" s="440" t="str">
        <v>mayo</v>
      </c>
      <c r="G31" s="440" t="str">
        <v>junio</v>
      </c>
      <c r="H31" s="440" t="str">
        <v>julio</v>
      </c>
      <c r="I31" s="440" t="str">
        <v>agosto</v>
      </c>
      <c r="J31" s="440" t="str">
        <v>septiembre</v>
      </c>
      <c r="K31" s="440" t="str">
        <v>octubre</v>
      </c>
      <c r="L31" s="440" t="str">
        <v>noviembre</v>
      </c>
      <c r="M31" s="441" t="str">
        <v>diciembre</v>
      </c>
      <c r="N31" s="438" t="str">
        <f>N$7</f>
        <v>Totales</v>
      </c>
    </row>
    <row r="32" spans="1:16" ht="15.75" customHeight="1">
      <c r="A32" s="1972" t="str">
        <f t="array" ref="A32:A39">productos</f>
        <v>producto o servicio</v>
      </c>
      <c r="B32" s="587">
        <f t="array" aca="1" ref="B32:M39" ca="1">B20:M27*Parametros!$F24:$F31</f>
        <v>36.750000000000007</v>
      </c>
      <c r="C32" s="588">
        <f ca="1"/>
        <v>39.283522727272732</v>
      </c>
      <c r="D32" s="588">
        <f ca="1"/>
        <v>43.153409090909093</v>
      </c>
      <c r="E32" s="588">
        <f ca="1"/>
        <v>45.352840909090908</v>
      </c>
      <c r="F32" s="588">
        <f ca="1"/>
        <v>44.211363636363643</v>
      </c>
      <c r="G32" s="588">
        <f ca="1"/>
        <v>44.40625</v>
      </c>
      <c r="H32" s="588">
        <f ca="1"/>
        <v>43.93295454545455</v>
      </c>
      <c r="I32" s="588">
        <f ca="1"/>
        <v>35.77556818181818</v>
      </c>
      <c r="J32" s="588">
        <f ca="1"/>
        <v>46.327272727272728</v>
      </c>
      <c r="K32" s="588">
        <f ca="1"/>
        <v>56.544886363636358</v>
      </c>
      <c r="L32" s="588">
        <f ca="1"/>
        <v>62.085227272727266</v>
      </c>
      <c r="M32" s="598">
        <f ca="1"/>
        <v>79.318749999999994</v>
      </c>
      <c r="N32" s="580">
        <f t="shared" ca="1" si="1"/>
        <v>577.1420454545455</v>
      </c>
      <c r="O32" s="61"/>
    </row>
    <row r="33" spans="1:16" ht="15.75" customHeight="1">
      <c r="A33" s="1973" t="str">
        <v/>
      </c>
      <c r="B33" s="589">
        <f ca="1"/>
        <v>0</v>
      </c>
      <c r="C33" s="590">
        <f ca="1"/>
        <v>0</v>
      </c>
      <c r="D33" s="590">
        <f ca="1"/>
        <v>0</v>
      </c>
      <c r="E33" s="590">
        <f ca="1"/>
        <v>0</v>
      </c>
      <c r="F33" s="590">
        <f ca="1"/>
        <v>0</v>
      </c>
      <c r="G33" s="590">
        <f ca="1"/>
        <v>0</v>
      </c>
      <c r="H33" s="590">
        <f ca="1"/>
        <v>0</v>
      </c>
      <c r="I33" s="590">
        <f ca="1"/>
        <v>0</v>
      </c>
      <c r="J33" s="590">
        <f ca="1"/>
        <v>0</v>
      </c>
      <c r="K33" s="590">
        <f ca="1"/>
        <v>0</v>
      </c>
      <c r="L33" s="590">
        <f ca="1"/>
        <v>0</v>
      </c>
      <c r="M33" s="599">
        <f ca="1"/>
        <v>0</v>
      </c>
      <c r="N33" s="583">
        <f t="shared" ca="1" si="1"/>
        <v>0</v>
      </c>
      <c r="O33" s="61"/>
    </row>
    <row r="34" spans="1:16" ht="15.75" customHeight="1">
      <c r="A34" s="1973" t="str">
        <v/>
      </c>
      <c r="B34" s="589">
        <f ca="1"/>
        <v>0</v>
      </c>
      <c r="C34" s="590">
        <f ca="1"/>
        <v>0</v>
      </c>
      <c r="D34" s="590">
        <f ca="1"/>
        <v>0</v>
      </c>
      <c r="E34" s="590">
        <f ca="1"/>
        <v>0</v>
      </c>
      <c r="F34" s="590">
        <f ca="1"/>
        <v>0</v>
      </c>
      <c r="G34" s="590">
        <f ca="1"/>
        <v>0</v>
      </c>
      <c r="H34" s="590">
        <f ca="1"/>
        <v>0</v>
      </c>
      <c r="I34" s="590">
        <f ca="1"/>
        <v>0</v>
      </c>
      <c r="J34" s="590">
        <f ca="1"/>
        <v>0</v>
      </c>
      <c r="K34" s="590">
        <f ca="1"/>
        <v>0</v>
      </c>
      <c r="L34" s="590">
        <f ca="1"/>
        <v>0</v>
      </c>
      <c r="M34" s="599">
        <f ca="1"/>
        <v>0</v>
      </c>
      <c r="N34" s="583">
        <f t="shared" ca="1" si="1"/>
        <v>0</v>
      </c>
      <c r="O34" s="61"/>
    </row>
    <row r="35" spans="1:16" ht="15.75" customHeight="1">
      <c r="A35" s="1973" t="str">
        <v/>
      </c>
      <c r="B35" s="589">
        <f ca="1"/>
        <v>0</v>
      </c>
      <c r="C35" s="590">
        <f ca="1"/>
        <v>0</v>
      </c>
      <c r="D35" s="590">
        <f ca="1"/>
        <v>0</v>
      </c>
      <c r="E35" s="590">
        <f ca="1"/>
        <v>0</v>
      </c>
      <c r="F35" s="590">
        <f ca="1"/>
        <v>0</v>
      </c>
      <c r="G35" s="590">
        <f ca="1"/>
        <v>0</v>
      </c>
      <c r="H35" s="590">
        <f ca="1"/>
        <v>0</v>
      </c>
      <c r="I35" s="590">
        <f ca="1"/>
        <v>0</v>
      </c>
      <c r="J35" s="590">
        <f ca="1"/>
        <v>0</v>
      </c>
      <c r="K35" s="590">
        <f ca="1"/>
        <v>0</v>
      </c>
      <c r="L35" s="590">
        <f ca="1"/>
        <v>0</v>
      </c>
      <c r="M35" s="599">
        <f ca="1"/>
        <v>0</v>
      </c>
      <c r="N35" s="583">
        <f t="shared" ca="1" si="1"/>
        <v>0</v>
      </c>
      <c r="O35" s="61"/>
    </row>
    <row r="36" spans="1:16" ht="15.75" customHeight="1">
      <c r="A36" s="1973" t="str">
        <v/>
      </c>
      <c r="B36" s="589">
        <f ca="1"/>
        <v>0</v>
      </c>
      <c r="C36" s="590">
        <f ca="1"/>
        <v>0</v>
      </c>
      <c r="D36" s="590">
        <f ca="1"/>
        <v>0</v>
      </c>
      <c r="E36" s="590">
        <f ca="1"/>
        <v>0</v>
      </c>
      <c r="F36" s="590">
        <f ca="1"/>
        <v>0</v>
      </c>
      <c r="G36" s="590">
        <f ca="1"/>
        <v>0</v>
      </c>
      <c r="H36" s="590">
        <f ca="1"/>
        <v>0</v>
      </c>
      <c r="I36" s="590">
        <f ca="1"/>
        <v>0</v>
      </c>
      <c r="J36" s="590">
        <f ca="1"/>
        <v>0</v>
      </c>
      <c r="K36" s="590">
        <f ca="1"/>
        <v>0</v>
      </c>
      <c r="L36" s="590">
        <f ca="1"/>
        <v>0</v>
      </c>
      <c r="M36" s="599">
        <f ca="1"/>
        <v>0</v>
      </c>
      <c r="N36" s="583">
        <f t="shared" ca="1" si="1"/>
        <v>0</v>
      </c>
      <c r="O36" s="61"/>
    </row>
    <row r="37" spans="1:16" ht="15.75" customHeight="1">
      <c r="A37" s="1973" t="str">
        <v/>
      </c>
      <c r="B37" s="589">
        <f ca="1"/>
        <v>0</v>
      </c>
      <c r="C37" s="590">
        <f ca="1"/>
        <v>0</v>
      </c>
      <c r="D37" s="590">
        <f ca="1"/>
        <v>0</v>
      </c>
      <c r="E37" s="590">
        <f ca="1"/>
        <v>0</v>
      </c>
      <c r="F37" s="590">
        <f ca="1"/>
        <v>0</v>
      </c>
      <c r="G37" s="590">
        <f ca="1"/>
        <v>0</v>
      </c>
      <c r="H37" s="590">
        <f ca="1"/>
        <v>0</v>
      </c>
      <c r="I37" s="590">
        <f ca="1"/>
        <v>0</v>
      </c>
      <c r="J37" s="590">
        <f ca="1"/>
        <v>0</v>
      </c>
      <c r="K37" s="590">
        <f ca="1"/>
        <v>0</v>
      </c>
      <c r="L37" s="590">
        <f ca="1"/>
        <v>0</v>
      </c>
      <c r="M37" s="599">
        <f ca="1"/>
        <v>0</v>
      </c>
      <c r="N37" s="583">
        <f t="shared" ca="1" si="1"/>
        <v>0</v>
      </c>
      <c r="O37" s="61"/>
    </row>
    <row r="38" spans="1:16" ht="15.75" customHeight="1">
      <c r="A38" s="1973" t="str">
        <v/>
      </c>
      <c r="B38" s="589">
        <f ca="1"/>
        <v>0</v>
      </c>
      <c r="C38" s="590">
        <f ca="1"/>
        <v>0</v>
      </c>
      <c r="D38" s="590">
        <f ca="1"/>
        <v>0</v>
      </c>
      <c r="E38" s="590">
        <f ca="1"/>
        <v>0</v>
      </c>
      <c r="F38" s="590">
        <f ca="1"/>
        <v>0</v>
      </c>
      <c r="G38" s="590">
        <f ca="1"/>
        <v>0</v>
      </c>
      <c r="H38" s="590">
        <f ca="1"/>
        <v>0</v>
      </c>
      <c r="I38" s="590">
        <f ca="1"/>
        <v>0</v>
      </c>
      <c r="J38" s="590">
        <f ca="1"/>
        <v>0</v>
      </c>
      <c r="K38" s="590">
        <f ca="1"/>
        <v>0</v>
      </c>
      <c r="L38" s="590">
        <f ca="1"/>
        <v>0</v>
      </c>
      <c r="M38" s="599">
        <f ca="1"/>
        <v>0</v>
      </c>
      <c r="N38" s="583">
        <f t="shared" ca="1" si="1"/>
        <v>0</v>
      </c>
      <c r="O38" s="61"/>
    </row>
    <row r="39" spans="1:16" ht="15.75" customHeight="1" thickBot="1">
      <c r="A39" s="1974" t="str">
        <v/>
      </c>
      <c r="B39" s="591">
        <f ca="1"/>
        <v>0</v>
      </c>
      <c r="C39" s="592">
        <f ca="1"/>
        <v>0</v>
      </c>
      <c r="D39" s="592">
        <f ca="1"/>
        <v>0</v>
      </c>
      <c r="E39" s="592">
        <f ca="1"/>
        <v>0</v>
      </c>
      <c r="F39" s="592">
        <f ca="1"/>
        <v>0</v>
      </c>
      <c r="G39" s="592">
        <f ca="1"/>
        <v>0</v>
      </c>
      <c r="H39" s="592">
        <f ca="1"/>
        <v>0</v>
      </c>
      <c r="I39" s="592">
        <f ca="1"/>
        <v>0</v>
      </c>
      <c r="J39" s="592">
        <f ca="1"/>
        <v>0</v>
      </c>
      <c r="K39" s="592">
        <f ca="1"/>
        <v>0</v>
      </c>
      <c r="L39" s="592">
        <f ca="1"/>
        <v>0</v>
      </c>
      <c r="M39" s="600">
        <f ca="1"/>
        <v>0</v>
      </c>
      <c r="N39" s="593">
        <f t="shared" ca="1" si="1"/>
        <v>0</v>
      </c>
      <c r="O39" s="61"/>
    </row>
    <row r="40" spans="1:16" ht="15.75" customHeight="1" thickBot="1">
      <c r="A40" s="103" t="str">
        <f>A$28</f>
        <v>Totales</v>
      </c>
      <c r="B40" s="595">
        <f t="shared" ref="B40:M40" ca="1" si="3">SUM(B32:B39)</f>
        <v>36.750000000000007</v>
      </c>
      <c r="C40" s="596">
        <f t="shared" ca="1" si="3"/>
        <v>39.283522727272732</v>
      </c>
      <c r="D40" s="596">
        <f t="shared" ca="1" si="3"/>
        <v>43.153409090909093</v>
      </c>
      <c r="E40" s="596">
        <f t="shared" ca="1" si="3"/>
        <v>45.352840909090908</v>
      </c>
      <c r="F40" s="596">
        <f t="shared" ca="1" si="3"/>
        <v>44.211363636363643</v>
      </c>
      <c r="G40" s="596">
        <f t="shared" ca="1" si="3"/>
        <v>44.40625</v>
      </c>
      <c r="H40" s="596">
        <f t="shared" ca="1" si="3"/>
        <v>43.93295454545455</v>
      </c>
      <c r="I40" s="596">
        <f t="shared" ca="1" si="3"/>
        <v>35.77556818181818</v>
      </c>
      <c r="J40" s="596">
        <f t="shared" ca="1" si="3"/>
        <v>46.327272727272728</v>
      </c>
      <c r="K40" s="596">
        <f t="shared" ca="1" si="3"/>
        <v>56.544886363636358</v>
      </c>
      <c r="L40" s="596">
        <f t="shared" ca="1" si="3"/>
        <v>62.085227272727266</v>
      </c>
      <c r="M40" s="597">
        <f t="shared" ca="1" si="3"/>
        <v>79.318749999999994</v>
      </c>
      <c r="N40" s="594">
        <f ca="1">SUM(B40:M40)</f>
        <v>577.1420454545455</v>
      </c>
      <c r="O40" s="61"/>
    </row>
    <row r="41" spans="1:16" ht="15">
      <c r="A41" s="213"/>
      <c r="B41" s="61" t="str">
        <f>"No tiene sentido calcular el "&amp; 'Datos Básicos'!A28&amp;" del CV en el mes en el que se imputa (cuando se vende) sino en el mes en el que se produce la compra"</f>
        <v>No tiene sentido calcular el IVA del CV en el mes en el que se imputa (cuando se vende) sino en el mes en el que se produce la compra</v>
      </c>
    </row>
    <row r="42" spans="1:16" ht="15">
      <c r="A42" s="213"/>
    </row>
    <row r="43" spans="1:16" ht="15">
      <c r="A43" s="213"/>
      <c r="B43" s="2254">
        <v>1</v>
      </c>
      <c r="C43" s="2254">
        <v>2</v>
      </c>
      <c r="D43" s="2254">
        <v>3</v>
      </c>
      <c r="E43" s="2254">
        <v>4</v>
      </c>
      <c r="F43" s="2254">
        <v>5</v>
      </c>
      <c r="G43" s="2254">
        <v>6</v>
      </c>
      <c r="H43" s="2254">
        <v>7</v>
      </c>
      <c r="I43" s="2254">
        <v>8</v>
      </c>
      <c r="J43" s="2254">
        <v>9</v>
      </c>
      <c r="K43" s="2254">
        <v>10</v>
      </c>
      <c r="L43" s="2254">
        <v>11</v>
      </c>
      <c r="M43" s="2254">
        <v>12</v>
      </c>
    </row>
    <row r="44" spans="1:16" ht="18.75" thickBot="1">
      <c r="A44" s="1969" t="s">
        <v>888</v>
      </c>
      <c r="G44" s="2710" t="str">
        <f>$K$1</f>
        <v>Año 0:  2026</v>
      </c>
      <c r="I44" s="1969" t="str">
        <f>I$18</f>
        <v>IVA NO incluido</v>
      </c>
    </row>
    <row r="45" spans="1:16" s="445" customFormat="1" ht="15.75" customHeight="1" thickBot="1">
      <c r="A45" s="446" t="str">
        <f>A$19</f>
        <v>Costes producción</v>
      </c>
      <c r="B45" s="444" t="str">
        <f t="array" ref="B45:M45">meses</f>
        <v>enero</v>
      </c>
      <c r="C45" s="440" t="str">
        <v>febrero</v>
      </c>
      <c r="D45" s="440" t="str">
        <v>marzo</v>
      </c>
      <c r="E45" s="440" t="str">
        <v>abril</v>
      </c>
      <c r="F45" s="440" t="str">
        <v>mayo</v>
      </c>
      <c r="G45" s="440" t="str">
        <v>junio</v>
      </c>
      <c r="H45" s="440" t="str">
        <v>julio</v>
      </c>
      <c r="I45" s="440" t="str">
        <v>agosto</v>
      </c>
      <c r="J45" s="440" t="str">
        <v>septiembre</v>
      </c>
      <c r="K45" s="440" t="str">
        <v>octubre</v>
      </c>
      <c r="L45" s="440" t="str">
        <v>noviembre</v>
      </c>
      <c r="M45" s="441" t="str">
        <v>diciembre</v>
      </c>
      <c r="N45" s="438" t="str">
        <f>N$7</f>
        <v>Totales</v>
      </c>
      <c r="P45" s="61"/>
    </row>
    <row r="46" spans="1:16" ht="15.75" customHeight="1">
      <c r="A46" s="1972" t="str">
        <f t="array" ref="A46:A53">productos</f>
        <v>producto o servicio</v>
      </c>
      <c r="B46" s="588">
        <f t="array" aca="1" ref="B46:M46" ca="1">IF(B$43:M$43&lt;mes0,0,N124:Y124)</f>
        <v>175.00000000000003</v>
      </c>
      <c r="C46" s="588">
        <f ca="1"/>
        <v>187.06439393939397</v>
      </c>
      <c r="D46" s="588">
        <f ca="1"/>
        <v>205.49242424242425</v>
      </c>
      <c r="E46" s="588">
        <f ca="1"/>
        <v>215.96590909090909</v>
      </c>
      <c r="F46" s="588">
        <f ca="1"/>
        <v>210.53030303030306</v>
      </c>
      <c r="G46" s="588">
        <f ca="1"/>
        <v>211.45833333333334</v>
      </c>
      <c r="H46" s="588">
        <f ca="1"/>
        <v>209.2045454545455</v>
      </c>
      <c r="I46" s="588">
        <f ca="1"/>
        <v>170.35984848484847</v>
      </c>
      <c r="J46" s="588">
        <f ca="1"/>
        <v>220.60606060606062</v>
      </c>
      <c r="K46" s="588">
        <f ca="1"/>
        <v>269.26136363636363</v>
      </c>
      <c r="L46" s="588">
        <f ca="1"/>
        <v>295.64393939393938</v>
      </c>
      <c r="M46" s="598">
        <f ca="1"/>
        <v>377.70833333333331</v>
      </c>
      <c r="N46" s="580">
        <f t="shared" ref="N46:N54" ca="1" si="4">SUM(B46:M46)</f>
        <v>2748.295454545455</v>
      </c>
      <c r="O46" s="61"/>
    </row>
    <row r="47" spans="1:16" ht="15.75" customHeight="1">
      <c r="A47" s="1973" t="str">
        <v/>
      </c>
      <c r="B47" s="589">
        <f t="array" aca="1" ref="B47:M47" ca="1">IF(B$43:M$43&lt;mes0,0,N142:Y142)</f>
        <v>0</v>
      </c>
      <c r="C47" s="590">
        <f ca="1"/>
        <v>0</v>
      </c>
      <c r="D47" s="590">
        <f ca="1"/>
        <v>0</v>
      </c>
      <c r="E47" s="590">
        <f ca="1"/>
        <v>0</v>
      </c>
      <c r="F47" s="590">
        <f ca="1"/>
        <v>0</v>
      </c>
      <c r="G47" s="590">
        <f ca="1"/>
        <v>0</v>
      </c>
      <c r="H47" s="590">
        <f ca="1"/>
        <v>0</v>
      </c>
      <c r="I47" s="590">
        <f ca="1"/>
        <v>0</v>
      </c>
      <c r="J47" s="590">
        <f ca="1"/>
        <v>0</v>
      </c>
      <c r="K47" s="590">
        <f ca="1"/>
        <v>0</v>
      </c>
      <c r="L47" s="590">
        <f ca="1"/>
        <v>0</v>
      </c>
      <c r="M47" s="599">
        <f ca="1"/>
        <v>0</v>
      </c>
      <c r="N47" s="583">
        <f t="shared" ca="1" si="4"/>
        <v>0</v>
      </c>
      <c r="O47" s="61"/>
    </row>
    <row r="48" spans="1:16" ht="15.75" customHeight="1">
      <c r="A48" s="1973" t="str">
        <v/>
      </c>
      <c r="B48" s="589">
        <f t="array" aca="1" ref="B48:M48" ca="1">IF(B$43:M$43&lt;mes0,0,N160:Y160)</f>
        <v>0</v>
      </c>
      <c r="C48" s="590">
        <f ca="1"/>
        <v>0</v>
      </c>
      <c r="D48" s="590">
        <f ca="1"/>
        <v>0</v>
      </c>
      <c r="E48" s="590">
        <f ca="1"/>
        <v>0</v>
      </c>
      <c r="F48" s="590">
        <f ca="1"/>
        <v>0</v>
      </c>
      <c r="G48" s="590">
        <f ca="1"/>
        <v>0</v>
      </c>
      <c r="H48" s="590">
        <f ca="1"/>
        <v>0</v>
      </c>
      <c r="I48" s="590">
        <f ca="1"/>
        <v>0</v>
      </c>
      <c r="J48" s="590">
        <f ca="1"/>
        <v>0</v>
      </c>
      <c r="K48" s="590">
        <f ca="1"/>
        <v>0</v>
      </c>
      <c r="L48" s="590">
        <f ca="1"/>
        <v>0</v>
      </c>
      <c r="M48" s="599">
        <f ca="1"/>
        <v>0</v>
      </c>
      <c r="N48" s="583">
        <f t="shared" ca="1" si="4"/>
        <v>0</v>
      </c>
      <c r="O48" s="61"/>
    </row>
    <row r="49" spans="1:16" ht="15.75" customHeight="1">
      <c r="A49" s="1973" t="str">
        <v/>
      </c>
      <c r="B49" s="589">
        <f t="array" aca="1" ref="B49:M49" ca="1">IF(B$43:M$43&lt;mes0,0,N178:Y178)</f>
        <v>0</v>
      </c>
      <c r="C49" s="590">
        <f ca="1"/>
        <v>0</v>
      </c>
      <c r="D49" s="590">
        <f ca="1"/>
        <v>0</v>
      </c>
      <c r="E49" s="590">
        <f ca="1"/>
        <v>0</v>
      </c>
      <c r="F49" s="590">
        <f ca="1"/>
        <v>0</v>
      </c>
      <c r="G49" s="590">
        <f ca="1"/>
        <v>0</v>
      </c>
      <c r="H49" s="590">
        <f ca="1"/>
        <v>0</v>
      </c>
      <c r="I49" s="590">
        <f ca="1"/>
        <v>0</v>
      </c>
      <c r="J49" s="590">
        <f ca="1"/>
        <v>0</v>
      </c>
      <c r="K49" s="590">
        <f ca="1"/>
        <v>0</v>
      </c>
      <c r="L49" s="590">
        <f ca="1"/>
        <v>0</v>
      </c>
      <c r="M49" s="599">
        <f ca="1"/>
        <v>0</v>
      </c>
      <c r="N49" s="583">
        <f t="shared" ca="1" si="4"/>
        <v>0</v>
      </c>
      <c r="O49" s="61"/>
    </row>
    <row r="50" spans="1:16" ht="15.75" customHeight="1">
      <c r="A50" s="1973" t="str">
        <v/>
      </c>
      <c r="B50" s="589">
        <f t="array" aca="1" ref="B50:M50" ca="1">IF(B$43:M$43&lt;mes0,0,N196:Y196)</f>
        <v>0</v>
      </c>
      <c r="C50" s="590">
        <f ca="1"/>
        <v>0</v>
      </c>
      <c r="D50" s="590">
        <f ca="1"/>
        <v>0</v>
      </c>
      <c r="E50" s="590">
        <f ca="1"/>
        <v>0</v>
      </c>
      <c r="F50" s="590">
        <f ca="1"/>
        <v>0</v>
      </c>
      <c r="G50" s="590">
        <f ca="1"/>
        <v>0</v>
      </c>
      <c r="H50" s="590">
        <f ca="1"/>
        <v>0</v>
      </c>
      <c r="I50" s="590">
        <f ca="1"/>
        <v>0</v>
      </c>
      <c r="J50" s="590">
        <f ca="1"/>
        <v>0</v>
      </c>
      <c r="K50" s="590">
        <f ca="1"/>
        <v>0</v>
      </c>
      <c r="L50" s="590">
        <f ca="1"/>
        <v>0</v>
      </c>
      <c r="M50" s="599">
        <f ca="1"/>
        <v>0</v>
      </c>
      <c r="N50" s="583">
        <f t="shared" ca="1" si="4"/>
        <v>0</v>
      </c>
      <c r="O50" s="61"/>
    </row>
    <row r="51" spans="1:16" ht="15.75" customHeight="1">
      <c r="A51" s="1973" t="str">
        <v/>
      </c>
      <c r="B51" s="589">
        <f t="array" aca="1" ref="B51:M51" ca="1">IF(B$43:M$43&lt;mes0,0,N214:Y214)</f>
        <v>0</v>
      </c>
      <c r="C51" s="590">
        <f ca="1"/>
        <v>0</v>
      </c>
      <c r="D51" s="590">
        <f ca="1"/>
        <v>0</v>
      </c>
      <c r="E51" s="590">
        <f ca="1"/>
        <v>0</v>
      </c>
      <c r="F51" s="590">
        <f ca="1"/>
        <v>0</v>
      </c>
      <c r="G51" s="590">
        <f ca="1"/>
        <v>0</v>
      </c>
      <c r="H51" s="590">
        <f ca="1"/>
        <v>0</v>
      </c>
      <c r="I51" s="590">
        <f ca="1"/>
        <v>0</v>
      </c>
      <c r="J51" s="590">
        <f ca="1"/>
        <v>0</v>
      </c>
      <c r="K51" s="590">
        <f ca="1"/>
        <v>0</v>
      </c>
      <c r="L51" s="590">
        <f ca="1"/>
        <v>0</v>
      </c>
      <c r="M51" s="599">
        <f ca="1"/>
        <v>0</v>
      </c>
      <c r="N51" s="583">
        <f t="shared" ca="1" si="4"/>
        <v>0</v>
      </c>
      <c r="O51" s="61"/>
    </row>
    <row r="52" spans="1:16" ht="15.75" customHeight="1">
      <c r="A52" s="1973" t="str">
        <v/>
      </c>
      <c r="B52" s="589">
        <f t="array" aca="1" ref="B52:M52" ca="1">IF(B$43:M$43&lt;mes0,0,N232:Y232)</f>
        <v>0</v>
      </c>
      <c r="C52" s="590">
        <f ca="1"/>
        <v>0</v>
      </c>
      <c r="D52" s="590">
        <f ca="1"/>
        <v>0</v>
      </c>
      <c r="E52" s="590">
        <f ca="1"/>
        <v>0</v>
      </c>
      <c r="F52" s="590">
        <f ca="1"/>
        <v>0</v>
      </c>
      <c r="G52" s="590">
        <f ca="1"/>
        <v>0</v>
      </c>
      <c r="H52" s="590">
        <f ca="1"/>
        <v>0</v>
      </c>
      <c r="I52" s="590">
        <f ca="1"/>
        <v>0</v>
      </c>
      <c r="J52" s="590">
        <f ca="1"/>
        <v>0</v>
      </c>
      <c r="K52" s="590">
        <f ca="1"/>
        <v>0</v>
      </c>
      <c r="L52" s="590">
        <f ca="1"/>
        <v>0</v>
      </c>
      <c r="M52" s="599">
        <f ca="1"/>
        <v>0</v>
      </c>
      <c r="N52" s="583">
        <f t="shared" ca="1" si="4"/>
        <v>0</v>
      </c>
      <c r="O52" s="61"/>
    </row>
    <row r="53" spans="1:16" ht="15.75" customHeight="1" thickBot="1">
      <c r="A53" s="1974" t="str">
        <v/>
      </c>
      <c r="B53" s="591">
        <f t="array" aca="1" ref="B53:M53" ca="1">IF(B$43:M$43&lt;mes0,0,N250:Y250)</f>
        <v>0</v>
      </c>
      <c r="C53" s="592">
        <f ca="1"/>
        <v>0</v>
      </c>
      <c r="D53" s="592">
        <f ca="1"/>
        <v>0</v>
      </c>
      <c r="E53" s="592">
        <f ca="1"/>
        <v>0</v>
      </c>
      <c r="F53" s="592">
        <f ca="1"/>
        <v>0</v>
      </c>
      <c r="G53" s="592">
        <f ca="1"/>
        <v>0</v>
      </c>
      <c r="H53" s="592">
        <f ca="1"/>
        <v>0</v>
      </c>
      <c r="I53" s="592">
        <f ca="1"/>
        <v>0</v>
      </c>
      <c r="J53" s="592">
        <f ca="1"/>
        <v>0</v>
      </c>
      <c r="K53" s="592">
        <f ca="1"/>
        <v>0</v>
      </c>
      <c r="L53" s="592">
        <f ca="1"/>
        <v>0</v>
      </c>
      <c r="M53" s="600">
        <f ca="1"/>
        <v>0</v>
      </c>
      <c r="N53" s="593">
        <f t="shared" ca="1" si="4"/>
        <v>0</v>
      </c>
      <c r="O53" s="61"/>
    </row>
    <row r="54" spans="1:16" ht="15.75" customHeight="1" thickBot="1">
      <c r="A54" s="103" t="str">
        <f>A$28</f>
        <v>Totales</v>
      </c>
      <c r="B54" s="595">
        <f t="shared" ref="B54:M54" ca="1" si="5">SUM(B46:B53)</f>
        <v>175.00000000000003</v>
      </c>
      <c r="C54" s="596">
        <f t="shared" ca="1" si="5"/>
        <v>187.06439393939397</v>
      </c>
      <c r="D54" s="596">
        <f t="shared" ca="1" si="5"/>
        <v>205.49242424242425</v>
      </c>
      <c r="E54" s="596">
        <f t="shared" ca="1" si="5"/>
        <v>215.96590909090909</v>
      </c>
      <c r="F54" s="596">
        <f t="shared" ca="1" si="5"/>
        <v>210.53030303030306</v>
      </c>
      <c r="G54" s="596">
        <f t="shared" ca="1" si="5"/>
        <v>211.45833333333334</v>
      </c>
      <c r="H54" s="596">
        <f t="shared" ca="1" si="5"/>
        <v>209.2045454545455</v>
      </c>
      <c r="I54" s="596">
        <f t="shared" ca="1" si="5"/>
        <v>170.35984848484847</v>
      </c>
      <c r="J54" s="596">
        <f t="shared" ca="1" si="5"/>
        <v>220.60606060606062</v>
      </c>
      <c r="K54" s="596">
        <f t="shared" ca="1" si="5"/>
        <v>269.26136363636363</v>
      </c>
      <c r="L54" s="596">
        <f t="shared" ca="1" si="5"/>
        <v>295.64393939393938</v>
      </c>
      <c r="M54" s="597">
        <f t="shared" ca="1" si="5"/>
        <v>377.70833333333331</v>
      </c>
      <c r="N54" s="594">
        <f t="shared" ca="1" si="4"/>
        <v>2748.295454545455</v>
      </c>
      <c r="O54" s="61"/>
    </row>
    <row r="55" spans="1:16">
      <c r="B55" s="61"/>
    </row>
    <row r="57" spans="1:16" ht="18.75" thickBot="1">
      <c r="A57" s="1969" t="str">
        <f>'Datos Básicos'!A28&amp;" soportado de los costes de producción en el año"</f>
        <v>IVA soportado de los costes de producción en el año</v>
      </c>
      <c r="G57" s="2710" t="str">
        <f>$K$1</f>
        <v>Año 0:  2026</v>
      </c>
      <c r="I57" s="1969"/>
    </row>
    <row r="58" spans="1:16" s="445" customFormat="1" ht="15.75" customHeight="1" thickBot="1">
      <c r="A58" s="446" t="s">
        <v>857</v>
      </c>
      <c r="B58" s="444" t="str">
        <f t="array" ref="B58:M58">meses</f>
        <v>enero</v>
      </c>
      <c r="C58" s="440" t="str">
        <v>febrero</v>
      </c>
      <c r="D58" s="440" t="str">
        <v>marzo</v>
      </c>
      <c r="E58" s="440" t="str">
        <v>abril</v>
      </c>
      <c r="F58" s="440" t="str">
        <v>mayo</v>
      </c>
      <c r="G58" s="440" t="str">
        <v>junio</v>
      </c>
      <c r="H58" s="440" t="str">
        <v>julio</v>
      </c>
      <c r="I58" s="440" t="str">
        <v>agosto</v>
      </c>
      <c r="J58" s="440" t="str">
        <v>septiembre</v>
      </c>
      <c r="K58" s="440" t="str">
        <v>octubre</v>
      </c>
      <c r="L58" s="440" t="str">
        <v>noviembre</v>
      </c>
      <c r="M58" s="441" t="str">
        <v>diciembre</v>
      </c>
      <c r="N58" s="438" t="str">
        <f>N$7</f>
        <v>Totales</v>
      </c>
    </row>
    <row r="59" spans="1:16" ht="15.75" customHeight="1">
      <c r="A59" s="1972" t="str">
        <f t="array" ref="A59:A66">productos</f>
        <v>producto o servicio</v>
      </c>
      <c r="B59" s="588">
        <f t="array" aca="1" ref="B59:M59" ca="1">IF(B$43:M$43&lt;mes0,0,N125:Y125)</f>
        <v>36.750000000000007</v>
      </c>
      <c r="C59" s="588">
        <f ca="1"/>
        <v>39.283522727272732</v>
      </c>
      <c r="D59" s="588">
        <f ca="1"/>
        <v>43.153409090909093</v>
      </c>
      <c r="E59" s="588">
        <f ca="1"/>
        <v>45.352840909090908</v>
      </c>
      <c r="F59" s="588">
        <f ca="1"/>
        <v>44.211363636363643</v>
      </c>
      <c r="G59" s="588">
        <f ca="1"/>
        <v>44.40625</v>
      </c>
      <c r="H59" s="588">
        <f ca="1"/>
        <v>43.93295454545455</v>
      </c>
      <c r="I59" s="588">
        <f ca="1"/>
        <v>35.77556818181818</v>
      </c>
      <c r="J59" s="588">
        <f ca="1"/>
        <v>46.327272727272728</v>
      </c>
      <c r="K59" s="588">
        <f ca="1"/>
        <v>56.544886363636358</v>
      </c>
      <c r="L59" s="588">
        <f ca="1"/>
        <v>62.085227272727266</v>
      </c>
      <c r="M59" s="598">
        <f ca="1"/>
        <v>79.318749999999994</v>
      </c>
      <c r="N59" s="580">
        <f t="shared" ref="N59:N67" ca="1" si="6">SUM(B59:M59)</f>
        <v>577.1420454545455</v>
      </c>
      <c r="O59" s="61"/>
      <c r="P59" s="445"/>
    </row>
    <row r="60" spans="1:16" ht="15.75" customHeight="1">
      <c r="A60" s="1973" t="str">
        <v/>
      </c>
      <c r="B60" s="589">
        <f t="array" aca="1" ref="B60:M60" ca="1">IF(B$43:M$43&lt;mes0,0,N143:Y143)</f>
        <v>0</v>
      </c>
      <c r="C60" s="590">
        <f ca="1"/>
        <v>0</v>
      </c>
      <c r="D60" s="590">
        <f ca="1"/>
        <v>0</v>
      </c>
      <c r="E60" s="590">
        <f ca="1"/>
        <v>0</v>
      </c>
      <c r="F60" s="590">
        <f ca="1"/>
        <v>0</v>
      </c>
      <c r="G60" s="590">
        <f ca="1"/>
        <v>0</v>
      </c>
      <c r="H60" s="590">
        <f ca="1"/>
        <v>0</v>
      </c>
      <c r="I60" s="590">
        <f ca="1"/>
        <v>0</v>
      </c>
      <c r="J60" s="590">
        <f ca="1"/>
        <v>0</v>
      </c>
      <c r="K60" s="590">
        <f ca="1"/>
        <v>0</v>
      </c>
      <c r="L60" s="590">
        <f ca="1"/>
        <v>0</v>
      </c>
      <c r="M60" s="599">
        <f ca="1"/>
        <v>0</v>
      </c>
      <c r="N60" s="583">
        <f t="shared" ca="1" si="6"/>
        <v>0</v>
      </c>
      <c r="O60" s="61"/>
      <c r="P60" s="445"/>
    </row>
    <row r="61" spans="1:16" ht="15.75" customHeight="1">
      <c r="A61" s="1973" t="str">
        <v/>
      </c>
      <c r="B61" s="589">
        <f t="array" aca="1" ref="B61:M61" ca="1">IF(B$43:M$43&lt;mes0,0,N161:Y161)</f>
        <v>0</v>
      </c>
      <c r="C61" s="590">
        <f ca="1"/>
        <v>0</v>
      </c>
      <c r="D61" s="590">
        <f ca="1"/>
        <v>0</v>
      </c>
      <c r="E61" s="590">
        <f ca="1"/>
        <v>0</v>
      </c>
      <c r="F61" s="590">
        <f ca="1"/>
        <v>0</v>
      </c>
      <c r="G61" s="590">
        <f ca="1"/>
        <v>0</v>
      </c>
      <c r="H61" s="590">
        <f ca="1"/>
        <v>0</v>
      </c>
      <c r="I61" s="590">
        <f ca="1"/>
        <v>0</v>
      </c>
      <c r="J61" s="590">
        <f ca="1"/>
        <v>0</v>
      </c>
      <c r="K61" s="590">
        <f ca="1"/>
        <v>0</v>
      </c>
      <c r="L61" s="590">
        <f ca="1"/>
        <v>0</v>
      </c>
      <c r="M61" s="599">
        <f ca="1"/>
        <v>0</v>
      </c>
      <c r="N61" s="583">
        <f t="shared" ca="1" si="6"/>
        <v>0</v>
      </c>
      <c r="O61" s="61"/>
      <c r="P61" s="445"/>
    </row>
    <row r="62" spans="1:16" ht="15.75" customHeight="1">
      <c r="A62" s="1973" t="str">
        <v/>
      </c>
      <c r="B62" s="589">
        <f t="array" aca="1" ref="B62:M62" ca="1">IF(B$43:M$43&lt;mes0,0,N179:Y179)</f>
        <v>0</v>
      </c>
      <c r="C62" s="590">
        <f ca="1"/>
        <v>0</v>
      </c>
      <c r="D62" s="590">
        <f ca="1"/>
        <v>0</v>
      </c>
      <c r="E62" s="590">
        <f ca="1"/>
        <v>0</v>
      </c>
      <c r="F62" s="590">
        <f ca="1"/>
        <v>0</v>
      </c>
      <c r="G62" s="590">
        <f ca="1"/>
        <v>0</v>
      </c>
      <c r="H62" s="590">
        <f ca="1"/>
        <v>0</v>
      </c>
      <c r="I62" s="590">
        <f ca="1"/>
        <v>0</v>
      </c>
      <c r="J62" s="590">
        <f ca="1"/>
        <v>0</v>
      </c>
      <c r="K62" s="590">
        <f ca="1"/>
        <v>0</v>
      </c>
      <c r="L62" s="590">
        <f ca="1"/>
        <v>0</v>
      </c>
      <c r="M62" s="599">
        <f ca="1"/>
        <v>0</v>
      </c>
      <c r="N62" s="583">
        <f t="shared" ca="1" si="6"/>
        <v>0</v>
      </c>
      <c r="O62" s="61"/>
      <c r="P62" s="445"/>
    </row>
    <row r="63" spans="1:16" ht="15.75" customHeight="1">
      <c r="A63" s="1973" t="str">
        <v/>
      </c>
      <c r="B63" s="589">
        <f t="array" aca="1" ref="B63:M63" ca="1">IF(B$43:M$43&lt;mes0,0,N197:Y197)</f>
        <v>0</v>
      </c>
      <c r="C63" s="590">
        <f ca="1"/>
        <v>0</v>
      </c>
      <c r="D63" s="590">
        <f ca="1"/>
        <v>0</v>
      </c>
      <c r="E63" s="590">
        <f ca="1"/>
        <v>0</v>
      </c>
      <c r="F63" s="590">
        <f ca="1"/>
        <v>0</v>
      </c>
      <c r="G63" s="590">
        <f ca="1"/>
        <v>0</v>
      </c>
      <c r="H63" s="590">
        <f ca="1"/>
        <v>0</v>
      </c>
      <c r="I63" s="590">
        <f ca="1"/>
        <v>0</v>
      </c>
      <c r="J63" s="590">
        <f ca="1"/>
        <v>0</v>
      </c>
      <c r="K63" s="590">
        <f ca="1"/>
        <v>0</v>
      </c>
      <c r="L63" s="590">
        <f ca="1"/>
        <v>0</v>
      </c>
      <c r="M63" s="599">
        <f ca="1"/>
        <v>0</v>
      </c>
      <c r="N63" s="583">
        <f t="shared" ca="1" si="6"/>
        <v>0</v>
      </c>
      <c r="O63" s="61"/>
      <c r="P63" s="445"/>
    </row>
    <row r="64" spans="1:16" ht="15.75" customHeight="1">
      <c r="A64" s="1973" t="str">
        <v/>
      </c>
      <c r="B64" s="589">
        <f t="array" aca="1" ref="B64:M64" ca="1">IF(B$43:M$43&lt;mes0,0,N215:Y215)</f>
        <v>0</v>
      </c>
      <c r="C64" s="590">
        <f ca="1"/>
        <v>0</v>
      </c>
      <c r="D64" s="590">
        <f ca="1"/>
        <v>0</v>
      </c>
      <c r="E64" s="590">
        <f ca="1"/>
        <v>0</v>
      </c>
      <c r="F64" s="590">
        <f ca="1"/>
        <v>0</v>
      </c>
      <c r="G64" s="590">
        <f ca="1"/>
        <v>0</v>
      </c>
      <c r="H64" s="590">
        <f ca="1"/>
        <v>0</v>
      </c>
      <c r="I64" s="590">
        <f ca="1"/>
        <v>0</v>
      </c>
      <c r="J64" s="590">
        <f ca="1"/>
        <v>0</v>
      </c>
      <c r="K64" s="590">
        <f ca="1"/>
        <v>0</v>
      </c>
      <c r="L64" s="590">
        <f ca="1"/>
        <v>0</v>
      </c>
      <c r="M64" s="599">
        <f ca="1"/>
        <v>0</v>
      </c>
      <c r="N64" s="583">
        <f t="shared" ca="1" si="6"/>
        <v>0</v>
      </c>
      <c r="O64" s="61"/>
      <c r="P64" s="445"/>
    </row>
    <row r="65" spans="1:26" ht="15.75" customHeight="1">
      <c r="A65" s="1973" t="str">
        <v/>
      </c>
      <c r="B65" s="589">
        <f t="array" aca="1" ref="B65:M65" ca="1">IF(B$43:M$43&lt;mes0,0,N233:Y233)</f>
        <v>0</v>
      </c>
      <c r="C65" s="590">
        <f ca="1"/>
        <v>0</v>
      </c>
      <c r="D65" s="590">
        <f ca="1"/>
        <v>0</v>
      </c>
      <c r="E65" s="590">
        <f ca="1"/>
        <v>0</v>
      </c>
      <c r="F65" s="590">
        <f ca="1"/>
        <v>0</v>
      </c>
      <c r="G65" s="590">
        <f ca="1"/>
        <v>0</v>
      </c>
      <c r="H65" s="590">
        <f ca="1"/>
        <v>0</v>
      </c>
      <c r="I65" s="590">
        <f ca="1"/>
        <v>0</v>
      </c>
      <c r="J65" s="590">
        <f ca="1"/>
        <v>0</v>
      </c>
      <c r="K65" s="590">
        <f ca="1"/>
        <v>0</v>
      </c>
      <c r="L65" s="590">
        <f ca="1"/>
        <v>0</v>
      </c>
      <c r="M65" s="599">
        <f ca="1"/>
        <v>0</v>
      </c>
      <c r="N65" s="583">
        <f t="shared" ca="1" si="6"/>
        <v>0</v>
      </c>
      <c r="O65" s="61"/>
      <c r="P65" s="445"/>
    </row>
    <row r="66" spans="1:26" ht="15.75" customHeight="1" thickBot="1">
      <c r="A66" s="1974" t="str">
        <v/>
      </c>
      <c r="B66" s="591">
        <f t="array" aca="1" ref="B66:M66" ca="1">IF(B$43:M$43&lt;mes0,0,N251:Y251)</f>
        <v>0</v>
      </c>
      <c r="C66" s="592">
        <f ca="1"/>
        <v>0</v>
      </c>
      <c r="D66" s="592">
        <f ca="1"/>
        <v>0</v>
      </c>
      <c r="E66" s="592">
        <f ca="1"/>
        <v>0</v>
      </c>
      <c r="F66" s="592">
        <f ca="1"/>
        <v>0</v>
      </c>
      <c r="G66" s="592">
        <f ca="1"/>
        <v>0</v>
      </c>
      <c r="H66" s="592">
        <f ca="1"/>
        <v>0</v>
      </c>
      <c r="I66" s="592">
        <f ca="1"/>
        <v>0</v>
      </c>
      <c r="J66" s="592">
        <f ca="1"/>
        <v>0</v>
      </c>
      <c r="K66" s="592">
        <f ca="1"/>
        <v>0</v>
      </c>
      <c r="L66" s="592">
        <f ca="1"/>
        <v>0</v>
      </c>
      <c r="M66" s="600">
        <f ca="1"/>
        <v>0</v>
      </c>
      <c r="N66" s="593">
        <f t="shared" ca="1" si="6"/>
        <v>0</v>
      </c>
      <c r="O66" s="61"/>
      <c r="P66" s="445"/>
    </row>
    <row r="67" spans="1:26" ht="15.75" customHeight="1" thickBot="1">
      <c r="A67" s="103" t="str">
        <f>A$28</f>
        <v>Totales</v>
      </c>
      <c r="B67" s="595">
        <f t="shared" ref="B67:M67" ca="1" si="7">SUM(B59:B66)</f>
        <v>36.750000000000007</v>
      </c>
      <c r="C67" s="596">
        <f t="shared" ca="1" si="7"/>
        <v>39.283522727272732</v>
      </c>
      <c r="D67" s="596">
        <f t="shared" ca="1" si="7"/>
        <v>43.153409090909093</v>
      </c>
      <c r="E67" s="596">
        <f t="shared" ca="1" si="7"/>
        <v>45.352840909090908</v>
      </c>
      <c r="F67" s="596">
        <f t="shared" ca="1" si="7"/>
        <v>44.211363636363643</v>
      </c>
      <c r="G67" s="596">
        <f t="shared" ca="1" si="7"/>
        <v>44.40625</v>
      </c>
      <c r="H67" s="596">
        <f t="shared" ca="1" si="7"/>
        <v>43.93295454545455</v>
      </c>
      <c r="I67" s="596">
        <f t="shared" ca="1" si="7"/>
        <v>35.77556818181818</v>
      </c>
      <c r="J67" s="596">
        <f t="shared" ca="1" si="7"/>
        <v>46.327272727272728</v>
      </c>
      <c r="K67" s="596">
        <f t="shared" ca="1" si="7"/>
        <v>56.544886363636358</v>
      </c>
      <c r="L67" s="596">
        <f t="shared" ca="1" si="7"/>
        <v>62.085227272727266</v>
      </c>
      <c r="M67" s="597">
        <f t="shared" ca="1" si="7"/>
        <v>79.318749999999994</v>
      </c>
      <c r="N67" s="594">
        <f t="shared" ca="1" si="6"/>
        <v>577.1420454545455</v>
      </c>
      <c r="O67" s="61"/>
    </row>
    <row r="68" spans="1:26">
      <c r="B68" s="61"/>
    </row>
    <row r="69" spans="1:26" ht="15">
      <c r="A69" s="213"/>
    </row>
    <row r="70" spans="1:26" ht="18.75" thickBot="1">
      <c r="A70" s="1969" t="s">
        <v>877</v>
      </c>
    </row>
    <row r="71" spans="1:26" s="445" customFormat="1" ht="31.5" customHeight="1" thickBot="1">
      <c r="A71" s="446" t="s">
        <v>857</v>
      </c>
      <c r="B71" s="1987" t="str">
        <f t="array" ref="B71:M71">CONCATENATE(meses,"
",Parametros!B76:M76-1)</f>
        <v>enero
2025</v>
      </c>
      <c r="C71" s="1987" t="str">
        <v>febrero
2025</v>
      </c>
      <c r="D71" s="1987" t="str">
        <v>marzo
2025</v>
      </c>
      <c r="E71" s="1987" t="str">
        <v>abril
2025</v>
      </c>
      <c r="F71" s="1987" t="str">
        <v>mayo
2025</v>
      </c>
      <c r="G71" s="1987" t="str">
        <v>junio
2025</v>
      </c>
      <c r="H71" s="1987" t="str">
        <v>julio
2025</v>
      </c>
      <c r="I71" s="1987" t="str">
        <v>agosto
2025</v>
      </c>
      <c r="J71" s="1987" t="str">
        <v>septiembre
2025</v>
      </c>
      <c r="K71" s="1987" t="str">
        <v>octubre
2025</v>
      </c>
      <c r="L71" s="1987" t="str">
        <v>noviembre
2025</v>
      </c>
      <c r="M71" s="1987" t="str">
        <v>diciembre
2025</v>
      </c>
      <c r="N71" s="2703" t="str">
        <f t="array" ref="N71:Y71">'Estimaciones Ventas'!B5:M5</f>
        <v>enero 
2026</v>
      </c>
      <c r="O71" s="2704" t="str">
        <v>febrero 
2026</v>
      </c>
      <c r="P71" s="2704" t="str">
        <v>marzo 
2026</v>
      </c>
      <c r="Q71" s="2704" t="str">
        <v>abril 
2026</v>
      </c>
      <c r="R71" s="2704" t="str">
        <v>mayo 
2026</v>
      </c>
      <c r="S71" s="2704" t="str">
        <v>junio 
2026</v>
      </c>
      <c r="T71" s="2704" t="str">
        <v>julio 
2026</v>
      </c>
      <c r="U71" s="2704" t="str">
        <v>agosto 
2026</v>
      </c>
      <c r="V71" s="2704" t="str">
        <v>septiembre 
2026</v>
      </c>
      <c r="W71" s="2704" t="str">
        <v>octubre 
2026</v>
      </c>
      <c r="X71" s="2704" t="str">
        <v>noviembre 
2026</v>
      </c>
      <c r="Y71" s="2705" t="str">
        <v>diciembre 
2026</v>
      </c>
      <c r="Z71" s="61"/>
    </row>
    <row r="72" spans="1:26" ht="15.75" customHeight="1">
      <c r="A72" s="1970" t="s">
        <v>862</v>
      </c>
      <c r="B72" s="1967"/>
      <c r="C72" s="1967"/>
      <c r="D72" s="1967"/>
      <c r="E72" s="1967"/>
      <c r="F72" s="1967"/>
      <c r="G72" s="1967"/>
      <c r="H72" s="1965"/>
      <c r="I72" s="1966"/>
      <c r="J72" s="1966"/>
      <c r="K72" s="1966"/>
      <c r="L72" s="1966"/>
      <c r="M72" s="1966"/>
      <c r="N72" s="588">
        <f t="array" aca="1" ref="N72" ca="1">SUM(B20:B27*Produccion!$N$8:$N$15)</f>
        <v>175.00000000000003</v>
      </c>
      <c r="O72" s="588">
        <f t="array" aca="1" ref="O72" ca="1">SUM(C20:C27*Produccion!$N$8:$N$15)</f>
        <v>187.06439393939397</v>
      </c>
      <c r="P72" s="588">
        <f t="array" aca="1" ref="P72" ca="1">SUM(D20:D27*Produccion!$N$8:$N$15)</f>
        <v>205.49242424242425</v>
      </c>
      <c r="Q72" s="588">
        <f t="array" aca="1" ref="Q72" ca="1">SUM(E20:E27*Produccion!$N$8:$N$15)</f>
        <v>215.96590909090909</v>
      </c>
      <c r="R72" s="588">
        <f t="array" aca="1" ref="R72" ca="1">SUM(F20:F27*Produccion!$N$8:$N$15)</f>
        <v>210.53030303030306</v>
      </c>
      <c r="S72" s="588">
        <f t="array" aca="1" ref="S72" ca="1">SUM(G20:G27*Produccion!$N$8:$N$15)</f>
        <v>211.45833333333334</v>
      </c>
      <c r="T72" s="588">
        <f t="array" aca="1" ref="T72" ca="1">SUM(H20:H27*Produccion!$N$8:$N$15)</f>
        <v>209.2045454545455</v>
      </c>
      <c r="U72" s="588">
        <f t="array" aca="1" ref="U72" ca="1">SUM(I20:I27*Produccion!$N$8:$N$15)</f>
        <v>170.35984848484847</v>
      </c>
      <c r="V72" s="588">
        <f t="array" aca="1" ref="V72" ca="1">SUM(J20:J27*Produccion!$N$8:$N$15)</f>
        <v>220.60606060606062</v>
      </c>
      <c r="W72" s="588">
        <f t="array" aca="1" ref="W72" ca="1">SUM(K20:K27*Produccion!$N$8:$N$15)</f>
        <v>269.26136363636363</v>
      </c>
      <c r="X72" s="588">
        <f t="array" aca="1" ref="X72" ca="1">SUM(L20:L27*Produccion!$N$8:$N$15)</f>
        <v>295.64393939393938</v>
      </c>
      <c r="Y72" s="1985">
        <f t="array" aca="1" ref="Y72" ca="1">SUM(M20:M27*Produccion!$N$8:$N$15)</f>
        <v>377.70833333333331</v>
      </c>
    </row>
    <row r="73" spans="1:26" ht="15.75" customHeight="1">
      <c r="A73" s="1971" t="s">
        <v>864</v>
      </c>
      <c r="B73" s="1967"/>
      <c r="C73" s="1967"/>
      <c r="D73" s="1967"/>
      <c r="E73" s="1967"/>
      <c r="F73" s="1967"/>
      <c r="G73" s="1967"/>
      <c r="H73" s="1967"/>
      <c r="I73" s="1964"/>
      <c r="J73" s="1964"/>
      <c r="K73" s="1964"/>
      <c r="L73" s="1964"/>
      <c r="M73" s="590">
        <f t="array" aca="1" ref="M73" ca="1">SUM(B20:B27*Produccion!$M$8:$M$15)</f>
        <v>0</v>
      </c>
      <c r="N73" s="590">
        <f t="array" aca="1" ref="N73" ca="1">SUM(C20:C27*Produccion!$M$8:$M$15)</f>
        <v>0</v>
      </c>
      <c r="O73" s="590">
        <f t="array" aca="1" ref="O73" ca="1">SUM(D20:D27*Produccion!$M$8:$M$15)</f>
        <v>0</v>
      </c>
      <c r="P73" s="590">
        <f t="array" aca="1" ref="P73" ca="1">SUM(E20:E27*Produccion!$M$8:$M$15)</f>
        <v>0</v>
      </c>
      <c r="Q73" s="590">
        <f t="array" aca="1" ref="Q73" ca="1">SUM(F20:F27*Produccion!$M$8:$M$15)</f>
        <v>0</v>
      </c>
      <c r="R73" s="590">
        <f t="array" aca="1" ref="R73" ca="1">SUM(G20:G27*Produccion!$M$8:$M$15)</f>
        <v>0</v>
      </c>
      <c r="S73" s="590">
        <f t="array" aca="1" ref="S73" ca="1">SUM(H20:H27*Produccion!$M$8:$M$15)</f>
        <v>0</v>
      </c>
      <c r="T73" s="590">
        <f t="array" aca="1" ref="T73" ca="1">SUM(I20:I27*Produccion!$M$8:$M$15)</f>
        <v>0</v>
      </c>
      <c r="U73" s="590">
        <f t="array" aca="1" ref="U73" ca="1">SUM(J20:J27*Produccion!$M$8:$M$15)</f>
        <v>0</v>
      </c>
      <c r="V73" s="590">
        <f t="array" aca="1" ref="V73" ca="1">SUM(K20:K27*Produccion!$M$8:$M$15)</f>
        <v>0</v>
      </c>
      <c r="W73" s="590">
        <f t="array" aca="1" ref="W73" ca="1">SUM(L20:L27*Produccion!$M$8:$M$15)</f>
        <v>0</v>
      </c>
      <c r="X73" s="590">
        <f t="array" aca="1" ref="X73" ca="1">SUM(M20:M27*Produccion!$M$8:$M$15)</f>
        <v>0</v>
      </c>
      <c r="Y73" s="1983">
        <f t="array" aca="1" ref="Y73:Y84" ca="1">'Distr CV 1'!M73:M84</f>
        <v>0</v>
      </c>
    </row>
    <row r="74" spans="1:26" ht="15.75" customHeight="1">
      <c r="A74" s="1971" t="s">
        <v>865</v>
      </c>
      <c r="B74" s="1967"/>
      <c r="C74" s="1967"/>
      <c r="D74" s="1967"/>
      <c r="E74" s="1967"/>
      <c r="F74" s="1967"/>
      <c r="G74" s="1967"/>
      <c r="H74" s="1967"/>
      <c r="I74" s="1964"/>
      <c r="J74" s="1964"/>
      <c r="K74" s="1964"/>
      <c r="L74" s="590">
        <f t="array" aca="1" ref="L74" ca="1">SUM(B20:B27*Produccion!$L$8:$L$15)</f>
        <v>0</v>
      </c>
      <c r="M74" s="590">
        <f t="array" aca="1" ref="M74" ca="1">SUM(C20:C27*Produccion!$L$8:$L$15)</f>
        <v>0</v>
      </c>
      <c r="N74" s="590">
        <f t="array" aca="1" ref="N74" ca="1">SUM(D20:D27*Produccion!$L$8:$L$15)</f>
        <v>0</v>
      </c>
      <c r="O74" s="590">
        <f t="array" aca="1" ref="O74" ca="1">SUM(E20:E27*Produccion!$L$8:$L$15)</f>
        <v>0</v>
      </c>
      <c r="P74" s="590">
        <f t="array" aca="1" ref="P74" ca="1">SUM(F20:F27*Produccion!$L$8:$L$15)</f>
        <v>0</v>
      </c>
      <c r="Q74" s="590">
        <f t="array" aca="1" ref="Q74" ca="1">SUM(G20:G27*Produccion!$L$8:$L$15)</f>
        <v>0</v>
      </c>
      <c r="R74" s="590">
        <f t="array" aca="1" ref="R74" ca="1">SUM(H20:H27*Produccion!$L$8:$L$15)</f>
        <v>0</v>
      </c>
      <c r="S74" s="590">
        <f t="array" aca="1" ref="S74" ca="1">SUM(I20:I27*Produccion!$L$8:$L$15)</f>
        <v>0</v>
      </c>
      <c r="T74" s="590">
        <f t="array" aca="1" ref="T74" ca="1">SUM(J20:J27*Produccion!$L$8:$L$15)</f>
        <v>0</v>
      </c>
      <c r="U74" s="590">
        <f t="array" aca="1" ref="U74" ca="1">SUM(K20:K27*Produccion!$L$8:$L$15)</f>
        <v>0</v>
      </c>
      <c r="V74" s="590">
        <f t="array" aca="1" ref="V74" ca="1">SUM(L20:L27*Produccion!$L$8:$L$15)</f>
        <v>0</v>
      </c>
      <c r="W74" s="590">
        <f t="array" aca="1" ref="W74" ca="1">SUM(M20:M27*Produccion!$L$8:$L$15)</f>
        <v>0</v>
      </c>
      <c r="X74" s="1964">
        <f t="array" aca="1" ref="X74:X84" ca="1">'Distr CV 1'!L74:L84</f>
        <v>0</v>
      </c>
      <c r="Y74" s="1983">
        <f ca="1"/>
        <v>0</v>
      </c>
    </row>
    <row r="75" spans="1:26" ht="15.75" customHeight="1">
      <c r="A75" s="1971" t="s">
        <v>866</v>
      </c>
      <c r="B75" s="1967"/>
      <c r="C75" s="1967"/>
      <c r="D75" s="1967"/>
      <c r="E75" s="1967"/>
      <c r="F75" s="1967"/>
      <c r="G75" s="1967"/>
      <c r="H75" s="1967"/>
      <c r="I75" s="1964"/>
      <c r="J75" s="1964"/>
      <c r="K75" s="590">
        <f t="array" aca="1" ref="K75" ca="1">SUM(B20:B27*Produccion!$K$8:$K$15)</f>
        <v>0</v>
      </c>
      <c r="L75" s="590">
        <f t="array" aca="1" ref="L75" ca="1">SUM(C20:C27*Produccion!$K$8:$K$15)</f>
        <v>0</v>
      </c>
      <c r="M75" s="590">
        <f t="array" aca="1" ref="M75" ca="1">SUM(D20:D27*Produccion!$K$8:$K$15)</f>
        <v>0</v>
      </c>
      <c r="N75" s="590">
        <f t="array" aca="1" ref="N75" ca="1">SUM(E20:E27*Produccion!$K$8:$K$15)</f>
        <v>0</v>
      </c>
      <c r="O75" s="590">
        <f t="array" aca="1" ref="O75" ca="1">SUM(F20:F27*Produccion!$K$8:$K$15)</f>
        <v>0</v>
      </c>
      <c r="P75" s="590">
        <f t="array" aca="1" ref="P75" ca="1">SUM(G20:G27*Produccion!$K$8:$K$15)</f>
        <v>0</v>
      </c>
      <c r="Q75" s="590">
        <f t="array" aca="1" ref="Q75" ca="1">SUM(H20:H27*Produccion!$K$8:$K$15)</f>
        <v>0</v>
      </c>
      <c r="R75" s="590">
        <f t="array" aca="1" ref="R75" ca="1">SUM(I20:I27*Produccion!$K$8:$K$15)</f>
        <v>0</v>
      </c>
      <c r="S75" s="590">
        <f t="array" aca="1" ref="S75" ca="1">SUM(J20:J27*Produccion!$K$8:$K$15)</f>
        <v>0</v>
      </c>
      <c r="T75" s="590">
        <f t="array" aca="1" ref="T75" ca="1">SUM(K20:K27*Produccion!$K$8:$K$15)</f>
        <v>0</v>
      </c>
      <c r="U75" s="590">
        <f t="array" aca="1" ref="U75" ca="1">SUM(L20:L27*Produccion!$K$8:$K$15)</f>
        <v>0</v>
      </c>
      <c r="V75" s="590">
        <f t="array" aca="1" ref="V75" ca="1">SUM(M20:M27*Produccion!$K$8:$K$15)</f>
        <v>0</v>
      </c>
      <c r="W75" s="1964">
        <f t="array" aca="1" ref="W75:W84" ca="1">'Distr CV 1'!K75:K84</f>
        <v>0</v>
      </c>
      <c r="X75" s="1964">
        <f ca="1"/>
        <v>0</v>
      </c>
      <c r="Y75" s="1983">
        <f ca="1"/>
        <v>0</v>
      </c>
    </row>
    <row r="76" spans="1:26" ht="15.75" customHeight="1">
      <c r="A76" s="1971" t="s">
        <v>867</v>
      </c>
      <c r="B76" s="1967"/>
      <c r="C76" s="1967"/>
      <c r="D76" s="1967"/>
      <c r="E76" s="1967"/>
      <c r="F76" s="1967"/>
      <c r="G76" s="1967"/>
      <c r="H76" s="1967"/>
      <c r="I76" s="1964"/>
      <c r="J76" s="590">
        <f t="array" aca="1" ref="J76" ca="1">SUM(B20:B27*Produccion!$J$8:$J$15)</f>
        <v>0</v>
      </c>
      <c r="K76" s="590">
        <f t="array" aca="1" ref="K76" ca="1">SUM(C20:C27*Produccion!$J$8:$J$15)</f>
        <v>0</v>
      </c>
      <c r="L76" s="590">
        <f t="array" aca="1" ref="L76" ca="1">SUM(D20:D27*Produccion!$J$8:$J$15)</f>
        <v>0</v>
      </c>
      <c r="M76" s="590">
        <f t="array" aca="1" ref="M76" ca="1">SUM(E20:E27*Produccion!$J$8:$J$15)</f>
        <v>0</v>
      </c>
      <c r="N76" s="590">
        <f t="array" aca="1" ref="N76" ca="1">SUM(F20:F27*Produccion!$J$8:$J$15)</f>
        <v>0</v>
      </c>
      <c r="O76" s="590">
        <f t="array" aca="1" ref="O76" ca="1">SUM(G20:G27*Produccion!$J$8:$J$15)</f>
        <v>0</v>
      </c>
      <c r="P76" s="590">
        <f t="array" aca="1" ref="P76" ca="1">SUM(H20:H27*Produccion!$J$8:$J$15)</f>
        <v>0</v>
      </c>
      <c r="Q76" s="590">
        <f t="array" aca="1" ref="Q76" ca="1">SUM(I20:I27*Produccion!$J$8:$J$15)</f>
        <v>0</v>
      </c>
      <c r="R76" s="590">
        <f t="array" aca="1" ref="R76" ca="1">SUM(J20:J27*Produccion!$J$8:$J$15)</f>
        <v>0</v>
      </c>
      <c r="S76" s="590">
        <f t="array" aca="1" ref="S76" ca="1">SUM(K20:K27*Produccion!$J$8:$J$15)</f>
        <v>0</v>
      </c>
      <c r="T76" s="590">
        <f t="array" aca="1" ref="T76" ca="1">SUM(L20:L27*Produccion!$J$8:$J$15)</f>
        <v>0</v>
      </c>
      <c r="U76" s="590">
        <f t="array" aca="1" ref="U76" ca="1">SUM(M20:M27*Produccion!$J$8:$J$15)</f>
        <v>0</v>
      </c>
      <c r="V76" s="1964">
        <f t="array" aca="1" ref="V76:V84" ca="1">'Distr CV 1'!J76:J84</f>
        <v>0</v>
      </c>
      <c r="W76" s="1964">
        <f ca="1"/>
        <v>0</v>
      </c>
      <c r="X76" s="1964">
        <f ca="1"/>
        <v>0</v>
      </c>
      <c r="Y76" s="1983">
        <f ca="1"/>
        <v>0</v>
      </c>
    </row>
    <row r="77" spans="1:26" ht="15.75" customHeight="1">
      <c r="A77" s="1971" t="s">
        <v>868</v>
      </c>
      <c r="B77" s="1967"/>
      <c r="C77" s="1967"/>
      <c r="D77" s="1967"/>
      <c r="E77" s="1967"/>
      <c r="F77" s="1967"/>
      <c r="G77" s="1967"/>
      <c r="H77" s="1967"/>
      <c r="I77" s="590">
        <f t="array" aca="1" ref="I77" ca="1">SUM(B20:B27*Produccion!$I$8:$I$15)</f>
        <v>0</v>
      </c>
      <c r="J77" s="590">
        <f t="array" aca="1" ref="J77" ca="1">SUM(C20:C27*Produccion!$I$8:$I$15)</f>
        <v>0</v>
      </c>
      <c r="K77" s="590">
        <f t="array" aca="1" ref="K77" ca="1">SUM(D20:D27*Produccion!$I$8:$I$15)</f>
        <v>0</v>
      </c>
      <c r="L77" s="590">
        <f t="array" aca="1" ref="L77" ca="1">SUM(E20:E27*Produccion!$I$8:$I$15)</f>
        <v>0</v>
      </c>
      <c r="M77" s="590">
        <f t="array" aca="1" ref="M77" ca="1">SUM(F20:F27*Produccion!$I$8:$I$15)</f>
        <v>0</v>
      </c>
      <c r="N77" s="590">
        <f t="array" aca="1" ref="N77" ca="1">SUM(G20:G27*Produccion!$I$8:$I$15)</f>
        <v>0</v>
      </c>
      <c r="O77" s="590">
        <f t="array" aca="1" ref="O77" ca="1">SUM(H20:H27*Produccion!$I$8:$I$15)</f>
        <v>0</v>
      </c>
      <c r="P77" s="590">
        <f t="array" aca="1" ref="P77" ca="1">SUM(I20:I27*Produccion!$I$8:$I$15)</f>
        <v>0</v>
      </c>
      <c r="Q77" s="590">
        <f t="array" aca="1" ref="Q77" ca="1">SUM(J20:J27*Produccion!$I$8:$I$15)</f>
        <v>0</v>
      </c>
      <c r="R77" s="590">
        <f t="array" aca="1" ref="R77" ca="1">SUM(K20:K27*Produccion!$I$8:$I$15)</f>
        <v>0</v>
      </c>
      <c r="S77" s="590">
        <f t="array" aca="1" ref="S77" ca="1">SUM(L20:L27*Produccion!$I$8:$I$15)</f>
        <v>0</v>
      </c>
      <c r="T77" s="590">
        <f t="array" aca="1" ref="T77" ca="1">SUM(M20:M27*Produccion!$I$8:$I$15)</f>
        <v>0</v>
      </c>
      <c r="U77" s="1964">
        <f t="array" aca="1" ref="U77:U84" ca="1">'Distr CV 1'!I77:I84</f>
        <v>0</v>
      </c>
      <c r="V77" s="1964">
        <f ca="1"/>
        <v>0</v>
      </c>
      <c r="W77" s="1964">
        <f ca="1"/>
        <v>0</v>
      </c>
      <c r="X77" s="1964">
        <f ca="1"/>
        <v>0</v>
      </c>
      <c r="Y77" s="1983">
        <f ca="1"/>
        <v>0</v>
      </c>
    </row>
    <row r="78" spans="1:26" ht="15.75" customHeight="1">
      <c r="A78" s="1971" t="s">
        <v>869</v>
      </c>
      <c r="B78" s="1967"/>
      <c r="C78" s="1967"/>
      <c r="D78" s="1967"/>
      <c r="E78" s="1967"/>
      <c r="F78" s="1967"/>
      <c r="G78" s="1967"/>
      <c r="H78" s="590">
        <f t="array" aca="1" ref="H78" ca="1">SUM(B20:B27*Produccion!$H$8:$H$15)</f>
        <v>0</v>
      </c>
      <c r="I78" s="590">
        <f t="array" aca="1" ref="I78" ca="1">SUM(C20:C27*Produccion!$H$8:$H$15)</f>
        <v>0</v>
      </c>
      <c r="J78" s="590">
        <f t="array" aca="1" ref="J78" ca="1">SUM(D20:D27*Produccion!$H$8:$H$15)</f>
        <v>0</v>
      </c>
      <c r="K78" s="590">
        <f t="array" aca="1" ref="K78" ca="1">SUM(E20:E27*Produccion!$H$8:$H$15)</f>
        <v>0</v>
      </c>
      <c r="L78" s="590">
        <f t="array" aca="1" ref="L78" ca="1">SUM(F20:F27*Produccion!$H$8:$H$15)</f>
        <v>0</v>
      </c>
      <c r="M78" s="590">
        <f t="array" aca="1" ref="M78" ca="1">SUM(G20:G27*Produccion!$H$8:$H$15)</f>
        <v>0</v>
      </c>
      <c r="N78" s="590">
        <f t="array" aca="1" ref="N78" ca="1">SUM(H20:H27*Produccion!$H$8:$H$15)</f>
        <v>0</v>
      </c>
      <c r="O78" s="590">
        <f t="array" aca="1" ref="O78" ca="1">SUM(I20:I27*Produccion!$H$8:$H$15)</f>
        <v>0</v>
      </c>
      <c r="P78" s="590">
        <f t="array" aca="1" ref="P78" ca="1">SUM(J20:J27*Produccion!$H$8:$H$15)</f>
        <v>0</v>
      </c>
      <c r="Q78" s="590">
        <f t="array" aca="1" ref="Q78" ca="1">SUM(K20:K27*Produccion!$H$8:$H$15)</f>
        <v>0</v>
      </c>
      <c r="R78" s="590">
        <f t="array" aca="1" ref="R78" ca="1">SUM(L20:L27*Produccion!$H$8:$H$15)</f>
        <v>0</v>
      </c>
      <c r="S78" s="590">
        <f t="array" aca="1" ref="S78" ca="1">SUM(M20:M27*Produccion!$H$8:$H$15)</f>
        <v>0</v>
      </c>
      <c r="T78" s="1964">
        <f t="array" aca="1" ref="T78:T84" ca="1">'Distr CV 1'!H78:H84</f>
        <v>0</v>
      </c>
      <c r="U78" s="1964">
        <f ca="1"/>
        <v>0</v>
      </c>
      <c r="V78" s="1964">
        <f ca="1"/>
        <v>0</v>
      </c>
      <c r="W78" s="1964">
        <f ca="1"/>
        <v>0</v>
      </c>
      <c r="X78" s="1964">
        <f ca="1"/>
        <v>0</v>
      </c>
      <c r="Y78" s="1983">
        <f ca="1"/>
        <v>0</v>
      </c>
    </row>
    <row r="79" spans="1:26" ht="15.75" customHeight="1">
      <c r="A79" s="1971" t="s">
        <v>870</v>
      </c>
      <c r="B79" s="1967"/>
      <c r="C79" s="1967"/>
      <c r="D79" s="1967"/>
      <c r="E79" s="1967"/>
      <c r="F79" s="1967"/>
      <c r="G79" s="592">
        <f t="array" aca="1" ref="G79" ca="1">SUM(B20:B27*Produccion!$G$8:$G$15)</f>
        <v>0</v>
      </c>
      <c r="H79" s="592">
        <f t="array" aca="1" ref="H79" ca="1">SUM(C20:C27*Produccion!$G$8:$G$15)</f>
        <v>0</v>
      </c>
      <c r="I79" s="592">
        <f t="array" aca="1" ref="I79" ca="1">SUM(D20:D27*Produccion!$G$8:$G$15)</f>
        <v>0</v>
      </c>
      <c r="J79" s="592">
        <f t="array" aca="1" ref="J79" ca="1">SUM(E20:E27*Produccion!$G$8:$G$15)</f>
        <v>0</v>
      </c>
      <c r="K79" s="592">
        <f t="array" aca="1" ref="K79" ca="1">SUM(F20:F27*Produccion!$G$8:$G$15)</f>
        <v>0</v>
      </c>
      <c r="L79" s="592">
        <f t="array" aca="1" ref="L79" ca="1">SUM(G20:G27*Produccion!$G$8:$G$15)</f>
        <v>0</v>
      </c>
      <c r="M79" s="592">
        <f t="array" aca="1" ref="M79" ca="1">SUM(H20:H27*Produccion!$G$8:$G$15)</f>
        <v>0</v>
      </c>
      <c r="N79" s="592">
        <f t="array" aca="1" ref="N79" ca="1">SUM(I20:I27*Produccion!$G$8:$G$15)</f>
        <v>0</v>
      </c>
      <c r="O79" s="592">
        <f t="array" aca="1" ref="O79" ca="1">SUM(J20:J27*Produccion!$G$8:$G$15)</f>
        <v>0</v>
      </c>
      <c r="P79" s="592">
        <f t="array" aca="1" ref="P79" ca="1">SUM(K20:K27*Produccion!$G$8:$G$15)</f>
        <v>0</v>
      </c>
      <c r="Q79" s="592">
        <f t="array" aca="1" ref="Q79" ca="1">SUM(L20:L27*Produccion!$G$8:$G$15)</f>
        <v>0</v>
      </c>
      <c r="R79" s="592">
        <f t="array" aca="1" ref="R79" ca="1">SUM(M20:M27*Produccion!$G$8:$G$15)</f>
        <v>0</v>
      </c>
      <c r="S79" s="1968">
        <f t="array" aca="1" ref="S79:S84" ca="1">'Distr CV 1'!G79:G84</f>
        <v>0</v>
      </c>
      <c r="T79" s="1968">
        <f ca="1"/>
        <v>0</v>
      </c>
      <c r="U79" s="1968">
        <f ca="1"/>
        <v>0</v>
      </c>
      <c r="V79" s="1968">
        <f ca="1"/>
        <v>0</v>
      </c>
      <c r="W79" s="1968">
        <f ca="1"/>
        <v>0</v>
      </c>
      <c r="X79" s="1968">
        <f ca="1"/>
        <v>0</v>
      </c>
      <c r="Y79" s="1986">
        <f ca="1"/>
        <v>0</v>
      </c>
    </row>
    <row r="80" spans="1:26" ht="15.75" customHeight="1">
      <c r="A80" s="1971" t="s">
        <v>871</v>
      </c>
      <c r="B80" s="1967"/>
      <c r="C80" s="1967"/>
      <c r="D80" s="1967"/>
      <c r="E80" s="1967"/>
      <c r="F80" s="592">
        <f t="array" aca="1" ref="F80" ca="1">SUM(B20:B27*Produccion!$F$8:$F$15)</f>
        <v>0</v>
      </c>
      <c r="G80" s="592">
        <f t="array" aca="1" ref="G80" ca="1">SUM(C20:C27*Produccion!$F$8:$F$15)</f>
        <v>0</v>
      </c>
      <c r="H80" s="592">
        <f t="array" aca="1" ref="H80" ca="1">SUM(D20:D27*Produccion!$F$8:$F$15)</f>
        <v>0</v>
      </c>
      <c r="I80" s="592">
        <f t="array" aca="1" ref="I80" ca="1">SUM(E20:E27*Produccion!$F$8:$F$15)</f>
        <v>0</v>
      </c>
      <c r="J80" s="592">
        <f t="array" aca="1" ref="J80" ca="1">SUM(F20:F27*Produccion!$F$8:$F$15)</f>
        <v>0</v>
      </c>
      <c r="K80" s="592">
        <f t="array" aca="1" ref="K80" ca="1">SUM(G20:G27*Produccion!$F$8:$F$15)</f>
        <v>0</v>
      </c>
      <c r="L80" s="592">
        <f t="array" aca="1" ref="L80" ca="1">SUM(H20:H27*Produccion!$F$8:$F$15)</f>
        <v>0</v>
      </c>
      <c r="M80" s="592">
        <f t="array" aca="1" ref="M80" ca="1">SUM(I20:I27*Produccion!$F$8:$F$15)</f>
        <v>0</v>
      </c>
      <c r="N80" s="592">
        <f t="array" aca="1" ref="N80" ca="1">SUM(J20:J27*Produccion!$F$8:$F$15)</f>
        <v>0</v>
      </c>
      <c r="O80" s="592">
        <f t="array" aca="1" ref="O80" ca="1">SUM(K20:K27*Produccion!$F$8:$F$15)</f>
        <v>0</v>
      </c>
      <c r="P80" s="592">
        <f t="array" aca="1" ref="P80" ca="1">SUM(L20:L27*Produccion!$F$8:$F$15)</f>
        <v>0</v>
      </c>
      <c r="Q80" s="592">
        <f t="array" aca="1" ref="Q80" ca="1">SUM(M20:M27*Produccion!$F$8:$F$15)</f>
        <v>0</v>
      </c>
      <c r="R80" s="1968">
        <f t="array" aca="1" ref="R80:R84" ca="1">'Distr CV 1'!F80:F84</f>
        <v>0</v>
      </c>
      <c r="S80" s="1968">
        <f ca="1"/>
        <v>0</v>
      </c>
      <c r="T80" s="1968">
        <f ca="1"/>
        <v>0</v>
      </c>
      <c r="U80" s="1968">
        <f ca="1"/>
        <v>0</v>
      </c>
      <c r="V80" s="1968">
        <f ca="1"/>
        <v>0</v>
      </c>
      <c r="W80" s="1968">
        <f ca="1"/>
        <v>0</v>
      </c>
      <c r="X80" s="1968">
        <f ca="1"/>
        <v>0</v>
      </c>
      <c r="Y80" s="1986">
        <f ca="1"/>
        <v>0</v>
      </c>
    </row>
    <row r="81" spans="1:26" ht="15.75" customHeight="1">
      <c r="A81" s="1971" t="s">
        <v>872</v>
      </c>
      <c r="B81" s="1967"/>
      <c r="C81" s="1967"/>
      <c r="D81" s="1967"/>
      <c r="E81" s="592">
        <f t="array" aca="1" ref="E81" ca="1">SUM(B20:B27*Produccion!$E$8:$E$15)</f>
        <v>0</v>
      </c>
      <c r="F81" s="592">
        <f t="array" aca="1" ref="F81" ca="1">SUM(C20:C27*Produccion!$E$8:$E$15)</f>
        <v>0</v>
      </c>
      <c r="G81" s="592">
        <f t="array" aca="1" ref="G81" ca="1">SUM(D20:D27*Produccion!$E$8:$E$15)</f>
        <v>0</v>
      </c>
      <c r="H81" s="592">
        <f t="array" aca="1" ref="H81" ca="1">SUM(E20:E27*Produccion!$E$8:$E$15)</f>
        <v>0</v>
      </c>
      <c r="I81" s="592">
        <f t="array" aca="1" ref="I81" ca="1">SUM(F20:F27*Produccion!$E$8:$E$15)</f>
        <v>0</v>
      </c>
      <c r="J81" s="592">
        <f t="array" aca="1" ref="J81" ca="1">SUM(G20:G27*Produccion!$E$8:$E$15)</f>
        <v>0</v>
      </c>
      <c r="K81" s="592">
        <f t="array" aca="1" ref="K81" ca="1">SUM(H20:H27*Produccion!$E$8:$E$15)</f>
        <v>0</v>
      </c>
      <c r="L81" s="592">
        <f t="array" aca="1" ref="L81" ca="1">SUM(I20:I27*Produccion!$E$8:$E$15)</f>
        <v>0</v>
      </c>
      <c r="M81" s="592">
        <f t="array" aca="1" ref="M81" ca="1">SUM(J20:J27*Produccion!$E$8:$E$15)</f>
        <v>0</v>
      </c>
      <c r="N81" s="592">
        <f t="array" aca="1" ref="N81" ca="1">SUM(K20:K27*Produccion!$E$8:$E$15)</f>
        <v>0</v>
      </c>
      <c r="O81" s="592">
        <f t="array" aca="1" ref="O81" ca="1">SUM(L20:L27*Produccion!$E$8:$E$15)</f>
        <v>0</v>
      </c>
      <c r="P81" s="592">
        <f t="array" aca="1" ref="P81" ca="1">SUM(M20:M27*Produccion!$E$8:$E$15)</f>
        <v>0</v>
      </c>
      <c r="Q81" s="1968">
        <f t="array" aca="1" ref="Q81:Q84" ca="1">'Distr CV 1'!E81:F84</f>
        <v>0</v>
      </c>
      <c r="R81" s="1968">
        <f ca="1"/>
        <v>0</v>
      </c>
      <c r="S81" s="1968">
        <f ca="1"/>
        <v>0</v>
      </c>
      <c r="T81" s="1968">
        <f ca="1"/>
        <v>0</v>
      </c>
      <c r="U81" s="1968">
        <f ca="1"/>
        <v>0</v>
      </c>
      <c r="V81" s="1968">
        <f ca="1"/>
        <v>0</v>
      </c>
      <c r="W81" s="1968">
        <f ca="1"/>
        <v>0</v>
      </c>
      <c r="X81" s="1968">
        <f ca="1"/>
        <v>0</v>
      </c>
      <c r="Y81" s="1986">
        <f ca="1"/>
        <v>0</v>
      </c>
    </row>
    <row r="82" spans="1:26" ht="15.75" customHeight="1">
      <c r="A82" s="1971" t="s">
        <v>873</v>
      </c>
      <c r="B82" s="1967"/>
      <c r="C82" s="1967"/>
      <c r="D82" s="591">
        <f t="array" aca="1" ref="D82" ca="1">SUM(B20:B27*Produccion!$D$8:$D$15)</f>
        <v>0</v>
      </c>
      <c r="E82" s="591">
        <f t="array" aca="1" ref="E82" ca="1">SUM(C20:C27*Produccion!$D$8:$D$15)</f>
        <v>0</v>
      </c>
      <c r="F82" s="591">
        <f t="array" aca="1" ref="F82" ca="1">SUM(D20:D27*Produccion!$D$8:$D$15)</f>
        <v>0</v>
      </c>
      <c r="G82" s="591">
        <f t="array" aca="1" ref="G82" ca="1">SUM(E20:E27*Produccion!$D$8:$D$15)</f>
        <v>0</v>
      </c>
      <c r="H82" s="591">
        <f t="array" aca="1" ref="H82" ca="1">SUM(F20:F27*Produccion!$D$8:$D$15)</f>
        <v>0</v>
      </c>
      <c r="I82" s="591">
        <f t="array" aca="1" ref="I82" ca="1">SUM(G20:G27*Produccion!$D$8:$D$15)</f>
        <v>0</v>
      </c>
      <c r="J82" s="591">
        <f t="array" aca="1" ref="J82" ca="1">SUM(H20:H27*Produccion!$D$8:$D$15)</f>
        <v>0</v>
      </c>
      <c r="K82" s="591">
        <f t="array" aca="1" ref="K82" ca="1">SUM(I20:I27*Produccion!$D$8:$D$15)</f>
        <v>0</v>
      </c>
      <c r="L82" s="591">
        <f t="array" aca="1" ref="L82" ca="1">SUM(J20:J27*Produccion!$D$8:$D$15)</f>
        <v>0</v>
      </c>
      <c r="M82" s="591">
        <f t="array" aca="1" ref="M82" ca="1">SUM(K20:K27*Produccion!$D$8:$D$15)</f>
        <v>0</v>
      </c>
      <c r="N82" s="591">
        <f t="array" aca="1" ref="N82" ca="1">SUM(L20:L27*Produccion!$D$8:$D$15)</f>
        <v>0</v>
      </c>
      <c r="O82" s="591">
        <f t="array" aca="1" ref="O82" ca="1">SUM(M20:M27*Produccion!$D$8:$D$15)</f>
        <v>0</v>
      </c>
      <c r="P82" s="1968">
        <f t="array" aca="1" ref="P82:P84" ca="1">'Distr CV 1'!D82:D84</f>
        <v>0</v>
      </c>
      <c r="Q82" s="1968">
        <f ca="1"/>
        <v>0</v>
      </c>
      <c r="R82" s="1968">
        <f ca="1"/>
        <v>0</v>
      </c>
      <c r="S82" s="1968">
        <f ca="1"/>
        <v>0</v>
      </c>
      <c r="T82" s="1968">
        <f ca="1"/>
        <v>0</v>
      </c>
      <c r="U82" s="1968">
        <f ca="1"/>
        <v>0</v>
      </c>
      <c r="V82" s="1968">
        <f ca="1"/>
        <v>0</v>
      </c>
      <c r="W82" s="1968">
        <f ca="1"/>
        <v>0</v>
      </c>
      <c r="X82" s="1968">
        <f ca="1"/>
        <v>0</v>
      </c>
      <c r="Y82" s="1986">
        <f ca="1"/>
        <v>0</v>
      </c>
    </row>
    <row r="83" spans="1:26" ht="15.75" customHeight="1">
      <c r="A83" s="1971" t="s">
        <v>874</v>
      </c>
      <c r="B83" s="1967"/>
      <c r="C83" s="592">
        <f t="array" aca="1" ref="C83" ca="1">SUM(B20:B27*Produccion!$C$8:$C$15)</f>
        <v>0</v>
      </c>
      <c r="D83" s="592">
        <f t="array" aca="1" ref="D83" ca="1">SUM(C20:C27*Produccion!$C$8:$C$15)</f>
        <v>0</v>
      </c>
      <c r="E83" s="592">
        <f t="array" aca="1" ref="E83" ca="1">SUM(D20:D27*Produccion!$C$8:$C$15)</f>
        <v>0</v>
      </c>
      <c r="F83" s="592">
        <f t="array" aca="1" ref="F83" ca="1">SUM(E20:E27*Produccion!$C$8:$C$15)</f>
        <v>0</v>
      </c>
      <c r="G83" s="592">
        <f t="array" aca="1" ref="G83" ca="1">SUM(F20:F27*Produccion!$C$8:$C$15)</f>
        <v>0</v>
      </c>
      <c r="H83" s="592">
        <f t="array" aca="1" ref="H83" ca="1">SUM(G20:G27*Produccion!$C$8:$C$15)</f>
        <v>0</v>
      </c>
      <c r="I83" s="592">
        <f t="array" aca="1" ref="I83" ca="1">SUM(H20:H27*Produccion!$C$8:$C$15)</f>
        <v>0</v>
      </c>
      <c r="J83" s="592">
        <f t="array" aca="1" ref="J83" ca="1">SUM(I20:I27*Produccion!$C$8:$C$15)</f>
        <v>0</v>
      </c>
      <c r="K83" s="592">
        <f t="array" aca="1" ref="K83" ca="1">SUM(J20:J27*Produccion!$C$8:$C$15)</f>
        <v>0</v>
      </c>
      <c r="L83" s="592">
        <f t="array" aca="1" ref="L83" ca="1">SUM(K20:K27*Produccion!$C$8:$C$15)</f>
        <v>0</v>
      </c>
      <c r="M83" s="592">
        <f t="array" aca="1" ref="M83" ca="1">SUM(L20:L27*Produccion!$C$8:$C$15)</f>
        <v>0</v>
      </c>
      <c r="N83" s="592">
        <f t="array" aca="1" ref="N83" ca="1">SUM(M20:M27*Produccion!$C$8:$C$15)</f>
        <v>0</v>
      </c>
      <c r="O83" s="1968">
        <f t="array" aca="1" ref="O83:O84" ca="1">'Distr CV 1'!C83:C84</f>
        <v>0</v>
      </c>
      <c r="P83" s="1968">
        <f ca="1"/>
        <v>0</v>
      </c>
      <c r="Q83" s="1968">
        <f ca="1"/>
        <v>0</v>
      </c>
      <c r="R83" s="1968">
        <f ca="1"/>
        <v>0</v>
      </c>
      <c r="S83" s="1968">
        <f ca="1"/>
        <v>0</v>
      </c>
      <c r="T83" s="1968">
        <f ca="1"/>
        <v>0</v>
      </c>
      <c r="U83" s="1968">
        <f ca="1"/>
        <v>0</v>
      </c>
      <c r="V83" s="1968">
        <f ca="1"/>
        <v>0</v>
      </c>
      <c r="W83" s="1968">
        <f ca="1"/>
        <v>0</v>
      </c>
      <c r="X83" s="1968">
        <f ca="1"/>
        <v>0</v>
      </c>
      <c r="Y83" s="1986">
        <f ca="1"/>
        <v>0</v>
      </c>
    </row>
    <row r="84" spans="1:26" ht="15.75" customHeight="1" thickBot="1">
      <c r="A84" s="1971" t="s">
        <v>875</v>
      </c>
      <c r="B84" s="592">
        <f t="array" aca="1" ref="B84" ca="1">SUM(B20:B27*Produccion!$B$8:$B$15)</f>
        <v>0</v>
      </c>
      <c r="C84" s="592">
        <f t="array" aca="1" ref="C84" ca="1">SUM(C20:C27*Produccion!$B$8:$B$15)</f>
        <v>0</v>
      </c>
      <c r="D84" s="592">
        <f t="array" aca="1" ref="D84" ca="1">SUM(D20:D27*Produccion!$B$8:$B$15)</f>
        <v>0</v>
      </c>
      <c r="E84" s="592">
        <f t="array" aca="1" ref="E84" ca="1">SUM(E20:E27*Produccion!$B$8:$B$15)</f>
        <v>0</v>
      </c>
      <c r="F84" s="592">
        <f t="array" aca="1" ref="F84" ca="1">SUM(F20:F27*Produccion!$B$8:$B$15)</f>
        <v>0</v>
      </c>
      <c r="G84" s="592">
        <f t="array" aca="1" ref="G84" ca="1">SUM(G20:G27*Produccion!$B$8:$B$15)</f>
        <v>0</v>
      </c>
      <c r="H84" s="592">
        <f t="array" aca="1" ref="H84" ca="1">SUM(H20:H27*Produccion!$B$8:$B$15)</f>
        <v>0</v>
      </c>
      <c r="I84" s="592">
        <f t="array" aca="1" ref="I84" ca="1">SUM(I20:I27*Produccion!$B$8:$B$15)</f>
        <v>0</v>
      </c>
      <c r="J84" s="592">
        <f t="array" aca="1" ref="J84" ca="1">SUM(J20:J27*Produccion!$B$8:$B$15)</f>
        <v>0</v>
      </c>
      <c r="K84" s="592">
        <f t="array" aca="1" ref="K84" ca="1">SUM(K20:K27*Produccion!$B$8:$B$15)</f>
        <v>0</v>
      </c>
      <c r="L84" s="592">
        <f t="array" aca="1" ref="L84" ca="1">SUM(L20:L27*Produccion!$B$8:$B$15)</f>
        <v>0</v>
      </c>
      <c r="M84" s="592">
        <f t="array" aca="1" ref="M84" ca="1">SUM(M20:M27*Produccion!$B$8:$B$15)</f>
        <v>0</v>
      </c>
      <c r="N84" s="1968">
        <f ca="1">'Distr CV 1'!B84</f>
        <v>0</v>
      </c>
      <c r="O84" s="1968">
        <f ca="1"/>
        <v>0</v>
      </c>
      <c r="P84" s="1968">
        <f ca="1"/>
        <v>0</v>
      </c>
      <c r="Q84" s="1968">
        <f ca="1"/>
        <v>0</v>
      </c>
      <c r="R84" s="1968">
        <f ca="1"/>
        <v>0</v>
      </c>
      <c r="S84" s="1968">
        <f ca="1"/>
        <v>0</v>
      </c>
      <c r="T84" s="1968">
        <f ca="1"/>
        <v>0</v>
      </c>
      <c r="U84" s="1968">
        <f ca="1"/>
        <v>0</v>
      </c>
      <c r="V84" s="1968">
        <f ca="1"/>
        <v>0</v>
      </c>
      <c r="W84" s="1968">
        <f ca="1"/>
        <v>0</v>
      </c>
      <c r="X84" s="1968">
        <f ca="1"/>
        <v>0</v>
      </c>
      <c r="Y84" s="1986">
        <f ca="1"/>
        <v>0</v>
      </c>
    </row>
    <row r="85" spans="1:26" ht="15.75" customHeight="1" thickBot="1">
      <c r="A85" s="103" t="s">
        <v>15</v>
      </c>
      <c r="B85" s="596">
        <f t="shared" ref="B85:Y85" ca="1" si="8">SUM(B72:B84)</f>
        <v>0</v>
      </c>
      <c r="C85" s="596">
        <f t="shared" ca="1" si="8"/>
        <v>0</v>
      </c>
      <c r="D85" s="596">
        <f t="shared" ca="1" si="8"/>
        <v>0</v>
      </c>
      <c r="E85" s="596">
        <f t="shared" ca="1" si="8"/>
        <v>0</v>
      </c>
      <c r="F85" s="596">
        <f t="shared" ca="1" si="8"/>
        <v>0</v>
      </c>
      <c r="G85" s="596">
        <f t="shared" ca="1" si="8"/>
        <v>0</v>
      </c>
      <c r="H85" s="596">
        <f t="shared" ca="1" si="8"/>
        <v>0</v>
      </c>
      <c r="I85" s="596">
        <f t="shared" ca="1" si="8"/>
        <v>0</v>
      </c>
      <c r="J85" s="596">
        <f t="shared" ca="1" si="8"/>
        <v>0</v>
      </c>
      <c r="K85" s="596">
        <f t="shared" ca="1" si="8"/>
        <v>0</v>
      </c>
      <c r="L85" s="596">
        <f t="shared" ca="1" si="8"/>
        <v>0</v>
      </c>
      <c r="M85" s="596">
        <f t="shared" ca="1" si="8"/>
        <v>0</v>
      </c>
      <c r="N85" s="596">
        <f t="shared" ca="1" si="8"/>
        <v>175.00000000000003</v>
      </c>
      <c r="O85" s="596">
        <f t="shared" ca="1" si="8"/>
        <v>187.06439393939397</v>
      </c>
      <c r="P85" s="596">
        <f t="shared" ca="1" si="8"/>
        <v>205.49242424242425</v>
      </c>
      <c r="Q85" s="596">
        <f t="shared" ca="1" si="8"/>
        <v>215.96590909090909</v>
      </c>
      <c r="R85" s="596">
        <f t="shared" ca="1" si="8"/>
        <v>210.53030303030306</v>
      </c>
      <c r="S85" s="596">
        <f t="shared" ca="1" si="8"/>
        <v>211.45833333333334</v>
      </c>
      <c r="T85" s="596">
        <f t="shared" ca="1" si="8"/>
        <v>209.2045454545455</v>
      </c>
      <c r="U85" s="596">
        <f t="shared" ca="1" si="8"/>
        <v>170.35984848484847</v>
      </c>
      <c r="V85" s="596">
        <f t="shared" ca="1" si="8"/>
        <v>220.60606060606062</v>
      </c>
      <c r="W85" s="596">
        <f t="shared" ca="1" si="8"/>
        <v>269.26136363636363</v>
      </c>
      <c r="X85" s="596">
        <f t="shared" ca="1" si="8"/>
        <v>295.64393939393938</v>
      </c>
      <c r="Y85" s="1984">
        <f t="shared" ca="1" si="8"/>
        <v>377.70833333333331</v>
      </c>
    </row>
    <row r="86" spans="1:26">
      <c r="B86" s="61"/>
    </row>
    <row r="87" spans="1:26">
      <c r="A87" s="1003" t="s">
        <v>891</v>
      </c>
      <c r="B87" s="61">
        <f ca="1">SUM(OFFSET(B85,0,0,1,12+mes0-1))</f>
        <v>0</v>
      </c>
    </row>
    <row r="88" spans="1:26">
      <c r="B88" s="61"/>
    </row>
    <row r="89" spans="1:26" ht="18.75" thickBot="1">
      <c r="A89" s="1969" t="str">
        <f>'Datos Básicos'!A28&amp;" de los costes de producción por meses de compra"</f>
        <v>IVA de los costes de producción por meses de compra</v>
      </c>
      <c r="I89" s="1969"/>
    </row>
    <row r="90" spans="1:26" s="445" customFormat="1" ht="39" customHeight="1" thickBot="1">
      <c r="A90" s="446" t="s">
        <v>884</v>
      </c>
      <c r="B90" s="1987" t="str">
        <f t="array" ref="B90:Y90">B$71:Y$71</f>
        <v>enero
2025</v>
      </c>
      <c r="C90" s="1987" t="str">
        <v>febrero
2025</v>
      </c>
      <c r="D90" s="1987" t="str">
        <v>marzo
2025</v>
      </c>
      <c r="E90" s="1987" t="str">
        <v>abril
2025</v>
      </c>
      <c r="F90" s="1987" t="str">
        <v>mayo
2025</v>
      </c>
      <c r="G90" s="1987" t="str">
        <v>junio
2025</v>
      </c>
      <c r="H90" s="1987" t="str">
        <v>julio
2025</v>
      </c>
      <c r="I90" s="1987" t="str">
        <v>agosto
2025</v>
      </c>
      <c r="J90" s="1987" t="str">
        <v>septiembre
2025</v>
      </c>
      <c r="K90" s="1987" t="str">
        <v>octubre
2025</v>
      </c>
      <c r="L90" s="1987" t="str">
        <v>noviembre
2025</v>
      </c>
      <c r="M90" s="1987" t="str">
        <v>diciembre
2025</v>
      </c>
      <c r="N90" s="2703" t="str">
        <v>enero 
2026</v>
      </c>
      <c r="O90" s="2704" t="str">
        <v>febrero 
2026</v>
      </c>
      <c r="P90" s="2704" t="str">
        <v>marzo 
2026</v>
      </c>
      <c r="Q90" s="2704" t="str">
        <v>abril 
2026</v>
      </c>
      <c r="R90" s="2704" t="str">
        <v>mayo 
2026</v>
      </c>
      <c r="S90" s="2704" t="str">
        <v>junio 
2026</v>
      </c>
      <c r="T90" s="2704" t="str">
        <v>julio 
2026</v>
      </c>
      <c r="U90" s="2704" t="str">
        <v>agosto 
2026</v>
      </c>
      <c r="V90" s="2704" t="str">
        <v>septiembre 
2026</v>
      </c>
      <c r="W90" s="2704" t="str">
        <v>octubre 
2026</v>
      </c>
      <c r="X90" s="2704" t="str">
        <v>noviembre 
2026</v>
      </c>
      <c r="Y90" s="2705" t="str">
        <v>diciembre 
2026</v>
      </c>
      <c r="Z90" s="61"/>
    </row>
    <row r="91" spans="1:26" ht="15.75" customHeight="1">
      <c r="A91" s="1970" t="str">
        <f t="array" ref="A91:A104">A$72:A$85</f>
        <v>mismo mes</v>
      </c>
      <c r="B91" s="1967"/>
      <c r="C91" s="1967"/>
      <c r="D91" s="1967"/>
      <c r="E91" s="1967"/>
      <c r="F91" s="1967"/>
      <c r="G91" s="1967"/>
      <c r="H91" s="1965"/>
      <c r="I91" s="1966"/>
      <c r="J91" s="1966"/>
      <c r="K91" s="1966"/>
      <c r="L91" s="1966"/>
      <c r="M91" s="1966"/>
      <c r="N91" s="588">
        <f t="array" aca="1" ref="N91" ca="1">SUM(B32:B39*Produccion!$N$8:$N$15)</f>
        <v>36.750000000000007</v>
      </c>
      <c r="O91" s="588">
        <f t="array" aca="1" ref="O91" ca="1">SUM(C32:C39*Produccion!$N$8:$N$15)</f>
        <v>39.283522727272732</v>
      </c>
      <c r="P91" s="588">
        <f t="array" aca="1" ref="P91" ca="1">SUM(D32:D39*Produccion!$N$8:$N$15)</f>
        <v>43.153409090909093</v>
      </c>
      <c r="Q91" s="588">
        <f t="array" aca="1" ref="Q91" ca="1">SUM(E32:E39*Produccion!$N$8:$N$15)</f>
        <v>45.352840909090908</v>
      </c>
      <c r="R91" s="588">
        <f t="array" aca="1" ref="R91" ca="1">SUM(F32:F39*Produccion!$N$8:$N$15)</f>
        <v>44.211363636363643</v>
      </c>
      <c r="S91" s="588">
        <f t="array" aca="1" ref="S91" ca="1">SUM(G32:G39*Produccion!$N$8:$N$15)</f>
        <v>44.40625</v>
      </c>
      <c r="T91" s="588">
        <f t="array" aca="1" ref="T91" ca="1">SUM(H32:H39*Produccion!$N$8:$N$15)</f>
        <v>43.93295454545455</v>
      </c>
      <c r="U91" s="588">
        <f t="array" aca="1" ref="U91" ca="1">SUM(I32:I39*Produccion!$N$8:$N$15)</f>
        <v>35.77556818181818</v>
      </c>
      <c r="V91" s="588">
        <f t="array" aca="1" ref="V91" ca="1">SUM(J32:J39*Produccion!$N$8:$N$15)</f>
        <v>46.327272727272728</v>
      </c>
      <c r="W91" s="588">
        <f t="array" aca="1" ref="W91" ca="1">SUM(K32:K39*Produccion!$N$8:$N$15)</f>
        <v>56.544886363636358</v>
      </c>
      <c r="X91" s="588">
        <f t="array" aca="1" ref="X91" ca="1">SUM(L32:L39*Produccion!$N$8:$N$15)</f>
        <v>62.085227272727266</v>
      </c>
      <c r="Y91" s="1985">
        <f t="array" aca="1" ref="Y91" ca="1">SUM(M32:M39*Produccion!$N$8:$N$15)</f>
        <v>79.318749999999994</v>
      </c>
    </row>
    <row r="92" spans="1:26" ht="15.75" customHeight="1">
      <c r="A92" s="1971" t="str">
        <v>1 mes antes</v>
      </c>
      <c r="B92" s="1967"/>
      <c r="C92" s="1967"/>
      <c r="D92" s="1967"/>
      <c r="E92" s="1967"/>
      <c r="F92" s="1967"/>
      <c r="G92" s="1967"/>
      <c r="H92" s="1967"/>
      <c r="I92" s="1964"/>
      <c r="J92" s="1964"/>
      <c r="K92" s="1964"/>
      <c r="L92" s="1964"/>
      <c r="M92" s="590">
        <f t="array" aca="1" ref="M92" ca="1">SUM(B32:B39*Produccion!$M$8:$M$15)</f>
        <v>0</v>
      </c>
      <c r="N92" s="590">
        <f t="array" aca="1" ref="N92" ca="1">SUM(C32:C39*Produccion!$M$8:$M$15)</f>
        <v>0</v>
      </c>
      <c r="O92" s="590">
        <f t="array" aca="1" ref="O92" ca="1">SUM(D32:D39*Produccion!$M$8:$M$15)</f>
        <v>0</v>
      </c>
      <c r="P92" s="590">
        <f t="array" aca="1" ref="P92" ca="1">SUM(E32:E39*Produccion!$M$8:$M$15)</f>
        <v>0</v>
      </c>
      <c r="Q92" s="590">
        <f t="array" aca="1" ref="Q92" ca="1">SUM(F32:F39*Produccion!$M$8:$M$15)</f>
        <v>0</v>
      </c>
      <c r="R92" s="590">
        <f t="array" aca="1" ref="R92" ca="1">SUM(G32:G39*Produccion!$M$8:$M$15)</f>
        <v>0</v>
      </c>
      <c r="S92" s="590">
        <f t="array" aca="1" ref="S92" ca="1">SUM(H32:H39*Produccion!$M$8:$M$15)</f>
        <v>0</v>
      </c>
      <c r="T92" s="590">
        <f t="array" aca="1" ref="T92" ca="1">SUM(I32:I39*Produccion!$M$8:$M$15)</f>
        <v>0</v>
      </c>
      <c r="U92" s="590">
        <f t="array" aca="1" ref="U92" ca="1">SUM(J32:J39*Produccion!$M$8:$M$15)</f>
        <v>0</v>
      </c>
      <c r="V92" s="590">
        <f t="array" aca="1" ref="V92" ca="1">SUM(K32:K39*Produccion!$M$8:$M$15)</f>
        <v>0</v>
      </c>
      <c r="W92" s="590">
        <f t="array" aca="1" ref="W92" ca="1">SUM(L32:L39*Produccion!$M$8:$M$15)</f>
        <v>0</v>
      </c>
      <c r="X92" s="590">
        <f t="array" aca="1" ref="X92" ca="1">SUM(M32:M39*Produccion!$M$8:$M$15)</f>
        <v>0</v>
      </c>
      <c r="Y92" s="1983">
        <f t="array" aca="1" ref="Y92:Y103" ca="1">'Distr CV 1'!M92:M103</f>
        <v>0</v>
      </c>
    </row>
    <row r="93" spans="1:26" ht="15.75" customHeight="1">
      <c r="A93" s="1971" t="str">
        <v>2 meses antes</v>
      </c>
      <c r="B93" s="1967"/>
      <c r="C93" s="1967"/>
      <c r="D93" s="1967"/>
      <c r="E93" s="1967"/>
      <c r="F93" s="1967"/>
      <c r="G93" s="1967"/>
      <c r="H93" s="1967"/>
      <c r="I93" s="1964"/>
      <c r="J93" s="1964"/>
      <c r="K93" s="1964"/>
      <c r="L93" s="590">
        <f t="array" aca="1" ref="L93" ca="1">SUM(B32:B39*Produccion!$L$8:$L$15)</f>
        <v>0</v>
      </c>
      <c r="M93" s="590">
        <f t="array" aca="1" ref="M93" ca="1">SUM(C32:C39*Produccion!$L$8:$L$15)</f>
        <v>0</v>
      </c>
      <c r="N93" s="590">
        <f t="array" aca="1" ref="N93" ca="1">SUM(D32:D39*Produccion!$L$8:$L$15)</f>
        <v>0</v>
      </c>
      <c r="O93" s="590">
        <f t="array" aca="1" ref="O93" ca="1">SUM(E32:E39*Produccion!$L$8:$L$15)</f>
        <v>0</v>
      </c>
      <c r="P93" s="590">
        <f t="array" aca="1" ref="P93" ca="1">SUM(F32:F39*Produccion!$L$8:$L$15)</f>
        <v>0</v>
      </c>
      <c r="Q93" s="590">
        <f t="array" aca="1" ref="Q93" ca="1">SUM(G32:G39*Produccion!$L$8:$L$15)</f>
        <v>0</v>
      </c>
      <c r="R93" s="590">
        <f t="array" aca="1" ref="R93" ca="1">SUM(H32:H39*Produccion!$L$8:$L$15)</f>
        <v>0</v>
      </c>
      <c r="S93" s="590">
        <f t="array" aca="1" ref="S93" ca="1">SUM(I32:I39*Produccion!$L$8:$L$15)</f>
        <v>0</v>
      </c>
      <c r="T93" s="590">
        <f t="array" aca="1" ref="T93" ca="1">SUM(J32:J39*Produccion!$L$8:$L$15)</f>
        <v>0</v>
      </c>
      <c r="U93" s="590">
        <f t="array" aca="1" ref="U93" ca="1">SUM(K32:K39*Produccion!$L$8:$L$15)</f>
        <v>0</v>
      </c>
      <c r="V93" s="590">
        <f t="array" aca="1" ref="V93" ca="1">SUM(L32:L39*Produccion!$L$8:$L$15)</f>
        <v>0</v>
      </c>
      <c r="W93" s="590">
        <f t="array" aca="1" ref="W93" ca="1">SUM(M32:M39*Produccion!$L$8:$L$15)</f>
        <v>0</v>
      </c>
      <c r="X93" s="1964">
        <f t="array" aca="1" ref="X93:X103" ca="1">'Distr CV 1'!L93:L103</f>
        <v>0</v>
      </c>
      <c r="Y93" s="1983">
        <f ca="1"/>
        <v>0</v>
      </c>
    </row>
    <row r="94" spans="1:26" ht="15.75" customHeight="1">
      <c r="A94" s="1971" t="str">
        <v>3 meses antes</v>
      </c>
      <c r="B94" s="1967"/>
      <c r="C94" s="1967"/>
      <c r="D94" s="1967"/>
      <c r="E94" s="1967"/>
      <c r="F94" s="1967"/>
      <c r="G94" s="1967"/>
      <c r="H94" s="1967"/>
      <c r="I94" s="1964"/>
      <c r="J94" s="1964"/>
      <c r="K94" s="590">
        <f t="array" aca="1" ref="K94" ca="1">SUM(B32:B39*Produccion!$K$8:$K$15)</f>
        <v>0</v>
      </c>
      <c r="L94" s="590">
        <f t="array" aca="1" ref="L94" ca="1">SUM(C32:C39*Produccion!$K$8:$K$15)</f>
        <v>0</v>
      </c>
      <c r="M94" s="590">
        <f t="array" aca="1" ref="M94" ca="1">SUM(D32:D39*Produccion!$K$8:$K$15)</f>
        <v>0</v>
      </c>
      <c r="N94" s="590">
        <f t="array" aca="1" ref="N94" ca="1">SUM(E32:E39*Produccion!$K$8:$K$15)</f>
        <v>0</v>
      </c>
      <c r="O94" s="590">
        <f t="array" aca="1" ref="O94" ca="1">SUM(F32:F39*Produccion!$K$8:$K$15)</f>
        <v>0</v>
      </c>
      <c r="P94" s="590">
        <f t="array" aca="1" ref="P94" ca="1">SUM(G32:G39*Produccion!$K$8:$K$15)</f>
        <v>0</v>
      </c>
      <c r="Q94" s="590">
        <f t="array" aca="1" ref="Q94" ca="1">SUM(H32:H39*Produccion!$K$8:$K$15)</f>
        <v>0</v>
      </c>
      <c r="R94" s="590">
        <f t="array" aca="1" ref="R94" ca="1">SUM(I32:I39*Produccion!$K$8:$K$15)</f>
        <v>0</v>
      </c>
      <c r="S94" s="590">
        <f t="array" aca="1" ref="S94" ca="1">SUM(J32:J39*Produccion!$K$8:$K$15)</f>
        <v>0</v>
      </c>
      <c r="T94" s="590">
        <f t="array" aca="1" ref="T94" ca="1">SUM(K32:K39*Produccion!$K$8:$K$15)</f>
        <v>0</v>
      </c>
      <c r="U94" s="590">
        <f t="array" aca="1" ref="U94" ca="1">SUM(L32:L39*Produccion!$K$8:$K$15)</f>
        <v>0</v>
      </c>
      <c r="V94" s="590">
        <f t="array" aca="1" ref="V94" ca="1">SUM(M32:M39*Produccion!$K$8:$K$15)</f>
        <v>0</v>
      </c>
      <c r="W94" s="1964">
        <f t="array" aca="1" ref="W94:W103" ca="1">'Distr CV 1'!K94:K103</f>
        <v>0</v>
      </c>
      <c r="X94" s="1964">
        <f ca="1"/>
        <v>0</v>
      </c>
      <c r="Y94" s="1983">
        <f ca="1"/>
        <v>0</v>
      </c>
    </row>
    <row r="95" spans="1:26" ht="15.75" customHeight="1">
      <c r="A95" s="1971" t="str">
        <v>4 meses antes</v>
      </c>
      <c r="B95" s="1967"/>
      <c r="C95" s="1967"/>
      <c r="D95" s="1967"/>
      <c r="E95" s="1967"/>
      <c r="F95" s="1967"/>
      <c r="G95" s="1967"/>
      <c r="H95" s="1967"/>
      <c r="I95" s="1964"/>
      <c r="J95" s="590">
        <f t="array" aca="1" ref="J95" ca="1">SUM(B32:B39*Produccion!$J$8:$J$15)</f>
        <v>0</v>
      </c>
      <c r="K95" s="590">
        <f t="array" aca="1" ref="K95" ca="1">SUM(C32:C39*Produccion!$J$8:$J$15)</f>
        <v>0</v>
      </c>
      <c r="L95" s="590">
        <f t="array" aca="1" ref="L95" ca="1">SUM(D32:D39*Produccion!$J$8:$J$15)</f>
        <v>0</v>
      </c>
      <c r="M95" s="590">
        <f t="array" aca="1" ref="M95" ca="1">SUM(E32:E39*Produccion!$J$8:$J$15)</f>
        <v>0</v>
      </c>
      <c r="N95" s="590">
        <f t="array" aca="1" ref="N95" ca="1">SUM(F32:F39*Produccion!$J$8:$J$15)</f>
        <v>0</v>
      </c>
      <c r="O95" s="590">
        <f t="array" aca="1" ref="O95" ca="1">SUM(G32:G39*Produccion!$J$8:$J$15)</f>
        <v>0</v>
      </c>
      <c r="P95" s="590">
        <f t="array" aca="1" ref="P95" ca="1">SUM(H32:H39*Produccion!$J$8:$J$15)</f>
        <v>0</v>
      </c>
      <c r="Q95" s="590">
        <f t="array" aca="1" ref="Q95" ca="1">SUM(I32:I39*Produccion!$J$8:$J$15)</f>
        <v>0</v>
      </c>
      <c r="R95" s="590">
        <f t="array" aca="1" ref="R95" ca="1">SUM(J32:J39*Produccion!$J$8:$J$15)</f>
        <v>0</v>
      </c>
      <c r="S95" s="590">
        <f t="array" aca="1" ref="S95" ca="1">SUM(K32:K39*Produccion!$J$8:$J$15)</f>
        <v>0</v>
      </c>
      <c r="T95" s="590">
        <f t="array" aca="1" ref="T95" ca="1">SUM(L32:L39*Produccion!$J$8:$J$15)</f>
        <v>0</v>
      </c>
      <c r="U95" s="590">
        <f t="array" aca="1" ref="U95" ca="1">SUM(M32:M39*Produccion!$J$8:$J$15)</f>
        <v>0</v>
      </c>
      <c r="V95" s="1964">
        <f t="array" aca="1" ref="V95:V103" ca="1">'Distr CV 1'!J95:J103</f>
        <v>0</v>
      </c>
      <c r="W95" s="1964">
        <f ca="1"/>
        <v>0</v>
      </c>
      <c r="X95" s="1964">
        <f ca="1"/>
        <v>0</v>
      </c>
      <c r="Y95" s="1983">
        <f ca="1"/>
        <v>0</v>
      </c>
    </row>
    <row r="96" spans="1:26" ht="15.75" customHeight="1">
      <c r="A96" s="1971" t="str">
        <v>5 meses antes</v>
      </c>
      <c r="B96" s="1967"/>
      <c r="C96" s="1967"/>
      <c r="D96" s="1967"/>
      <c r="E96" s="1967"/>
      <c r="F96" s="1967"/>
      <c r="G96" s="1967"/>
      <c r="H96" s="1967"/>
      <c r="I96" s="590">
        <f t="array" aca="1" ref="I96" ca="1">SUM(B32:B39*Produccion!$I$8:$I$15)</f>
        <v>0</v>
      </c>
      <c r="J96" s="590">
        <f t="array" aca="1" ref="J96" ca="1">SUM(C32:C39*Produccion!$I$8:$I$15)</f>
        <v>0</v>
      </c>
      <c r="K96" s="590">
        <f t="array" aca="1" ref="K96" ca="1">SUM(D32:D39*Produccion!$I$8:$I$15)</f>
        <v>0</v>
      </c>
      <c r="L96" s="590">
        <f t="array" aca="1" ref="L96" ca="1">SUM(E32:E39*Produccion!$I$8:$I$15)</f>
        <v>0</v>
      </c>
      <c r="M96" s="590">
        <f t="array" aca="1" ref="M96" ca="1">SUM(F32:F39*Produccion!$I$8:$I$15)</f>
        <v>0</v>
      </c>
      <c r="N96" s="590">
        <f t="array" aca="1" ref="N96" ca="1">SUM(G32:G39*Produccion!$I$8:$I$15)</f>
        <v>0</v>
      </c>
      <c r="O96" s="590">
        <f t="array" aca="1" ref="O96" ca="1">SUM(H32:H39*Produccion!$I$8:$I$15)</f>
        <v>0</v>
      </c>
      <c r="P96" s="590">
        <f t="array" aca="1" ref="P96" ca="1">SUM(I32:I39*Produccion!$I$8:$I$15)</f>
        <v>0</v>
      </c>
      <c r="Q96" s="590">
        <f t="array" aca="1" ref="Q96" ca="1">SUM(J32:J39*Produccion!$I$8:$I$15)</f>
        <v>0</v>
      </c>
      <c r="R96" s="590">
        <f t="array" aca="1" ref="R96" ca="1">SUM(K32:K39*Produccion!$I$8:$I$15)</f>
        <v>0</v>
      </c>
      <c r="S96" s="590">
        <f t="array" aca="1" ref="S96" ca="1">SUM(L32:L39*Produccion!$I$8:$I$15)</f>
        <v>0</v>
      </c>
      <c r="T96" s="590">
        <f t="array" aca="1" ref="T96" ca="1">SUM(M32:M39*Produccion!$I$8:$I$15)</f>
        <v>0</v>
      </c>
      <c r="U96" s="1964">
        <f t="array" aca="1" ref="U96:U103" ca="1">'Distr CV 1'!I96:I103</f>
        <v>0</v>
      </c>
      <c r="V96" s="1964">
        <f ca="1"/>
        <v>0</v>
      </c>
      <c r="W96" s="1964">
        <f ca="1"/>
        <v>0</v>
      </c>
      <c r="X96" s="1964">
        <f ca="1"/>
        <v>0</v>
      </c>
      <c r="Y96" s="1983">
        <f ca="1"/>
        <v>0</v>
      </c>
    </row>
    <row r="97" spans="1:26" ht="15.75" customHeight="1">
      <c r="A97" s="1971" t="str">
        <v>6 meses antes</v>
      </c>
      <c r="B97" s="1967"/>
      <c r="C97" s="1967"/>
      <c r="D97" s="1967"/>
      <c r="E97" s="1967"/>
      <c r="F97" s="1967"/>
      <c r="G97" s="1967"/>
      <c r="H97" s="590">
        <f t="array" aca="1" ref="H97" ca="1">SUM(B32:B39*Produccion!$H$8:$H$15)</f>
        <v>0</v>
      </c>
      <c r="I97" s="590">
        <f t="array" aca="1" ref="I97" ca="1">SUM(C32:C39*Produccion!$H$8:$H$15)</f>
        <v>0</v>
      </c>
      <c r="J97" s="590">
        <f t="array" aca="1" ref="J97" ca="1">SUM(D32:D39*Produccion!$H$8:$H$15)</f>
        <v>0</v>
      </c>
      <c r="K97" s="590">
        <f t="array" aca="1" ref="K97" ca="1">SUM(E32:E39*Produccion!$H$8:$H$15)</f>
        <v>0</v>
      </c>
      <c r="L97" s="590">
        <f t="array" aca="1" ref="L97" ca="1">SUM(F32:F39*Produccion!$H$8:$H$15)</f>
        <v>0</v>
      </c>
      <c r="M97" s="590">
        <f t="array" aca="1" ref="M97" ca="1">SUM(G32:G39*Produccion!$H$8:$H$15)</f>
        <v>0</v>
      </c>
      <c r="N97" s="590">
        <f t="array" aca="1" ref="N97" ca="1">SUM(H32:H39*Produccion!$H$8:$H$15)</f>
        <v>0</v>
      </c>
      <c r="O97" s="590">
        <f t="array" aca="1" ref="O97" ca="1">SUM(I32:I39*Produccion!$H$8:$H$15)</f>
        <v>0</v>
      </c>
      <c r="P97" s="590">
        <f t="array" aca="1" ref="P97" ca="1">SUM(J32:J39*Produccion!$H$8:$H$15)</f>
        <v>0</v>
      </c>
      <c r="Q97" s="590">
        <f t="array" aca="1" ref="Q97" ca="1">SUM(K32:K39*Produccion!$H$8:$H$15)</f>
        <v>0</v>
      </c>
      <c r="R97" s="590">
        <f t="array" aca="1" ref="R97" ca="1">SUM(L32:L39*Produccion!$H$8:$H$15)</f>
        <v>0</v>
      </c>
      <c r="S97" s="590">
        <f t="array" aca="1" ref="S97" ca="1">SUM(M32:M39*Produccion!$H$8:$H$15)</f>
        <v>0</v>
      </c>
      <c r="T97" s="1964">
        <f t="array" aca="1" ref="T97:T103" ca="1">'Distr CV 1'!H97:H103</f>
        <v>0</v>
      </c>
      <c r="U97" s="1964">
        <f ca="1"/>
        <v>0</v>
      </c>
      <c r="V97" s="1964">
        <f ca="1"/>
        <v>0</v>
      </c>
      <c r="W97" s="1964">
        <f ca="1"/>
        <v>0</v>
      </c>
      <c r="X97" s="1964">
        <f ca="1"/>
        <v>0</v>
      </c>
      <c r="Y97" s="1983">
        <f ca="1"/>
        <v>0</v>
      </c>
    </row>
    <row r="98" spans="1:26" ht="15.75" customHeight="1">
      <c r="A98" s="1971" t="str">
        <v>7 meses antes</v>
      </c>
      <c r="B98" s="1967"/>
      <c r="C98" s="1967"/>
      <c r="D98" s="1967"/>
      <c r="E98" s="1967"/>
      <c r="F98" s="1967"/>
      <c r="G98" s="592">
        <f t="array" aca="1" ref="G98" ca="1">SUM(B32:B39*Produccion!$G$8:$G$15)</f>
        <v>0</v>
      </c>
      <c r="H98" s="592">
        <f t="array" aca="1" ref="H98" ca="1">SUM(C32:C39*Produccion!$G$8:$G$15)</f>
        <v>0</v>
      </c>
      <c r="I98" s="592">
        <f t="array" aca="1" ref="I98" ca="1">SUM(D32:D39*Produccion!$G$8:$G$15)</f>
        <v>0</v>
      </c>
      <c r="J98" s="592">
        <f t="array" aca="1" ref="J98" ca="1">SUM(E32:E39*Produccion!$G$8:$G$15)</f>
        <v>0</v>
      </c>
      <c r="K98" s="592">
        <f t="array" aca="1" ref="K98" ca="1">SUM(F32:F39*Produccion!$G$8:$G$15)</f>
        <v>0</v>
      </c>
      <c r="L98" s="592">
        <f t="array" aca="1" ref="L98" ca="1">SUM(G32:G39*Produccion!$G$8:$G$15)</f>
        <v>0</v>
      </c>
      <c r="M98" s="592">
        <f t="array" aca="1" ref="M98" ca="1">SUM(H32:H39*Produccion!$G$8:$G$15)</f>
        <v>0</v>
      </c>
      <c r="N98" s="592">
        <f t="array" aca="1" ref="N98" ca="1">SUM(I32:I39*Produccion!$G$8:$G$15)</f>
        <v>0</v>
      </c>
      <c r="O98" s="592">
        <f t="array" aca="1" ref="O98" ca="1">SUM(J32:J39*Produccion!$G$8:$G$15)</f>
        <v>0</v>
      </c>
      <c r="P98" s="592">
        <f t="array" aca="1" ref="P98" ca="1">SUM(K32:K39*Produccion!$G$8:$G$15)</f>
        <v>0</v>
      </c>
      <c r="Q98" s="592">
        <f t="array" aca="1" ref="Q98" ca="1">SUM(L32:L39*Produccion!$G$8:$G$15)</f>
        <v>0</v>
      </c>
      <c r="R98" s="592">
        <f t="array" aca="1" ref="R98" ca="1">SUM(M32:M39*Produccion!$G$8:$G$15)</f>
        <v>0</v>
      </c>
      <c r="S98" s="1968">
        <f t="array" aca="1" ref="S98:S103" ca="1">'Distr CV 1'!G98:G103</f>
        <v>0</v>
      </c>
      <c r="T98" s="1968">
        <f ca="1"/>
        <v>0</v>
      </c>
      <c r="U98" s="1968">
        <f ca="1"/>
        <v>0</v>
      </c>
      <c r="V98" s="1968">
        <f ca="1"/>
        <v>0</v>
      </c>
      <c r="W98" s="1968">
        <f ca="1"/>
        <v>0</v>
      </c>
      <c r="X98" s="1968">
        <f ca="1"/>
        <v>0</v>
      </c>
      <c r="Y98" s="1986">
        <f ca="1"/>
        <v>0</v>
      </c>
    </row>
    <row r="99" spans="1:26" ht="15.75" customHeight="1">
      <c r="A99" s="1971" t="str">
        <v>8 meses antes</v>
      </c>
      <c r="B99" s="1967"/>
      <c r="C99" s="1967"/>
      <c r="D99" s="1967"/>
      <c r="E99" s="1967"/>
      <c r="F99" s="592">
        <f t="array" aca="1" ref="F99" ca="1">SUM(B32:B39*Produccion!$F$8:$F$15)</f>
        <v>0</v>
      </c>
      <c r="G99" s="592">
        <f t="array" aca="1" ref="G99" ca="1">SUM(C32:C39*Produccion!$F$8:$F$15)</f>
        <v>0</v>
      </c>
      <c r="H99" s="592">
        <f t="array" aca="1" ref="H99" ca="1">SUM(D32:D39*Produccion!$F$8:$F$15)</f>
        <v>0</v>
      </c>
      <c r="I99" s="592">
        <f t="array" aca="1" ref="I99" ca="1">SUM(E32:E39*Produccion!$F$8:$F$15)</f>
        <v>0</v>
      </c>
      <c r="J99" s="592">
        <f t="array" aca="1" ref="J99" ca="1">SUM(F32:F39*Produccion!$F$8:$F$15)</f>
        <v>0</v>
      </c>
      <c r="K99" s="592">
        <f t="array" aca="1" ref="K99" ca="1">SUM(G32:G39*Produccion!$F$8:$F$15)</f>
        <v>0</v>
      </c>
      <c r="L99" s="592">
        <f t="array" aca="1" ref="L99" ca="1">SUM(H32:H39*Produccion!$F$8:$F$15)</f>
        <v>0</v>
      </c>
      <c r="M99" s="592">
        <f t="array" aca="1" ref="M99" ca="1">SUM(I32:I39*Produccion!$F$8:$F$15)</f>
        <v>0</v>
      </c>
      <c r="N99" s="592">
        <f t="array" aca="1" ref="N99" ca="1">SUM(J32:J39*Produccion!$F$8:$F$15)</f>
        <v>0</v>
      </c>
      <c r="O99" s="592">
        <f t="array" aca="1" ref="O99" ca="1">SUM(K32:K39*Produccion!$F$8:$F$15)</f>
        <v>0</v>
      </c>
      <c r="P99" s="592">
        <f t="array" aca="1" ref="P99" ca="1">SUM(L32:L39*Produccion!$F$8:$F$15)</f>
        <v>0</v>
      </c>
      <c r="Q99" s="592">
        <f t="array" aca="1" ref="Q99" ca="1">SUM(M32:M39*Produccion!$F$8:$F$15)</f>
        <v>0</v>
      </c>
      <c r="R99" s="1968">
        <f t="array" aca="1" ref="R99:R103" ca="1">'Distr CV 1'!F99:F103</f>
        <v>0</v>
      </c>
      <c r="S99" s="1968">
        <f ca="1"/>
        <v>0</v>
      </c>
      <c r="T99" s="1968">
        <f ca="1"/>
        <v>0</v>
      </c>
      <c r="U99" s="1968">
        <f ca="1"/>
        <v>0</v>
      </c>
      <c r="V99" s="1968">
        <f ca="1"/>
        <v>0</v>
      </c>
      <c r="W99" s="1968">
        <f ca="1"/>
        <v>0</v>
      </c>
      <c r="X99" s="1968">
        <f ca="1"/>
        <v>0</v>
      </c>
      <c r="Y99" s="1986">
        <f ca="1"/>
        <v>0</v>
      </c>
    </row>
    <row r="100" spans="1:26" ht="15.75" customHeight="1">
      <c r="A100" s="1971" t="str">
        <v>9 meses antes</v>
      </c>
      <c r="B100" s="1967"/>
      <c r="C100" s="1967"/>
      <c r="D100" s="1967"/>
      <c r="E100" s="592">
        <f t="array" aca="1" ref="E100" ca="1">SUM(B32:B39*Produccion!$E$8:$E$15)</f>
        <v>0</v>
      </c>
      <c r="F100" s="592">
        <f t="array" aca="1" ref="F100" ca="1">SUM(C32:C39*Produccion!$E$8:$E$15)</f>
        <v>0</v>
      </c>
      <c r="G100" s="592">
        <f t="array" aca="1" ref="G100" ca="1">SUM(D32:D39*Produccion!$E$8:$E$15)</f>
        <v>0</v>
      </c>
      <c r="H100" s="592">
        <f t="array" aca="1" ref="H100" ca="1">SUM(E32:E39*Produccion!$E$8:$E$15)</f>
        <v>0</v>
      </c>
      <c r="I100" s="592">
        <f t="array" aca="1" ref="I100" ca="1">SUM(F32:F39*Produccion!$E$8:$E$15)</f>
        <v>0</v>
      </c>
      <c r="J100" s="592">
        <f t="array" aca="1" ref="J100" ca="1">SUM(G32:G39*Produccion!$E$8:$E$15)</f>
        <v>0</v>
      </c>
      <c r="K100" s="592">
        <f t="array" aca="1" ref="K100" ca="1">SUM(H32:H39*Produccion!$E$8:$E$15)</f>
        <v>0</v>
      </c>
      <c r="L100" s="592">
        <f t="array" aca="1" ref="L100" ca="1">SUM(I32:I39*Produccion!$E$8:$E$15)</f>
        <v>0</v>
      </c>
      <c r="M100" s="592">
        <f t="array" aca="1" ref="M100" ca="1">SUM(J32:J39*Produccion!$E$8:$E$15)</f>
        <v>0</v>
      </c>
      <c r="N100" s="592">
        <f t="array" aca="1" ref="N100" ca="1">SUM(K32:K39*Produccion!$E$8:$E$15)</f>
        <v>0</v>
      </c>
      <c r="O100" s="592">
        <f t="array" aca="1" ref="O100" ca="1">SUM(L32:L39*Produccion!$E$8:$E$15)</f>
        <v>0</v>
      </c>
      <c r="P100" s="592">
        <f t="array" aca="1" ref="P100" ca="1">SUM(M32:M39*Produccion!$E$8:$E$15)</f>
        <v>0</v>
      </c>
      <c r="Q100" s="1968">
        <f t="array" aca="1" ref="Q100:Q103" ca="1">'Distr CV 1'!E100:F103</f>
        <v>0</v>
      </c>
      <c r="R100" s="1968">
        <f ca="1"/>
        <v>0</v>
      </c>
      <c r="S100" s="1968">
        <f ca="1"/>
        <v>0</v>
      </c>
      <c r="T100" s="1968">
        <f ca="1"/>
        <v>0</v>
      </c>
      <c r="U100" s="1968">
        <f ca="1"/>
        <v>0</v>
      </c>
      <c r="V100" s="1968">
        <f ca="1"/>
        <v>0</v>
      </c>
      <c r="W100" s="1968">
        <f ca="1"/>
        <v>0</v>
      </c>
      <c r="X100" s="1968">
        <f ca="1"/>
        <v>0</v>
      </c>
      <c r="Y100" s="1986">
        <f ca="1"/>
        <v>0</v>
      </c>
    </row>
    <row r="101" spans="1:26" ht="15.75" customHeight="1">
      <c r="A101" s="1971" t="str">
        <v>10 meses antes</v>
      </c>
      <c r="B101" s="1967"/>
      <c r="C101" s="1967"/>
      <c r="D101" s="591">
        <f t="array" aca="1" ref="D101" ca="1">SUM(B32:B39*Produccion!$D$8:$D$15)</f>
        <v>0</v>
      </c>
      <c r="E101" s="591">
        <f t="array" aca="1" ref="E101" ca="1">SUM(C32:C39*Produccion!$D$8:$D$15)</f>
        <v>0</v>
      </c>
      <c r="F101" s="591">
        <f t="array" aca="1" ref="F101" ca="1">SUM(D32:D39*Produccion!$D$8:$D$15)</f>
        <v>0</v>
      </c>
      <c r="G101" s="591">
        <f t="array" aca="1" ref="G101" ca="1">SUM(E32:E39*Produccion!$D$8:$D$15)</f>
        <v>0</v>
      </c>
      <c r="H101" s="591">
        <f t="array" aca="1" ref="H101" ca="1">SUM(F32:F39*Produccion!$D$8:$D$15)</f>
        <v>0</v>
      </c>
      <c r="I101" s="591">
        <f t="array" aca="1" ref="I101" ca="1">SUM(G32:G39*Produccion!$D$8:$D$15)</f>
        <v>0</v>
      </c>
      <c r="J101" s="591">
        <f t="array" aca="1" ref="J101" ca="1">SUM(H32:H39*Produccion!$D$8:$D$15)</f>
        <v>0</v>
      </c>
      <c r="K101" s="591">
        <f t="array" aca="1" ref="K101" ca="1">SUM(I32:I39*Produccion!$D$8:$D$15)</f>
        <v>0</v>
      </c>
      <c r="L101" s="591">
        <f t="array" aca="1" ref="L101" ca="1">SUM(J32:J39*Produccion!$D$8:$D$15)</f>
        <v>0</v>
      </c>
      <c r="M101" s="591">
        <f t="array" aca="1" ref="M101" ca="1">SUM(K32:K39*Produccion!$D$8:$D$15)</f>
        <v>0</v>
      </c>
      <c r="N101" s="591">
        <f t="array" aca="1" ref="N101" ca="1">SUM(L32:L39*Produccion!$D$8:$D$15)</f>
        <v>0</v>
      </c>
      <c r="O101" s="591">
        <f t="array" aca="1" ref="O101" ca="1">SUM(M32:M39*Produccion!$D$8:$D$15)</f>
        <v>0</v>
      </c>
      <c r="P101" s="1968">
        <f t="array" aca="1" ref="P101:P103" ca="1">'Distr CV 1'!D101:D103</f>
        <v>0</v>
      </c>
      <c r="Q101" s="1968">
        <f ca="1"/>
        <v>0</v>
      </c>
      <c r="R101" s="1968">
        <f ca="1"/>
        <v>0</v>
      </c>
      <c r="S101" s="1968">
        <f ca="1"/>
        <v>0</v>
      </c>
      <c r="T101" s="1968">
        <f ca="1"/>
        <v>0</v>
      </c>
      <c r="U101" s="1968">
        <f ca="1"/>
        <v>0</v>
      </c>
      <c r="V101" s="1968">
        <f ca="1"/>
        <v>0</v>
      </c>
      <c r="W101" s="1968">
        <f ca="1"/>
        <v>0</v>
      </c>
      <c r="X101" s="1968">
        <f ca="1"/>
        <v>0</v>
      </c>
      <c r="Y101" s="1986">
        <f ca="1"/>
        <v>0</v>
      </c>
    </row>
    <row r="102" spans="1:26" ht="15.75" customHeight="1">
      <c r="A102" s="1971" t="str">
        <v>11 meses antes</v>
      </c>
      <c r="B102" s="1967"/>
      <c r="C102" s="592">
        <f t="array" aca="1" ref="C102" ca="1">SUM(B32:B39*Produccion!$C$8:$C$15)</f>
        <v>0</v>
      </c>
      <c r="D102" s="592">
        <f t="array" aca="1" ref="D102" ca="1">SUM(C32:C39*Produccion!$C$8:$C$15)</f>
        <v>0</v>
      </c>
      <c r="E102" s="592">
        <f t="array" aca="1" ref="E102" ca="1">SUM(D32:D39*Produccion!$C$8:$C$15)</f>
        <v>0</v>
      </c>
      <c r="F102" s="592">
        <f t="array" aca="1" ref="F102" ca="1">SUM(E32:E39*Produccion!$C$8:$C$15)</f>
        <v>0</v>
      </c>
      <c r="G102" s="592">
        <f t="array" aca="1" ref="G102" ca="1">SUM(F32:F39*Produccion!$C$8:$C$15)</f>
        <v>0</v>
      </c>
      <c r="H102" s="592">
        <f t="array" aca="1" ref="H102" ca="1">SUM(G32:G39*Produccion!$C$8:$C$15)</f>
        <v>0</v>
      </c>
      <c r="I102" s="592">
        <f t="array" aca="1" ref="I102" ca="1">SUM(H32:H39*Produccion!$C$8:$C$15)</f>
        <v>0</v>
      </c>
      <c r="J102" s="592">
        <f t="array" aca="1" ref="J102" ca="1">SUM(I32:I39*Produccion!$C$8:$C$15)</f>
        <v>0</v>
      </c>
      <c r="K102" s="592">
        <f t="array" aca="1" ref="K102" ca="1">SUM(J32:J39*Produccion!$C$8:$C$15)</f>
        <v>0</v>
      </c>
      <c r="L102" s="592">
        <f t="array" aca="1" ref="L102" ca="1">SUM(K32:K39*Produccion!$C$8:$C$15)</f>
        <v>0</v>
      </c>
      <c r="M102" s="592">
        <f t="array" aca="1" ref="M102" ca="1">SUM(L32:L39*Produccion!$C$8:$C$15)</f>
        <v>0</v>
      </c>
      <c r="N102" s="592">
        <f t="array" aca="1" ref="N102" ca="1">SUM(M32:M39*Produccion!$C$8:$C$15)</f>
        <v>0</v>
      </c>
      <c r="O102" s="1968">
        <f t="array" aca="1" ref="O102:O103" ca="1">'Distr CV 1'!C102:C103</f>
        <v>0</v>
      </c>
      <c r="P102" s="1968">
        <f ca="1"/>
        <v>0</v>
      </c>
      <c r="Q102" s="1968">
        <f ca="1"/>
        <v>0</v>
      </c>
      <c r="R102" s="1968">
        <f ca="1"/>
        <v>0</v>
      </c>
      <c r="S102" s="1968">
        <f ca="1"/>
        <v>0</v>
      </c>
      <c r="T102" s="1968">
        <f ca="1"/>
        <v>0</v>
      </c>
      <c r="U102" s="1968">
        <f ca="1"/>
        <v>0</v>
      </c>
      <c r="V102" s="1968">
        <f ca="1"/>
        <v>0</v>
      </c>
      <c r="W102" s="1968">
        <f ca="1"/>
        <v>0</v>
      </c>
      <c r="X102" s="1968">
        <f ca="1"/>
        <v>0</v>
      </c>
      <c r="Y102" s="1986">
        <f ca="1"/>
        <v>0</v>
      </c>
    </row>
    <row r="103" spans="1:26" ht="15.75" customHeight="1" thickBot="1">
      <c r="A103" s="1971" t="str">
        <v>12 meses antes</v>
      </c>
      <c r="B103" s="592">
        <f t="array" aca="1" ref="B103" ca="1">SUM(B32:B39*Produccion!$B$8:$B$15)</f>
        <v>0</v>
      </c>
      <c r="C103" s="592">
        <f t="array" aca="1" ref="C103" ca="1">SUM(C32:C39*Produccion!$B$8:$B$15)</f>
        <v>0</v>
      </c>
      <c r="D103" s="592">
        <f t="array" aca="1" ref="D103" ca="1">SUM(D32:D39*Produccion!$B$8:$B$15)</f>
        <v>0</v>
      </c>
      <c r="E103" s="592">
        <f t="array" aca="1" ref="E103" ca="1">SUM(E32:E39*Produccion!$B$8:$B$15)</f>
        <v>0</v>
      </c>
      <c r="F103" s="592">
        <f t="array" aca="1" ref="F103" ca="1">SUM(F32:F39*Produccion!$B$8:$B$15)</f>
        <v>0</v>
      </c>
      <c r="G103" s="592">
        <f t="array" aca="1" ref="G103" ca="1">SUM(G32:G39*Produccion!$B$8:$B$15)</f>
        <v>0</v>
      </c>
      <c r="H103" s="592">
        <f t="array" aca="1" ref="H103" ca="1">SUM(H32:H39*Produccion!$B$8:$B$15)</f>
        <v>0</v>
      </c>
      <c r="I103" s="592">
        <f t="array" aca="1" ref="I103" ca="1">SUM(I32:I39*Produccion!$B$8:$B$15)</f>
        <v>0</v>
      </c>
      <c r="J103" s="592">
        <f t="array" aca="1" ref="J103" ca="1">SUM(J32:J39*Produccion!$B$8:$B$15)</f>
        <v>0</v>
      </c>
      <c r="K103" s="592">
        <f t="array" aca="1" ref="K103" ca="1">SUM(K32:K39*Produccion!$B$8:$B$15)</f>
        <v>0</v>
      </c>
      <c r="L103" s="592">
        <f t="array" aca="1" ref="L103" ca="1">SUM(L32:L39*Produccion!$B$8:$B$15)</f>
        <v>0</v>
      </c>
      <c r="M103" s="592">
        <f t="array" aca="1" ref="M103" ca="1">SUM(M32:M39*Produccion!$B$8:$B$15)</f>
        <v>0</v>
      </c>
      <c r="N103" s="1968">
        <f ca="1">'Distr CV 1'!B103</f>
        <v>0</v>
      </c>
      <c r="O103" s="1968">
        <f ca="1"/>
        <v>0</v>
      </c>
      <c r="P103" s="1968">
        <f ca="1"/>
        <v>0</v>
      </c>
      <c r="Q103" s="1968">
        <f ca="1"/>
        <v>0</v>
      </c>
      <c r="R103" s="1968">
        <f ca="1"/>
        <v>0</v>
      </c>
      <c r="S103" s="1968">
        <f ca="1"/>
        <v>0</v>
      </c>
      <c r="T103" s="1968">
        <f ca="1"/>
        <v>0</v>
      </c>
      <c r="U103" s="1968">
        <f ca="1"/>
        <v>0</v>
      </c>
      <c r="V103" s="1968">
        <f ca="1"/>
        <v>0</v>
      </c>
      <c r="W103" s="1968">
        <f ca="1"/>
        <v>0</v>
      </c>
      <c r="X103" s="1968">
        <f ca="1"/>
        <v>0</v>
      </c>
      <c r="Y103" s="1986">
        <f ca="1"/>
        <v>0</v>
      </c>
    </row>
    <row r="104" spans="1:26" ht="15.75" customHeight="1" thickBot="1">
      <c r="A104" s="103" t="str">
        <v>Totales</v>
      </c>
      <c r="B104" s="596">
        <f t="shared" ref="B104:Y104" ca="1" si="9">SUM(B91:B103)</f>
        <v>0</v>
      </c>
      <c r="C104" s="596">
        <f t="shared" ca="1" si="9"/>
        <v>0</v>
      </c>
      <c r="D104" s="596">
        <f t="shared" ca="1" si="9"/>
        <v>0</v>
      </c>
      <c r="E104" s="596">
        <f t="shared" ca="1" si="9"/>
        <v>0</v>
      </c>
      <c r="F104" s="596">
        <f t="shared" ca="1" si="9"/>
        <v>0</v>
      </c>
      <c r="G104" s="596">
        <f t="shared" ca="1" si="9"/>
        <v>0</v>
      </c>
      <c r="H104" s="596">
        <f t="shared" ca="1" si="9"/>
        <v>0</v>
      </c>
      <c r="I104" s="596">
        <f t="shared" ca="1" si="9"/>
        <v>0</v>
      </c>
      <c r="J104" s="596">
        <f t="shared" ca="1" si="9"/>
        <v>0</v>
      </c>
      <c r="K104" s="596">
        <f t="shared" ca="1" si="9"/>
        <v>0</v>
      </c>
      <c r="L104" s="596">
        <f t="shared" ca="1" si="9"/>
        <v>0</v>
      </c>
      <c r="M104" s="596">
        <f t="shared" ca="1" si="9"/>
        <v>0</v>
      </c>
      <c r="N104" s="596">
        <f t="shared" ca="1" si="9"/>
        <v>36.750000000000007</v>
      </c>
      <c r="O104" s="596">
        <f t="shared" ca="1" si="9"/>
        <v>39.283522727272732</v>
      </c>
      <c r="P104" s="596">
        <f t="shared" ca="1" si="9"/>
        <v>43.153409090909093</v>
      </c>
      <c r="Q104" s="596">
        <f t="shared" ca="1" si="9"/>
        <v>45.352840909090908</v>
      </c>
      <c r="R104" s="596">
        <f t="shared" ca="1" si="9"/>
        <v>44.211363636363643</v>
      </c>
      <c r="S104" s="596">
        <f t="shared" ca="1" si="9"/>
        <v>44.40625</v>
      </c>
      <c r="T104" s="596">
        <f t="shared" ca="1" si="9"/>
        <v>43.93295454545455</v>
      </c>
      <c r="U104" s="596">
        <f t="shared" ca="1" si="9"/>
        <v>35.77556818181818</v>
      </c>
      <c r="V104" s="596">
        <f t="shared" ca="1" si="9"/>
        <v>46.327272727272728</v>
      </c>
      <c r="W104" s="596">
        <f t="shared" ca="1" si="9"/>
        <v>56.544886363636358</v>
      </c>
      <c r="X104" s="596">
        <f t="shared" ca="1" si="9"/>
        <v>62.085227272727266</v>
      </c>
      <c r="Y104" s="1984">
        <f t="shared" ca="1" si="9"/>
        <v>79.318749999999994</v>
      </c>
    </row>
    <row r="106" spans="1:26">
      <c r="A106" s="1003" t="str">
        <f>'Datos Básicos'!A28&amp;" del pendiente anterior"</f>
        <v>IVA del pendiente anterior</v>
      </c>
      <c r="B106" s="61">
        <f ca="1">SUM(OFFSET(B104,0,0,1,12+mes0-1))</f>
        <v>0</v>
      </c>
    </row>
    <row r="108" spans="1:26">
      <c r="B108" s="61"/>
      <c r="F108" s="61" t="s">
        <v>885</v>
      </c>
      <c r="K108" s="61" t="s">
        <v>887</v>
      </c>
    </row>
    <row r="109" spans="1:26" ht="18.75" thickBot="1">
      <c r="A109" s="1969" t="str">
        <f>"Compras / costes de producción por meses de "&amp;A$8</f>
        <v>Compras / costes de producción por meses de producto o servicio</v>
      </c>
      <c r="I109" s="1969" t="str">
        <f>I$44</f>
        <v>IVA NO incluido</v>
      </c>
      <c r="K109" s="1981">
        <f>Parametros!$F$24</f>
        <v>0.21</v>
      </c>
    </row>
    <row r="110" spans="1:26" s="445" customFormat="1" ht="30" customHeight="1" thickBot="1">
      <c r="A110" s="446" t="s">
        <v>886</v>
      </c>
      <c r="B110" s="1987" t="str">
        <f t="array" ref="B110:Y110">B$71:Y$71</f>
        <v>enero
2025</v>
      </c>
      <c r="C110" s="1987" t="str">
        <v>febrero
2025</v>
      </c>
      <c r="D110" s="1987" t="str">
        <v>marzo
2025</v>
      </c>
      <c r="E110" s="1987" t="str">
        <v>abril
2025</v>
      </c>
      <c r="F110" s="1987" t="str">
        <v>mayo
2025</v>
      </c>
      <c r="G110" s="1987" t="str">
        <v>junio
2025</v>
      </c>
      <c r="H110" s="1987" t="str">
        <v>julio
2025</v>
      </c>
      <c r="I110" s="1987" t="str">
        <v>agosto
2025</v>
      </c>
      <c r="J110" s="1987" t="str">
        <v>septiembre
2025</v>
      </c>
      <c r="K110" s="1987" t="str">
        <v>octubre
2025</v>
      </c>
      <c r="L110" s="1987" t="str">
        <v>noviembre
2025</v>
      </c>
      <c r="M110" s="1987" t="str">
        <v>diciembre
2025</v>
      </c>
      <c r="N110" s="2703" t="str">
        <v>enero 
2026</v>
      </c>
      <c r="O110" s="2704" t="str">
        <v>febrero 
2026</v>
      </c>
      <c r="P110" s="2704" t="str">
        <v>marzo 
2026</v>
      </c>
      <c r="Q110" s="2704" t="str">
        <v>abril 
2026</v>
      </c>
      <c r="R110" s="2704" t="str">
        <v>mayo 
2026</v>
      </c>
      <c r="S110" s="2704" t="str">
        <v>junio 
2026</v>
      </c>
      <c r="T110" s="2704" t="str">
        <v>julio 
2026</v>
      </c>
      <c r="U110" s="2704" t="str">
        <v>agosto 
2026</v>
      </c>
      <c r="V110" s="2704" t="str">
        <v>septiembre 
2026</v>
      </c>
      <c r="W110" s="2704" t="str">
        <v>octubre 
2026</v>
      </c>
      <c r="X110" s="2704" t="str">
        <v>noviembre 
2026</v>
      </c>
      <c r="Y110" s="2705" t="str">
        <v>diciembre 
2026</v>
      </c>
      <c r="Z110" s="61"/>
    </row>
    <row r="111" spans="1:26">
      <c r="A111" s="1970" t="str">
        <f t="array" ref="A111:A123">A$72:A$84</f>
        <v>mismo mes</v>
      </c>
      <c r="B111" s="1967"/>
      <c r="C111" s="1967"/>
      <c r="D111" s="1967"/>
      <c r="E111" s="1967"/>
      <c r="F111" s="1967"/>
      <c r="G111" s="1967"/>
      <c r="H111" s="1967"/>
      <c r="I111" s="1967"/>
      <c r="J111" s="1967"/>
      <c r="K111" s="1967"/>
      <c r="L111" s="1967"/>
      <c r="M111" s="1967"/>
      <c r="N111" s="592">
        <f t="array" aca="1" ref="N111:Y111" ca="1">B$20:M20*Produccion!$N$8</f>
        <v>175.00000000000003</v>
      </c>
      <c r="O111" s="592">
        <f ca="1"/>
        <v>187.06439393939397</v>
      </c>
      <c r="P111" s="592">
        <f ca="1"/>
        <v>205.49242424242425</v>
      </c>
      <c r="Q111" s="592">
        <f ca="1"/>
        <v>215.96590909090909</v>
      </c>
      <c r="R111" s="592">
        <f ca="1"/>
        <v>210.53030303030306</v>
      </c>
      <c r="S111" s="592">
        <f ca="1"/>
        <v>211.45833333333334</v>
      </c>
      <c r="T111" s="592">
        <f ca="1"/>
        <v>209.2045454545455</v>
      </c>
      <c r="U111" s="592">
        <f ca="1"/>
        <v>170.35984848484847</v>
      </c>
      <c r="V111" s="592">
        <f ca="1"/>
        <v>220.60606060606062</v>
      </c>
      <c r="W111" s="592">
        <f ca="1"/>
        <v>269.26136363636363</v>
      </c>
      <c r="X111" s="592">
        <f ca="1"/>
        <v>295.64393939393938</v>
      </c>
      <c r="Y111" s="1982">
        <f ca="1"/>
        <v>377.70833333333331</v>
      </c>
    </row>
    <row r="112" spans="1:26">
      <c r="A112" s="1971" t="str">
        <v>1 mes antes</v>
      </c>
      <c r="B112" s="1967"/>
      <c r="C112" s="1967"/>
      <c r="D112" s="1967"/>
      <c r="E112" s="1967"/>
      <c r="F112" s="1967"/>
      <c r="G112" s="1967"/>
      <c r="H112" s="1967"/>
      <c r="I112" s="1967"/>
      <c r="J112" s="1967"/>
      <c r="K112" s="1967"/>
      <c r="L112" s="1967"/>
      <c r="M112" s="592">
        <f t="array" aca="1" ref="M112:X112" ca="1">B$20:M20*Produccion!$M$8</f>
        <v>0</v>
      </c>
      <c r="N112" s="592">
        <f ca="1"/>
        <v>0</v>
      </c>
      <c r="O112" s="592">
        <f ca="1"/>
        <v>0</v>
      </c>
      <c r="P112" s="592">
        <f ca="1"/>
        <v>0</v>
      </c>
      <c r="Q112" s="592">
        <f ca="1"/>
        <v>0</v>
      </c>
      <c r="R112" s="592">
        <f ca="1"/>
        <v>0</v>
      </c>
      <c r="S112" s="592">
        <f ca="1"/>
        <v>0</v>
      </c>
      <c r="T112" s="592">
        <f ca="1"/>
        <v>0</v>
      </c>
      <c r="U112" s="592">
        <f ca="1"/>
        <v>0</v>
      </c>
      <c r="V112" s="592">
        <f ca="1"/>
        <v>0</v>
      </c>
      <c r="W112" s="592">
        <f ca="1"/>
        <v>0</v>
      </c>
      <c r="X112" s="592">
        <f ca="1"/>
        <v>0</v>
      </c>
      <c r="Y112" s="1983">
        <f t="array" aca="1" ref="Y112:Y123" ca="1">'Distr CV 1'!M112:M123</f>
        <v>0</v>
      </c>
    </row>
    <row r="113" spans="1:26">
      <c r="A113" s="1971" t="str">
        <v>2 meses antes</v>
      </c>
      <c r="B113" s="1967"/>
      <c r="C113" s="1967"/>
      <c r="D113" s="1967"/>
      <c r="E113" s="1967"/>
      <c r="F113" s="1967"/>
      <c r="G113" s="1967"/>
      <c r="H113" s="1967"/>
      <c r="I113" s="1967"/>
      <c r="J113" s="1967"/>
      <c r="K113" s="1967"/>
      <c r="L113" s="592">
        <f t="array" aca="1" ref="L113:W113" ca="1">B$20:M20*Produccion!$L$8</f>
        <v>0</v>
      </c>
      <c r="M113" s="592">
        <f ca="1"/>
        <v>0</v>
      </c>
      <c r="N113" s="592">
        <f ca="1"/>
        <v>0</v>
      </c>
      <c r="O113" s="592">
        <f ca="1"/>
        <v>0</v>
      </c>
      <c r="P113" s="592">
        <f ca="1"/>
        <v>0</v>
      </c>
      <c r="Q113" s="592">
        <f ca="1"/>
        <v>0</v>
      </c>
      <c r="R113" s="592">
        <f ca="1"/>
        <v>0</v>
      </c>
      <c r="S113" s="592">
        <f ca="1"/>
        <v>0</v>
      </c>
      <c r="T113" s="592">
        <f ca="1"/>
        <v>0</v>
      </c>
      <c r="U113" s="592">
        <f ca="1"/>
        <v>0</v>
      </c>
      <c r="V113" s="592">
        <f ca="1"/>
        <v>0</v>
      </c>
      <c r="W113" s="592">
        <f ca="1"/>
        <v>0</v>
      </c>
      <c r="X113" s="1964">
        <f t="array" aca="1" ref="X113:X123" ca="1">'Distr CV 1'!L113:L123</f>
        <v>0</v>
      </c>
      <c r="Y113" s="1983">
        <f ca="1"/>
        <v>0</v>
      </c>
    </row>
    <row r="114" spans="1:26">
      <c r="A114" s="1971" t="str">
        <v>3 meses antes</v>
      </c>
      <c r="B114" s="1967"/>
      <c r="C114" s="1967"/>
      <c r="D114" s="1967"/>
      <c r="E114" s="1967"/>
      <c r="F114" s="1967"/>
      <c r="G114" s="1967"/>
      <c r="H114" s="1967"/>
      <c r="I114" s="1967"/>
      <c r="J114" s="1967"/>
      <c r="K114" s="592">
        <f t="array" aca="1" ref="K114:V114" ca="1">B$20:M20*Produccion!$K$8</f>
        <v>0</v>
      </c>
      <c r="L114" s="592">
        <f ca="1"/>
        <v>0</v>
      </c>
      <c r="M114" s="592">
        <f ca="1"/>
        <v>0</v>
      </c>
      <c r="N114" s="592">
        <f ca="1"/>
        <v>0</v>
      </c>
      <c r="O114" s="592">
        <f ca="1"/>
        <v>0</v>
      </c>
      <c r="P114" s="592">
        <f ca="1"/>
        <v>0</v>
      </c>
      <c r="Q114" s="592">
        <f ca="1"/>
        <v>0</v>
      </c>
      <c r="R114" s="592">
        <f ca="1"/>
        <v>0</v>
      </c>
      <c r="S114" s="592">
        <f ca="1"/>
        <v>0</v>
      </c>
      <c r="T114" s="592">
        <f ca="1"/>
        <v>0</v>
      </c>
      <c r="U114" s="592">
        <f ca="1"/>
        <v>0</v>
      </c>
      <c r="V114" s="592">
        <f ca="1"/>
        <v>0</v>
      </c>
      <c r="W114" s="1964">
        <f t="array" aca="1" ref="W114:W123" ca="1">'Distr CV 1'!K114:K123</f>
        <v>0</v>
      </c>
      <c r="X114" s="1964">
        <f ca="1"/>
        <v>0</v>
      </c>
      <c r="Y114" s="1983">
        <f ca="1"/>
        <v>0</v>
      </c>
    </row>
    <row r="115" spans="1:26">
      <c r="A115" s="1971" t="str">
        <v>4 meses antes</v>
      </c>
      <c r="B115" s="1967"/>
      <c r="C115" s="1967"/>
      <c r="D115" s="1967"/>
      <c r="E115" s="1967"/>
      <c r="F115" s="1967"/>
      <c r="G115" s="1967"/>
      <c r="H115" s="1967"/>
      <c r="I115" s="1967"/>
      <c r="J115" s="592">
        <f t="array" aca="1" ref="J115:U115" ca="1">B$20:M20*Produccion!$J$8</f>
        <v>0</v>
      </c>
      <c r="K115" s="592">
        <f ca="1"/>
        <v>0</v>
      </c>
      <c r="L115" s="592">
        <f ca="1"/>
        <v>0</v>
      </c>
      <c r="M115" s="592">
        <f ca="1"/>
        <v>0</v>
      </c>
      <c r="N115" s="592">
        <f ca="1"/>
        <v>0</v>
      </c>
      <c r="O115" s="592">
        <f ca="1"/>
        <v>0</v>
      </c>
      <c r="P115" s="592">
        <f ca="1"/>
        <v>0</v>
      </c>
      <c r="Q115" s="592">
        <f ca="1"/>
        <v>0</v>
      </c>
      <c r="R115" s="592">
        <f ca="1"/>
        <v>0</v>
      </c>
      <c r="S115" s="592">
        <f ca="1"/>
        <v>0</v>
      </c>
      <c r="T115" s="592">
        <f ca="1"/>
        <v>0</v>
      </c>
      <c r="U115" s="592">
        <f ca="1"/>
        <v>0</v>
      </c>
      <c r="V115" s="1964">
        <f t="array" aca="1" ref="V115:V123" ca="1">'Distr CV 1'!J115:J123</f>
        <v>0</v>
      </c>
      <c r="W115" s="1964">
        <f ca="1"/>
        <v>0</v>
      </c>
      <c r="X115" s="1964">
        <f ca="1"/>
        <v>0</v>
      </c>
      <c r="Y115" s="1983">
        <f ca="1"/>
        <v>0</v>
      </c>
    </row>
    <row r="116" spans="1:26">
      <c r="A116" s="1971" t="str">
        <v>5 meses antes</v>
      </c>
      <c r="B116" s="1967"/>
      <c r="C116" s="1967"/>
      <c r="D116" s="1967"/>
      <c r="E116" s="1967"/>
      <c r="F116" s="1967"/>
      <c r="G116" s="1967"/>
      <c r="H116" s="1967"/>
      <c r="I116" s="592">
        <f t="array" aca="1" ref="I116:T116" ca="1">B$20:M20*Produccion!$I$8</f>
        <v>0</v>
      </c>
      <c r="J116" s="592">
        <f ca="1"/>
        <v>0</v>
      </c>
      <c r="K116" s="592">
        <f ca="1"/>
        <v>0</v>
      </c>
      <c r="L116" s="592">
        <f ca="1"/>
        <v>0</v>
      </c>
      <c r="M116" s="592">
        <f ca="1"/>
        <v>0</v>
      </c>
      <c r="N116" s="592">
        <f ca="1"/>
        <v>0</v>
      </c>
      <c r="O116" s="592">
        <f ca="1"/>
        <v>0</v>
      </c>
      <c r="P116" s="592">
        <f ca="1"/>
        <v>0</v>
      </c>
      <c r="Q116" s="592">
        <f ca="1"/>
        <v>0</v>
      </c>
      <c r="R116" s="592">
        <f ca="1"/>
        <v>0</v>
      </c>
      <c r="S116" s="592">
        <f ca="1"/>
        <v>0</v>
      </c>
      <c r="T116" s="592">
        <f ca="1"/>
        <v>0</v>
      </c>
      <c r="U116" s="1964">
        <f t="array" aca="1" ref="U116:U123" ca="1">'Distr CV 1'!I116:I123</f>
        <v>0</v>
      </c>
      <c r="V116" s="1964">
        <f ca="1"/>
        <v>0</v>
      </c>
      <c r="W116" s="1964">
        <f ca="1"/>
        <v>0</v>
      </c>
      <c r="X116" s="1964">
        <f ca="1"/>
        <v>0</v>
      </c>
      <c r="Y116" s="1983">
        <f ca="1"/>
        <v>0</v>
      </c>
    </row>
    <row r="117" spans="1:26">
      <c r="A117" s="1971" t="str">
        <v>6 meses antes</v>
      </c>
      <c r="B117" s="1967"/>
      <c r="C117" s="1967"/>
      <c r="D117" s="1967"/>
      <c r="E117" s="1967"/>
      <c r="F117" s="1967"/>
      <c r="G117" s="1967"/>
      <c r="H117" s="592">
        <f t="array" aca="1" ref="H117:S117" ca="1">B$20:M20*Produccion!$H$8</f>
        <v>0</v>
      </c>
      <c r="I117" s="592">
        <f ca="1"/>
        <v>0</v>
      </c>
      <c r="J117" s="592">
        <f ca="1"/>
        <v>0</v>
      </c>
      <c r="K117" s="592">
        <f ca="1"/>
        <v>0</v>
      </c>
      <c r="L117" s="592">
        <f ca="1"/>
        <v>0</v>
      </c>
      <c r="M117" s="592">
        <f ca="1"/>
        <v>0</v>
      </c>
      <c r="N117" s="592">
        <f ca="1"/>
        <v>0</v>
      </c>
      <c r="O117" s="592">
        <f ca="1"/>
        <v>0</v>
      </c>
      <c r="P117" s="592">
        <f ca="1"/>
        <v>0</v>
      </c>
      <c r="Q117" s="592">
        <f ca="1"/>
        <v>0</v>
      </c>
      <c r="R117" s="592">
        <f ca="1"/>
        <v>0</v>
      </c>
      <c r="S117" s="592">
        <f ca="1"/>
        <v>0</v>
      </c>
      <c r="T117" s="1964">
        <f t="array" aca="1" ref="T117:T123" ca="1">'Distr CV 1'!H117:H123</f>
        <v>0</v>
      </c>
      <c r="U117" s="1964">
        <f ca="1"/>
        <v>0</v>
      </c>
      <c r="V117" s="1964">
        <f ca="1"/>
        <v>0</v>
      </c>
      <c r="W117" s="1964">
        <f ca="1"/>
        <v>0</v>
      </c>
      <c r="X117" s="1964">
        <f ca="1"/>
        <v>0</v>
      </c>
      <c r="Y117" s="1983">
        <f ca="1"/>
        <v>0</v>
      </c>
    </row>
    <row r="118" spans="1:26">
      <c r="A118" s="1971" t="str">
        <v>7 meses antes</v>
      </c>
      <c r="B118" s="1967"/>
      <c r="C118" s="1967"/>
      <c r="D118" s="1967"/>
      <c r="E118" s="1967"/>
      <c r="F118" s="1967"/>
      <c r="G118" s="592">
        <f t="array" aca="1" ref="G118:R118" ca="1">B$20:M20*Produccion!$G$8</f>
        <v>0</v>
      </c>
      <c r="H118" s="592">
        <f ca="1"/>
        <v>0</v>
      </c>
      <c r="I118" s="592">
        <f ca="1"/>
        <v>0</v>
      </c>
      <c r="J118" s="592">
        <f ca="1"/>
        <v>0</v>
      </c>
      <c r="K118" s="592">
        <f ca="1"/>
        <v>0</v>
      </c>
      <c r="L118" s="592">
        <f ca="1"/>
        <v>0</v>
      </c>
      <c r="M118" s="592">
        <f ca="1"/>
        <v>0</v>
      </c>
      <c r="N118" s="592">
        <f ca="1"/>
        <v>0</v>
      </c>
      <c r="O118" s="592">
        <f ca="1"/>
        <v>0</v>
      </c>
      <c r="P118" s="592">
        <f ca="1"/>
        <v>0</v>
      </c>
      <c r="Q118" s="592">
        <f ca="1"/>
        <v>0</v>
      </c>
      <c r="R118" s="592">
        <f ca="1"/>
        <v>0</v>
      </c>
      <c r="S118" s="1968">
        <f t="array" aca="1" ref="S118:S123" ca="1">'Distr CV 1'!G118:G123</f>
        <v>0</v>
      </c>
      <c r="T118" s="1968">
        <f ca="1"/>
        <v>0</v>
      </c>
      <c r="U118" s="1968">
        <f ca="1"/>
        <v>0</v>
      </c>
      <c r="V118" s="1968">
        <f ca="1"/>
        <v>0</v>
      </c>
      <c r="W118" s="1968">
        <f ca="1"/>
        <v>0</v>
      </c>
      <c r="X118" s="1968">
        <f ca="1"/>
        <v>0</v>
      </c>
      <c r="Y118" s="1986">
        <f ca="1"/>
        <v>0</v>
      </c>
    </row>
    <row r="119" spans="1:26">
      <c r="A119" s="1971" t="str">
        <v>8 meses antes</v>
      </c>
      <c r="B119" s="1967"/>
      <c r="C119" s="1967"/>
      <c r="D119" s="1967"/>
      <c r="E119" s="1967"/>
      <c r="F119" s="592">
        <f t="array" aca="1" ref="F119:Q119" ca="1">B$20:M20*Produccion!$F$8</f>
        <v>0</v>
      </c>
      <c r="G119" s="592">
        <f ca="1"/>
        <v>0</v>
      </c>
      <c r="H119" s="592">
        <f ca="1"/>
        <v>0</v>
      </c>
      <c r="I119" s="592">
        <f ca="1"/>
        <v>0</v>
      </c>
      <c r="J119" s="592">
        <f ca="1"/>
        <v>0</v>
      </c>
      <c r="K119" s="592">
        <f ca="1"/>
        <v>0</v>
      </c>
      <c r="L119" s="592">
        <f ca="1"/>
        <v>0</v>
      </c>
      <c r="M119" s="592">
        <f ca="1"/>
        <v>0</v>
      </c>
      <c r="N119" s="592">
        <f ca="1"/>
        <v>0</v>
      </c>
      <c r="O119" s="592">
        <f ca="1"/>
        <v>0</v>
      </c>
      <c r="P119" s="592">
        <f ca="1"/>
        <v>0</v>
      </c>
      <c r="Q119" s="592">
        <f ca="1"/>
        <v>0</v>
      </c>
      <c r="R119" s="1968">
        <f t="array" aca="1" ref="R119:R123" ca="1">'Distr CV 1'!F119:F123</f>
        <v>0</v>
      </c>
      <c r="S119" s="1968">
        <f ca="1"/>
        <v>0</v>
      </c>
      <c r="T119" s="1968">
        <f ca="1"/>
        <v>0</v>
      </c>
      <c r="U119" s="1968">
        <f ca="1"/>
        <v>0</v>
      </c>
      <c r="V119" s="1968">
        <f ca="1"/>
        <v>0</v>
      </c>
      <c r="W119" s="1968">
        <f ca="1"/>
        <v>0</v>
      </c>
      <c r="X119" s="1968">
        <f ca="1"/>
        <v>0</v>
      </c>
      <c r="Y119" s="1986">
        <f ca="1"/>
        <v>0</v>
      </c>
    </row>
    <row r="120" spans="1:26">
      <c r="A120" s="1971" t="str">
        <v>9 meses antes</v>
      </c>
      <c r="B120" s="1967"/>
      <c r="C120" s="1967"/>
      <c r="D120" s="1967"/>
      <c r="E120" s="592">
        <f t="array" aca="1" ref="E120:P120" ca="1">B$20:M20*Produccion!$E$8</f>
        <v>0</v>
      </c>
      <c r="F120" s="592">
        <f ca="1"/>
        <v>0</v>
      </c>
      <c r="G120" s="592">
        <f ca="1"/>
        <v>0</v>
      </c>
      <c r="H120" s="592">
        <f ca="1"/>
        <v>0</v>
      </c>
      <c r="I120" s="592">
        <f ca="1"/>
        <v>0</v>
      </c>
      <c r="J120" s="592">
        <f ca="1"/>
        <v>0</v>
      </c>
      <c r="K120" s="592">
        <f ca="1"/>
        <v>0</v>
      </c>
      <c r="L120" s="592">
        <f ca="1"/>
        <v>0</v>
      </c>
      <c r="M120" s="592">
        <f ca="1"/>
        <v>0</v>
      </c>
      <c r="N120" s="592">
        <f ca="1"/>
        <v>0</v>
      </c>
      <c r="O120" s="592">
        <f ca="1"/>
        <v>0</v>
      </c>
      <c r="P120" s="592">
        <f ca="1"/>
        <v>0</v>
      </c>
      <c r="Q120" s="1968">
        <f t="array" aca="1" ref="Q120:Q123" ca="1">'Distr CV 1'!E120:F123</f>
        <v>0</v>
      </c>
      <c r="R120" s="1968">
        <f ca="1"/>
        <v>0</v>
      </c>
      <c r="S120" s="1968">
        <f ca="1"/>
        <v>0</v>
      </c>
      <c r="T120" s="1968">
        <f ca="1"/>
        <v>0</v>
      </c>
      <c r="U120" s="1968">
        <f ca="1"/>
        <v>0</v>
      </c>
      <c r="V120" s="1968">
        <f ca="1"/>
        <v>0</v>
      </c>
      <c r="W120" s="1968">
        <f ca="1"/>
        <v>0</v>
      </c>
      <c r="X120" s="1968">
        <f ca="1"/>
        <v>0</v>
      </c>
      <c r="Y120" s="1986">
        <f ca="1"/>
        <v>0</v>
      </c>
    </row>
    <row r="121" spans="1:26">
      <c r="A121" s="1971" t="str">
        <v>10 meses antes</v>
      </c>
      <c r="B121" s="1967"/>
      <c r="C121" s="1967"/>
      <c r="D121" s="592">
        <f t="array" aca="1" ref="D121:O121" ca="1">B$20:M20*Produccion!$D$8</f>
        <v>0</v>
      </c>
      <c r="E121" s="592">
        <f ca="1"/>
        <v>0</v>
      </c>
      <c r="F121" s="592">
        <f ca="1"/>
        <v>0</v>
      </c>
      <c r="G121" s="592">
        <f ca="1"/>
        <v>0</v>
      </c>
      <c r="H121" s="592">
        <f ca="1"/>
        <v>0</v>
      </c>
      <c r="I121" s="592">
        <f ca="1"/>
        <v>0</v>
      </c>
      <c r="J121" s="592">
        <f ca="1"/>
        <v>0</v>
      </c>
      <c r="K121" s="592">
        <f ca="1"/>
        <v>0</v>
      </c>
      <c r="L121" s="592">
        <f ca="1"/>
        <v>0</v>
      </c>
      <c r="M121" s="592">
        <f ca="1"/>
        <v>0</v>
      </c>
      <c r="N121" s="592">
        <f ca="1"/>
        <v>0</v>
      </c>
      <c r="O121" s="592">
        <f ca="1"/>
        <v>0</v>
      </c>
      <c r="P121" s="1968">
        <f t="array" aca="1" ref="P121:P123" ca="1">'Distr CV 1'!D121:D123</f>
        <v>0</v>
      </c>
      <c r="Q121" s="1968">
        <f ca="1"/>
        <v>0</v>
      </c>
      <c r="R121" s="1968">
        <f ca="1"/>
        <v>0</v>
      </c>
      <c r="S121" s="1968">
        <f ca="1"/>
        <v>0</v>
      </c>
      <c r="T121" s="1968">
        <f ca="1"/>
        <v>0</v>
      </c>
      <c r="U121" s="1968">
        <f ca="1"/>
        <v>0</v>
      </c>
      <c r="V121" s="1968">
        <f ca="1"/>
        <v>0</v>
      </c>
      <c r="W121" s="1968">
        <f ca="1"/>
        <v>0</v>
      </c>
      <c r="X121" s="1968">
        <f ca="1"/>
        <v>0</v>
      </c>
      <c r="Y121" s="1986">
        <f ca="1"/>
        <v>0</v>
      </c>
    </row>
    <row r="122" spans="1:26">
      <c r="A122" s="1971" t="str">
        <v>11 meses antes</v>
      </c>
      <c r="B122" s="1967"/>
      <c r="C122" s="592">
        <f t="array" aca="1" ref="C122:N122" ca="1">B$20:M20*Produccion!$C$8</f>
        <v>0</v>
      </c>
      <c r="D122" s="592">
        <f ca="1"/>
        <v>0</v>
      </c>
      <c r="E122" s="592">
        <f ca="1"/>
        <v>0</v>
      </c>
      <c r="F122" s="592">
        <f ca="1"/>
        <v>0</v>
      </c>
      <c r="G122" s="592">
        <f ca="1"/>
        <v>0</v>
      </c>
      <c r="H122" s="592">
        <f ca="1"/>
        <v>0</v>
      </c>
      <c r="I122" s="592">
        <f ca="1"/>
        <v>0</v>
      </c>
      <c r="J122" s="592">
        <f ca="1"/>
        <v>0</v>
      </c>
      <c r="K122" s="592">
        <f ca="1"/>
        <v>0</v>
      </c>
      <c r="L122" s="592">
        <f ca="1"/>
        <v>0</v>
      </c>
      <c r="M122" s="592">
        <f ca="1"/>
        <v>0</v>
      </c>
      <c r="N122" s="592">
        <f ca="1"/>
        <v>0</v>
      </c>
      <c r="O122" s="1968">
        <f t="array" aca="1" ref="O122:O123" ca="1">'Distr CV 1'!C122:C123</f>
        <v>0</v>
      </c>
      <c r="P122" s="1968">
        <f ca="1"/>
        <v>0</v>
      </c>
      <c r="Q122" s="1968">
        <f ca="1"/>
        <v>0</v>
      </c>
      <c r="R122" s="1968">
        <f ca="1"/>
        <v>0</v>
      </c>
      <c r="S122" s="1968">
        <f ca="1"/>
        <v>0</v>
      </c>
      <c r="T122" s="1968">
        <f ca="1"/>
        <v>0</v>
      </c>
      <c r="U122" s="1968">
        <f ca="1"/>
        <v>0</v>
      </c>
      <c r="V122" s="1968">
        <f ca="1"/>
        <v>0</v>
      </c>
      <c r="W122" s="1968">
        <f ca="1"/>
        <v>0</v>
      </c>
      <c r="X122" s="1968">
        <f ca="1"/>
        <v>0</v>
      </c>
      <c r="Y122" s="1986">
        <f ca="1"/>
        <v>0</v>
      </c>
    </row>
    <row r="123" spans="1:26" ht="13.5" thickBot="1">
      <c r="A123" s="1971" t="str">
        <v>12 meses antes</v>
      </c>
      <c r="B123" s="592">
        <f t="array" aca="1" ref="B123:M123" ca="1">B$20:M20*Produccion!$B$8</f>
        <v>0</v>
      </c>
      <c r="C123" s="592">
        <f ca="1"/>
        <v>0</v>
      </c>
      <c r="D123" s="592">
        <f ca="1"/>
        <v>0</v>
      </c>
      <c r="E123" s="592">
        <f ca="1"/>
        <v>0</v>
      </c>
      <c r="F123" s="592">
        <f ca="1"/>
        <v>0</v>
      </c>
      <c r="G123" s="592">
        <f ca="1"/>
        <v>0</v>
      </c>
      <c r="H123" s="592">
        <f ca="1"/>
        <v>0</v>
      </c>
      <c r="I123" s="592">
        <f ca="1"/>
        <v>0</v>
      </c>
      <c r="J123" s="592">
        <f ca="1"/>
        <v>0</v>
      </c>
      <c r="K123" s="592">
        <f ca="1"/>
        <v>0</v>
      </c>
      <c r="L123" s="592">
        <f ca="1"/>
        <v>0</v>
      </c>
      <c r="M123" s="592">
        <f ca="1"/>
        <v>0</v>
      </c>
      <c r="N123" s="1968">
        <f ca="1">'Distr CV 1'!B123</f>
        <v>0</v>
      </c>
      <c r="O123" s="1968">
        <f ca="1"/>
        <v>0</v>
      </c>
      <c r="P123" s="1968">
        <f ca="1"/>
        <v>0</v>
      </c>
      <c r="Q123" s="1968">
        <f ca="1"/>
        <v>0</v>
      </c>
      <c r="R123" s="1968">
        <f ca="1"/>
        <v>0</v>
      </c>
      <c r="S123" s="1968">
        <f ca="1"/>
        <v>0</v>
      </c>
      <c r="T123" s="1968">
        <f ca="1"/>
        <v>0</v>
      </c>
      <c r="U123" s="1968">
        <f ca="1"/>
        <v>0</v>
      </c>
      <c r="V123" s="1968">
        <f ca="1"/>
        <v>0</v>
      </c>
      <c r="W123" s="1968">
        <f ca="1"/>
        <v>0</v>
      </c>
      <c r="X123" s="1968">
        <f ca="1"/>
        <v>0</v>
      </c>
      <c r="Y123" s="1986">
        <f ca="1"/>
        <v>0</v>
      </c>
    </row>
    <row r="124" spans="1:26" ht="15.75" customHeight="1" thickBot="1">
      <c r="A124" s="103" t="str">
        <f>"Totales CV "&amp;A$8</f>
        <v>Totales CV producto o servicio</v>
      </c>
      <c r="B124" s="596">
        <f t="shared" ref="B124:Y124" ca="1" si="10">SUM(B111:B123)</f>
        <v>0</v>
      </c>
      <c r="C124" s="596">
        <f t="shared" ca="1" si="10"/>
        <v>0</v>
      </c>
      <c r="D124" s="596">
        <f t="shared" ca="1" si="10"/>
        <v>0</v>
      </c>
      <c r="E124" s="596">
        <f t="shared" ca="1" si="10"/>
        <v>0</v>
      </c>
      <c r="F124" s="596">
        <f t="shared" ca="1" si="10"/>
        <v>0</v>
      </c>
      <c r="G124" s="596">
        <f t="shared" ca="1" si="10"/>
        <v>0</v>
      </c>
      <c r="H124" s="596">
        <f t="shared" ca="1" si="10"/>
        <v>0</v>
      </c>
      <c r="I124" s="596">
        <f t="shared" ca="1" si="10"/>
        <v>0</v>
      </c>
      <c r="J124" s="596">
        <f t="shared" ca="1" si="10"/>
        <v>0</v>
      </c>
      <c r="K124" s="596">
        <f t="shared" ca="1" si="10"/>
        <v>0</v>
      </c>
      <c r="L124" s="596">
        <f t="shared" ca="1" si="10"/>
        <v>0</v>
      </c>
      <c r="M124" s="596">
        <f t="shared" ca="1" si="10"/>
        <v>0</v>
      </c>
      <c r="N124" s="596">
        <f t="shared" ca="1" si="10"/>
        <v>175.00000000000003</v>
      </c>
      <c r="O124" s="596">
        <f t="shared" ca="1" si="10"/>
        <v>187.06439393939397</v>
      </c>
      <c r="P124" s="596">
        <f t="shared" ca="1" si="10"/>
        <v>205.49242424242425</v>
      </c>
      <c r="Q124" s="596">
        <f t="shared" ca="1" si="10"/>
        <v>215.96590909090909</v>
      </c>
      <c r="R124" s="596">
        <f t="shared" ca="1" si="10"/>
        <v>210.53030303030306</v>
      </c>
      <c r="S124" s="596">
        <f t="shared" ca="1" si="10"/>
        <v>211.45833333333334</v>
      </c>
      <c r="T124" s="596">
        <f t="shared" ca="1" si="10"/>
        <v>209.2045454545455</v>
      </c>
      <c r="U124" s="596">
        <f t="shared" ca="1" si="10"/>
        <v>170.35984848484847</v>
      </c>
      <c r="V124" s="596">
        <f t="shared" ca="1" si="10"/>
        <v>220.60606060606062</v>
      </c>
      <c r="W124" s="596">
        <f t="shared" ca="1" si="10"/>
        <v>269.26136363636363</v>
      </c>
      <c r="X124" s="596">
        <f t="shared" ca="1" si="10"/>
        <v>295.64393939393938</v>
      </c>
      <c r="Y124" s="1984">
        <f t="shared" ca="1" si="10"/>
        <v>377.70833333333331</v>
      </c>
    </row>
    <row r="125" spans="1:26" ht="15.75" customHeight="1" thickBot="1">
      <c r="A125" s="103" t="str">
        <f>'Datos Básicos'!A28&amp;" sop. CV "&amp;$A$8</f>
        <v>IVA sop. CV producto o servicio</v>
      </c>
      <c r="B125" s="596">
        <f t="array" aca="1" ref="B125:Y125" ca="1">$K$109*B124:Y124</f>
        <v>0</v>
      </c>
      <c r="C125" s="596">
        <f ca="1"/>
        <v>0</v>
      </c>
      <c r="D125" s="596">
        <f ca="1"/>
        <v>0</v>
      </c>
      <c r="E125" s="596">
        <f ca="1"/>
        <v>0</v>
      </c>
      <c r="F125" s="596">
        <f ca="1"/>
        <v>0</v>
      </c>
      <c r="G125" s="596">
        <f ca="1"/>
        <v>0</v>
      </c>
      <c r="H125" s="596">
        <f ca="1"/>
        <v>0</v>
      </c>
      <c r="I125" s="596">
        <f ca="1"/>
        <v>0</v>
      </c>
      <c r="J125" s="596">
        <f ca="1"/>
        <v>0</v>
      </c>
      <c r="K125" s="596">
        <f ca="1"/>
        <v>0</v>
      </c>
      <c r="L125" s="596">
        <f ca="1"/>
        <v>0</v>
      </c>
      <c r="M125" s="596">
        <f ca="1"/>
        <v>0</v>
      </c>
      <c r="N125" s="596">
        <f ca="1"/>
        <v>36.750000000000007</v>
      </c>
      <c r="O125" s="596">
        <f ca="1"/>
        <v>39.283522727272732</v>
      </c>
      <c r="P125" s="596">
        <f ca="1"/>
        <v>43.153409090909093</v>
      </c>
      <c r="Q125" s="596">
        <f ca="1"/>
        <v>45.352840909090908</v>
      </c>
      <c r="R125" s="596">
        <f ca="1"/>
        <v>44.211363636363643</v>
      </c>
      <c r="S125" s="596">
        <f ca="1"/>
        <v>44.40625</v>
      </c>
      <c r="T125" s="596">
        <f ca="1"/>
        <v>43.93295454545455</v>
      </c>
      <c r="U125" s="596">
        <f ca="1"/>
        <v>35.77556818181818</v>
      </c>
      <c r="V125" s="596">
        <f ca="1"/>
        <v>46.327272727272728</v>
      </c>
      <c r="W125" s="596">
        <f ca="1"/>
        <v>56.544886363636358</v>
      </c>
      <c r="X125" s="596">
        <f ca="1"/>
        <v>62.085227272727266</v>
      </c>
      <c r="Y125" s="1984">
        <f ca="1"/>
        <v>79.318749999999994</v>
      </c>
    </row>
    <row r="127" spans="1:26" ht="18.75" thickBot="1">
      <c r="A127" s="1969" t="str">
        <f>"Compras / costes de producción por meses de "&amp;A$9</f>
        <v xml:space="preserve">Compras / costes de producción por meses de </v>
      </c>
      <c r="I127" s="1969" t="str">
        <f>I$44</f>
        <v>IVA NO incluido</v>
      </c>
      <c r="K127" s="1981">
        <f>Parametros!$F$25</f>
        <v>0.21</v>
      </c>
    </row>
    <row r="128" spans="1:26" s="445" customFormat="1" ht="30" customHeight="1" thickBot="1">
      <c r="A128" s="446" t="str">
        <f>A$110</f>
        <v>mes de compra / coste</v>
      </c>
      <c r="B128" s="1987" t="str">
        <f t="array" ref="B128:Y128">B$71:Y$71</f>
        <v>enero
2025</v>
      </c>
      <c r="C128" s="1987" t="str">
        <v>febrero
2025</v>
      </c>
      <c r="D128" s="1987" t="str">
        <v>marzo
2025</v>
      </c>
      <c r="E128" s="1987" t="str">
        <v>abril
2025</v>
      </c>
      <c r="F128" s="1987" t="str">
        <v>mayo
2025</v>
      </c>
      <c r="G128" s="1987" t="str">
        <v>junio
2025</v>
      </c>
      <c r="H128" s="1987" t="str">
        <v>julio
2025</v>
      </c>
      <c r="I128" s="1987" t="str">
        <v>agosto
2025</v>
      </c>
      <c r="J128" s="1987" t="str">
        <v>septiembre
2025</v>
      </c>
      <c r="K128" s="1987" t="str">
        <v>octubre
2025</v>
      </c>
      <c r="L128" s="1987" t="str">
        <v>noviembre
2025</v>
      </c>
      <c r="M128" s="1987" t="str">
        <v>diciembre
2025</v>
      </c>
      <c r="N128" s="2703" t="str">
        <v>enero 
2026</v>
      </c>
      <c r="O128" s="2704" t="str">
        <v>febrero 
2026</v>
      </c>
      <c r="P128" s="2704" t="str">
        <v>marzo 
2026</v>
      </c>
      <c r="Q128" s="2704" t="str">
        <v>abril 
2026</v>
      </c>
      <c r="R128" s="2704" t="str">
        <v>mayo 
2026</v>
      </c>
      <c r="S128" s="2704" t="str">
        <v>junio 
2026</v>
      </c>
      <c r="T128" s="2704" t="str">
        <v>julio 
2026</v>
      </c>
      <c r="U128" s="2704" t="str">
        <v>agosto 
2026</v>
      </c>
      <c r="V128" s="2704" t="str">
        <v>septiembre 
2026</v>
      </c>
      <c r="W128" s="2704" t="str">
        <v>octubre 
2026</v>
      </c>
      <c r="X128" s="2704" t="str">
        <v>noviembre 
2026</v>
      </c>
      <c r="Y128" s="2705" t="str">
        <v>diciembre 
2026</v>
      </c>
      <c r="Z128" s="61"/>
    </row>
    <row r="129" spans="1:25">
      <c r="A129" s="1970" t="str">
        <f t="array" ref="A129:A141">A$72:A$84</f>
        <v>mismo mes</v>
      </c>
      <c r="B129" s="1967"/>
      <c r="C129" s="1967"/>
      <c r="D129" s="1967"/>
      <c r="E129" s="1967"/>
      <c r="F129" s="1967"/>
      <c r="G129" s="1967"/>
      <c r="H129" s="1967"/>
      <c r="I129" s="1967"/>
      <c r="J129" s="1967"/>
      <c r="K129" s="1967"/>
      <c r="L129" s="1967"/>
      <c r="M129" s="1967"/>
      <c r="N129" s="592">
        <f t="array" aca="1" ref="N129:Y129" ca="1">B21:M21*Produccion!$N$9</f>
        <v>0</v>
      </c>
      <c r="O129" s="592">
        <f ca="1"/>
        <v>0</v>
      </c>
      <c r="P129" s="592">
        <f ca="1"/>
        <v>0</v>
      </c>
      <c r="Q129" s="592">
        <f ca="1"/>
        <v>0</v>
      </c>
      <c r="R129" s="592">
        <f ca="1"/>
        <v>0</v>
      </c>
      <c r="S129" s="592">
        <f ca="1"/>
        <v>0</v>
      </c>
      <c r="T129" s="592">
        <f ca="1"/>
        <v>0</v>
      </c>
      <c r="U129" s="592">
        <f ca="1"/>
        <v>0</v>
      </c>
      <c r="V129" s="592">
        <f ca="1"/>
        <v>0</v>
      </c>
      <c r="W129" s="592">
        <f ca="1"/>
        <v>0</v>
      </c>
      <c r="X129" s="592">
        <f ca="1"/>
        <v>0</v>
      </c>
      <c r="Y129" s="1982">
        <f ca="1"/>
        <v>0</v>
      </c>
    </row>
    <row r="130" spans="1:25">
      <c r="A130" s="1971" t="str">
        <v>1 mes antes</v>
      </c>
      <c r="B130" s="1967"/>
      <c r="C130" s="1967"/>
      <c r="D130" s="1967"/>
      <c r="E130" s="1967"/>
      <c r="F130" s="1967"/>
      <c r="G130" s="1967"/>
      <c r="H130" s="1967"/>
      <c r="I130" s="1967"/>
      <c r="J130" s="1967"/>
      <c r="K130" s="1967"/>
      <c r="L130" s="1967"/>
      <c r="M130" s="592">
        <f t="array" aca="1" ref="M130:X130" ca="1">B21:M21*Produccion!$M$9</f>
        <v>0</v>
      </c>
      <c r="N130" s="592">
        <f ca="1"/>
        <v>0</v>
      </c>
      <c r="O130" s="592">
        <f ca="1"/>
        <v>0</v>
      </c>
      <c r="P130" s="592">
        <f ca="1"/>
        <v>0</v>
      </c>
      <c r="Q130" s="592">
        <f ca="1"/>
        <v>0</v>
      </c>
      <c r="R130" s="592">
        <f ca="1"/>
        <v>0</v>
      </c>
      <c r="S130" s="592">
        <f ca="1"/>
        <v>0</v>
      </c>
      <c r="T130" s="592">
        <f ca="1"/>
        <v>0</v>
      </c>
      <c r="U130" s="592">
        <f ca="1"/>
        <v>0</v>
      </c>
      <c r="V130" s="592">
        <f ca="1"/>
        <v>0</v>
      </c>
      <c r="W130" s="592">
        <f ca="1"/>
        <v>0</v>
      </c>
      <c r="X130" s="592">
        <f ca="1"/>
        <v>0</v>
      </c>
      <c r="Y130" s="1983">
        <f t="array" aca="1" ref="Y130:Y141" ca="1">'Distr CV 1'!M130:M141</f>
        <v>0</v>
      </c>
    </row>
    <row r="131" spans="1:25">
      <c r="A131" s="1971" t="str">
        <v>2 meses antes</v>
      </c>
      <c r="B131" s="1967"/>
      <c r="C131" s="1967"/>
      <c r="D131" s="1967"/>
      <c r="E131" s="1967"/>
      <c r="F131" s="1967"/>
      <c r="G131" s="1967"/>
      <c r="H131" s="1967"/>
      <c r="I131" s="1967"/>
      <c r="J131" s="1967"/>
      <c r="K131" s="1967"/>
      <c r="L131" s="592">
        <f t="array" aca="1" ref="L131:W131" ca="1">B21:M21*Produccion!$L$9</f>
        <v>0</v>
      </c>
      <c r="M131" s="592">
        <f ca="1"/>
        <v>0</v>
      </c>
      <c r="N131" s="592">
        <f ca="1"/>
        <v>0</v>
      </c>
      <c r="O131" s="592">
        <f ca="1"/>
        <v>0</v>
      </c>
      <c r="P131" s="592">
        <f ca="1"/>
        <v>0</v>
      </c>
      <c r="Q131" s="592">
        <f ca="1"/>
        <v>0</v>
      </c>
      <c r="R131" s="592">
        <f ca="1"/>
        <v>0</v>
      </c>
      <c r="S131" s="592">
        <f ca="1"/>
        <v>0</v>
      </c>
      <c r="T131" s="592">
        <f ca="1"/>
        <v>0</v>
      </c>
      <c r="U131" s="592">
        <f ca="1"/>
        <v>0</v>
      </c>
      <c r="V131" s="592">
        <f ca="1"/>
        <v>0</v>
      </c>
      <c r="W131" s="592">
        <f ca="1"/>
        <v>0</v>
      </c>
      <c r="X131" s="1964">
        <f t="array" aca="1" ref="X131:X141" ca="1">'Distr CV 1'!L131:L141</f>
        <v>0</v>
      </c>
      <c r="Y131" s="1983">
        <f ca="1"/>
        <v>0</v>
      </c>
    </row>
    <row r="132" spans="1:25">
      <c r="A132" s="1971" t="str">
        <v>3 meses antes</v>
      </c>
      <c r="B132" s="1967"/>
      <c r="C132" s="1967"/>
      <c r="D132" s="1967"/>
      <c r="E132" s="1967"/>
      <c r="F132" s="1967"/>
      <c r="G132" s="1967"/>
      <c r="H132" s="1967"/>
      <c r="I132" s="1967"/>
      <c r="J132" s="1967"/>
      <c r="K132" s="592">
        <f t="array" aca="1" ref="K132:V132" ca="1">B21:M21*Produccion!$K$9</f>
        <v>0</v>
      </c>
      <c r="L132" s="592">
        <f ca="1"/>
        <v>0</v>
      </c>
      <c r="M132" s="592">
        <f ca="1"/>
        <v>0</v>
      </c>
      <c r="N132" s="592">
        <f ca="1"/>
        <v>0</v>
      </c>
      <c r="O132" s="592">
        <f ca="1"/>
        <v>0</v>
      </c>
      <c r="P132" s="592">
        <f ca="1"/>
        <v>0</v>
      </c>
      <c r="Q132" s="592">
        <f ca="1"/>
        <v>0</v>
      </c>
      <c r="R132" s="592">
        <f ca="1"/>
        <v>0</v>
      </c>
      <c r="S132" s="592">
        <f ca="1"/>
        <v>0</v>
      </c>
      <c r="T132" s="592">
        <f ca="1"/>
        <v>0</v>
      </c>
      <c r="U132" s="592">
        <f ca="1"/>
        <v>0</v>
      </c>
      <c r="V132" s="592">
        <f ca="1"/>
        <v>0</v>
      </c>
      <c r="W132" s="1964">
        <f t="array" aca="1" ref="W132:W141" ca="1">'Distr CV 1'!K132:K141</f>
        <v>0</v>
      </c>
      <c r="X132" s="1964">
        <f ca="1"/>
        <v>0</v>
      </c>
      <c r="Y132" s="1983">
        <f ca="1"/>
        <v>0</v>
      </c>
    </row>
    <row r="133" spans="1:25">
      <c r="A133" s="1971" t="str">
        <v>4 meses antes</v>
      </c>
      <c r="B133" s="1967"/>
      <c r="C133" s="1967"/>
      <c r="D133" s="1967"/>
      <c r="E133" s="1967"/>
      <c r="F133" s="1967"/>
      <c r="G133" s="1967"/>
      <c r="H133" s="1967"/>
      <c r="I133" s="1967"/>
      <c r="J133" s="592">
        <f t="array" aca="1" ref="J133:U133" ca="1">B21:M21*Produccion!$J$9</f>
        <v>0</v>
      </c>
      <c r="K133" s="592">
        <f ca="1"/>
        <v>0</v>
      </c>
      <c r="L133" s="592">
        <f ca="1"/>
        <v>0</v>
      </c>
      <c r="M133" s="592">
        <f ca="1"/>
        <v>0</v>
      </c>
      <c r="N133" s="592">
        <f ca="1"/>
        <v>0</v>
      </c>
      <c r="O133" s="592">
        <f ca="1"/>
        <v>0</v>
      </c>
      <c r="P133" s="592">
        <f ca="1"/>
        <v>0</v>
      </c>
      <c r="Q133" s="592">
        <f ca="1"/>
        <v>0</v>
      </c>
      <c r="R133" s="592">
        <f ca="1"/>
        <v>0</v>
      </c>
      <c r="S133" s="592">
        <f ca="1"/>
        <v>0</v>
      </c>
      <c r="T133" s="592">
        <f ca="1"/>
        <v>0</v>
      </c>
      <c r="U133" s="592">
        <f ca="1"/>
        <v>0</v>
      </c>
      <c r="V133" s="1964">
        <f t="array" aca="1" ref="V133:V141" ca="1">'Distr CV 1'!J133:J141</f>
        <v>0</v>
      </c>
      <c r="W133" s="1964">
        <f ca="1"/>
        <v>0</v>
      </c>
      <c r="X133" s="1964">
        <f ca="1"/>
        <v>0</v>
      </c>
      <c r="Y133" s="1983">
        <f ca="1"/>
        <v>0</v>
      </c>
    </row>
    <row r="134" spans="1:25">
      <c r="A134" s="1971" t="str">
        <v>5 meses antes</v>
      </c>
      <c r="B134" s="1967"/>
      <c r="C134" s="1967"/>
      <c r="D134" s="1967"/>
      <c r="E134" s="1967"/>
      <c r="F134" s="1967"/>
      <c r="G134" s="1967"/>
      <c r="H134" s="1967"/>
      <c r="I134" s="592">
        <f t="array" aca="1" ref="I134:T134" ca="1">B21:M21*Produccion!$I$9</f>
        <v>0</v>
      </c>
      <c r="J134" s="592">
        <f ca="1"/>
        <v>0</v>
      </c>
      <c r="K134" s="592">
        <f ca="1"/>
        <v>0</v>
      </c>
      <c r="L134" s="592">
        <f ca="1"/>
        <v>0</v>
      </c>
      <c r="M134" s="592">
        <f ca="1"/>
        <v>0</v>
      </c>
      <c r="N134" s="592">
        <f ca="1"/>
        <v>0</v>
      </c>
      <c r="O134" s="592">
        <f ca="1"/>
        <v>0</v>
      </c>
      <c r="P134" s="592">
        <f ca="1"/>
        <v>0</v>
      </c>
      <c r="Q134" s="592">
        <f ca="1"/>
        <v>0</v>
      </c>
      <c r="R134" s="592">
        <f ca="1"/>
        <v>0</v>
      </c>
      <c r="S134" s="592">
        <f ca="1"/>
        <v>0</v>
      </c>
      <c r="T134" s="592">
        <f ca="1"/>
        <v>0</v>
      </c>
      <c r="U134" s="1964">
        <f t="array" aca="1" ref="U134:U141" ca="1">'Distr CV 1'!I134:I141</f>
        <v>0</v>
      </c>
      <c r="V134" s="1964">
        <f ca="1"/>
        <v>0</v>
      </c>
      <c r="W134" s="1964">
        <f ca="1"/>
        <v>0</v>
      </c>
      <c r="X134" s="1964">
        <f ca="1"/>
        <v>0</v>
      </c>
      <c r="Y134" s="1983">
        <f ca="1"/>
        <v>0</v>
      </c>
    </row>
    <row r="135" spans="1:25">
      <c r="A135" s="1971" t="str">
        <v>6 meses antes</v>
      </c>
      <c r="B135" s="1967"/>
      <c r="C135" s="1967"/>
      <c r="D135" s="1967"/>
      <c r="E135" s="1967"/>
      <c r="F135" s="1967"/>
      <c r="G135" s="1967"/>
      <c r="H135" s="592">
        <f t="array" aca="1" ref="H135:S135" ca="1">B21:M21*Produccion!$H$9</f>
        <v>0</v>
      </c>
      <c r="I135" s="592">
        <f ca="1"/>
        <v>0</v>
      </c>
      <c r="J135" s="592">
        <f ca="1"/>
        <v>0</v>
      </c>
      <c r="K135" s="592">
        <f ca="1"/>
        <v>0</v>
      </c>
      <c r="L135" s="592">
        <f ca="1"/>
        <v>0</v>
      </c>
      <c r="M135" s="592">
        <f ca="1"/>
        <v>0</v>
      </c>
      <c r="N135" s="592">
        <f ca="1"/>
        <v>0</v>
      </c>
      <c r="O135" s="592">
        <f ca="1"/>
        <v>0</v>
      </c>
      <c r="P135" s="592">
        <f ca="1"/>
        <v>0</v>
      </c>
      <c r="Q135" s="592">
        <f ca="1"/>
        <v>0</v>
      </c>
      <c r="R135" s="592">
        <f ca="1"/>
        <v>0</v>
      </c>
      <c r="S135" s="592">
        <f ca="1"/>
        <v>0</v>
      </c>
      <c r="T135" s="1964">
        <f t="array" aca="1" ref="T135:T141" ca="1">'Distr CV 1'!H135:H141</f>
        <v>0</v>
      </c>
      <c r="U135" s="1964">
        <f ca="1"/>
        <v>0</v>
      </c>
      <c r="V135" s="1964">
        <f ca="1"/>
        <v>0</v>
      </c>
      <c r="W135" s="1964">
        <f ca="1"/>
        <v>0</v>
      </c>
      <c r="X135" s="1964">
        <f ca="1"/>
        <v>0</v>
      </c>
      <c r="Y135" s="1983">
        <f ca="1"/>
        <v>0</v>
      </c>
    </row>
    <row r="136" spans="1:25">
      <c r="A136" s="1971" t="str">
        <v>7 meses antes</v>
      </c>
      <c r="B136" s="1967"/>
      <c r="C136" s="1967"/>
      <c r="D136" s="1967"/>
      <c r="E136" s="1967"/>
      <c r="F136" s="1967"/>
      <c r="G136" s="592">
        <f t="array" aca="1" ref="G136:R136" ca="1">B21:M21*Produccion!$G$9</f>
        <v>0</v>
      </c>
      <c r="H136" s="592">
        <f ca="1"/>
        <v>0</v>
      </c>
      <c r="I136" s="592">
        <f ca="1"/>
        <v>0</v>
      </c>
      <c r="J136" s="592">
        <f ca="1"/>
        <v>0</v>
      </c>
      <c r="K136" s="592">
        <f ca="1"/>
        <v>0</v>
      </c>
      <c r="L136" s="592">
        <f ca="1"/>
        <v>0</v>
      </c>
      <c r="M136" s="592">
        <f ca="1"/>
        <v>0</v>
      </c>
      <c r="N136" s="592">
        <f ca="1"/>
        <v>0</v>
      </c>
      <c r="O136" s="592">
        <f ca="1"/>
        <v>0</v>
      </c>
      <c r="P136" s="592">
        <f ca="1"/>
        <v>0</v>
      </c>
      <c r="Q136" s="592">
        <f ca="1"/>
        <v>0</v>
      </c>
      <c r="R136" s="592">
        <f ca="1"/>
        <v>0</v>
      </c>
      <c r="S136" s="1968">
        <f t="array" aca="1" ref="S136:S141" ca="1">'Distr CV 1'!G136:G141</f>
        <v>0</v>
      </c>
      <c r="T136" s="1968">
        <f ca="1"/>
        <v>0</v>
      </c>
      <c r="U136" s="1968">
        <f ca="1"/>
        <v>0</v>
      </c>
      <c r="V136" s="1968">
        <f ca="1"/>
        <v>0</v>
      </c>
      <c r="W136" s="1968">
        <f ca="1"/>
        <v>0</v>
      </c>
      <c r="X136" s="1968">
        <f ca="1"/>
        <v>0</v>
      </c>
      <c r="Y136" s="1986">
        <f ca="1"/>
        <v>0</v>
      </c>
    </row>
    <row r="137" spans="1:25">
      <c r="A137" s="1971" t="str">
        <v>8 meses antes</v>
      </c>
      <c r="B137" s="1967"/>
      <c r="C137" s="1967"/>
      <c r="D137" s="1967"/>
      <c r="E137" s="1967"/>
      <c r="F137" s="592">
        <f t="array" aca="1" ref="F137:Q137" ca="1">B21:M21*Produccion!$F$9</f>
        <v>0</v>
      </c>
      <c r="G137" s="592">
        <f ca="1"/>
        <v>0</v>
      </c>
      <c r="H137" s="592">
        <f ca="1"/>
        <v>0</v>
      </c>
      <c r="I137" s="592">
        <f ca="1"/>
        <v>0</v>
      </c>
      <c r="J137" s="592">
        <f ca="1"/>
        <v>0</v>
      </c>
      <c r="K137" s="592">
        <f ca="1"/>
        <v>0</v>
      </c>
      <c r="L137" s="592">
        <f ca="1"/>
        <v>0</v>
      </c>
      <c r="M137" s="592">
        <f ca="1"/>
        <v>0</v>
      </c>
      <c r="N137" s="592">
        <f ca="1"/>
        <v>0</v>
      </c>
      <c r="O137" s="592">
        <f ca="1"/>
        <v>0</v>
      </c>
      <c r="P137" s="592">
        <f ca="1"/>
        <v>0</v>
      </c>
      <c r="Q137" s="592">
        <f ca="1"/>
        <v>0</v>
      </c>
      <c r="R137" s="1968">
        <f t="array" aca="1" ref="R137:R141" ca="1">'Distr CV 1'!F137:F141</f>
        <v>0</v>
      </c>
      <c r="S137" s="1968">
        <f ca="1"/>
        <v>0</v>
      </c>
      <c r="T137" s="1968">
        <f ca="1"/>
        <v>0</v>
      </c>
      <c r="U137" s="1968">
        <f ca="1"/>
        <v>0</v>
      </c>
      <c r="V137" s="1968">
        <f ca="1"/>
        <v>0</v>
      </c>
      <c r="W137" s="1968">
        <f ca="1"/>
        <v>0</v>
      </c>
      <c r="X137" s="1968">
        <f ca="1"/>
        <v>0</v>
      </c>
      <c r="Y137" s="1986">
        <f ca="1"/>
        <v>0</v>
      </c>
    </row>
    <row r="138" spans="1:25">
      <c r="A138" s="1971" t="str">
        <v>9 meses antes</v>
      </c>
      <c r="B138" s="1967"/>
      <c r="C138" s="1967"/>
      <c r="D138" s="1967"/>
      <c r="E138" s="592">
        <f t="array" aca="1" ref="E138:P138" ca="1">B21:M21*Produccion!$E$9</f>
        <v>0</v>
      </c>
      <c r="F138" s="592">
        <f ca="1"/>
        <v>0</v>
      </c>
      <c r="G138" s="592">
        <f ca="1"/>
        <v>0</v>
      </c>
      <c r="H138" s="592">
        <f ca="1"/>
        <v>0</v>
      </c>
      <c r="I138" s="592">
        <f ca="1"/>
        <v>0</v>
      </c>
      <c r="J138" s="592">
        <f ca="1"/>
        <v>0</v>
      </c>
      <c r="K138" s="592">
        <f ca="1"/>
        <v>0</v>
      </c>
      <c r="L138" s="592">
        <f ca="1"/>
        <v>0</v>
      </c>
      <c r="M138" s="592">
        <f ca="1"/>
        <v>0</v>
      </c>
      <c r="N138" s="592">
        <f ca="1"/>
        <v>0</v>
      </c>
      <c r="O138" s="592">
        <f ca="1"/>
        <v>0</v>
      </c>
      <c r="P138" s="592">
        <f ca="1"/>
        <v>0</v>
      </c>
      <c r="Q138" s="1968">
        <f t="array" aca="1" ref="Q138:Q141" ca="1">'Distr CV 1'!E138:F141</f>
        <v>0</v>
      </c>
      <c r="R138" s="1968">
        <f ca="1"/>
        <v>0</v>
      </c>
      <c r="S138" s="1968">
        <f ca="1"/>
        <v>0</v>
      </c>
      <c r="T138" s="1968">
        <f ca="1"/>
        <v>0</v>
      </c>
      <c r="U138" s="1968">
        <f ca="1"/>
        <v>0</v>
      </c>
      <c r="V138" s="1968">
        <f ca="1"/>
        <v>0</v>
      </c>
      <c r="W138" s="1968">
        <f ca="1"/>
        <v>0</v>
      </c>
      <c r="X138" s="1968">
        <f ca="1"/>
        <v>0</v>
      </c>
      <c r="Y138" s="1986">
        <f ca="1"/>
        <v>0</v>
      </c>
    </row>
    <row r="139" spans="1:25">
      <c r="A139" s="1971" t="str">
        <v>10 meses antes</v>
      </c>
      <c r="B139" s="1967"/>
      <c r="C139" s="1967"/>
      <c r="D139" s="592">
        <f t="array" aca="1" ref="D139:O139" ca="1">B21:M21*Produccion!$D$9</f>
        <v>0</v>
      </c>
      <c r="E139" s="592">
        <f ca="1"/>
        <v>0</v>
      </c>
      <c r="F139" s="592">
        <f ca="1"/>
        <v>0</v>
      </c>
      <c r="G139" s="592">
        <f ca="1"/>
        <v>0</v>
      </c>
      <c r="H139" s="592">
        <f ca="1"/>
        <v>0</v>
      </c>
      <c r="I139" s="592">
        <f ca="1"/>
        <v>0</v>
      </c>
      <c r="J139" s="592">
        <f ca="1"/>
        <v>0</v>
      </c>
      <c r="K139" s="592">
        <f ca="1"/>
        <v>0</v>
      </c>
      <c r="L139" s="592">
        <f ca="1"/>
        <v>0</v>
      </c>
      <c r="M139" s="592">
        <f ca="1"/>
        <v>0</v>
      </c>
      <c r="N139" s="592">
        <f ca="1"/>
        <v>0</v>
      </c>
      <c r="O139" s="592">
        <f ca="1"/>
        <v>0</v>
      </c>
      <c r="P139" s="1968">
        <f t="array" aca="1" ref="P139:P141" ca="1">'Distr CV 1'!D139:D141</f>
        <v>0</v>
      </c>
      <c r="Q139" s="1968">
        <f ca="1"/>
        <v>0</v>
      </c>
      <c r="R139" s="1968">
        <f ca="1"/>
        <v>0</v>
      </c>
      <c r="S139" s="1968">
        <f ca="1"/>
        <v>0</v>
      </c>
      <c r="T139" s="1968">
        <f ca="1"/>
        <v>0</v>
      </c>
      <c r="U139" s="1968">
        <f ca="1"/>
        <v>0</v>
      </c>
      <c r="V139" s="1968">
        <f ca="1"/>
        <v>0</v>
      </c>
      <c r="W139" s="1968">
        <f ca="1"/>
        <v>0</v>
      </c>
      <c r="X139" s="1968">
        <f ca="1"/>
        <v>0</v>
      </c>
      <c r="Y139" s="1986">
        <f ca="1"/>
        <v>0</v>
      </c>
    </row>
    <row r="140" spans="1:25">
      <c r="A140" s="1971" t="str">
        <v>11 meses antes</v>
      </c>
      <c r="B140" s="1967"/>
      <c r="C140" s="592">
        <f t="array" aca="1" ref="C140:N140" ca="1">B21:M21*Produccion!$C$9</f>
        <v>0</v>
      </c>
      <c r="D140" s="592">
        <f ca="1"/>
        <v>0</v>
      </c>
      <c r="E140" s="592">
        <f ca="1"/>
        <v>0</v>
      </c>
      <c r="F140" s="592">
        <f ca="1"/>
        <v>0</v>
      </c>
      <c r="G140" s="592">
        <f ca="1"/>
        <v>0</v>
      </c>
      <c r="H140" s="592">
        <f ca="1"/>
        <v>0</v>
      </c>
      <c r="I140" s="592">
        <f ca="1"/>
        <v>0</v>
      </c>
      <c r="J140" s="592">
        <f ca="1"/>
        <v>0</v>
      </c>
      <c r="K140" s="592">
        <f ca="1"/>
        <v>0</v>
      </c>
      <c r="L140" s="592">
        <f ca="1"/>
        <v>0</v>
      </c>
      <c r="M140" s="592">
        <f ca="1"/>
        <v>0</v>
      </c>
      <c r="N140" s="592">
        <f ca="1"/>
        <v>0</v>
      </c>
      <c r="O140" s="1968">
        <f t="array" aca="1" ref="O140:O141" ca="1">'Distr CV 1'!C140:C141</f>
        <v>0</v>
      </c>
      <c r="P140" s="1968">
        <f ca="1"/>
        <v>0</v>
      </c>
      <c r="Q140" s="1968">
        <f ca="1"/>
        <v>0</v>
      </c>
      <c r="R140" s="1968">
        <f ca="1"/>
        <v>0</v>
      </c>
      <c r="S140" s="1968">
        <f ca="1"/>
        <v>0</v>
      </c>
      <c r="T140" s="1968">
        <f ca="1"/>
        <v>0</v>
      </c>
      <c r="U140" s="1968">
        <f ca="1"/>
        <v>0</v>
      </c>
      <c r="V140" s="1968">
        <f ca="1"/>
        <v>0</v>
      </c>
      <c r="W140" s="1968">
        <f ca="1"/>
        <v>0</v>
      </c>
      <c r="X140" s="1968">
        <f ca="1"/>
        <v>0</v>
      </c>
      <c r="Y140" s="1986">
        <f ca="1"/>
        <v>0</v>
      </c>
    </row>
    <row r="141" spans="1:25" ht="13.5" thickBot="1">
      <c r="A141" s="1971" t="str">
        <v>12 meses antes</v>
      </c>
      <c r="B141" s="592">
        <f t="array" aca="1" ref="B141:M141" ca="1">B21:M21*Produccion!$B$9</f>
        <v>0</v>
      </c>
      <c r="C141" s="592">
        <f ca="1"/>
        <v>0</v>
      </c>
      <c r="D141" s="592">
        <f ca="1"/>
        <v>0</v>
      </c>
      <c r="E141" s="592">
        <f ca="1"/>
        <v>0</v>
      </c>
      <c r="F141" s="592">
        <f ca="1"/>
        <v>0</v>
      </c>
      <c r="G141" s="592">
        <f ca="1"/>
        <v>0</v>
      </c>
      <c r="H141" s="592">
        <f ca="1"/>
        <v>0</v>
      </c>
      <c r="I141" s="592">
        <f ca="1"/>
        <v>0</v>
      </c>
      <c r="J141" s="592">
        <f ca="1"/>
        <v>0</v>
      </c>
      <c r="K141" s="592">
        <f ca="1"/>
        <v>0</v>
      </c>
      <c r="L141" s="592">
        <f ca="1"/>
        <v>0</v>
      </c>
      <c r="M141" s="592">
        <f ca="1"/>
        <v>0</v>
      </c>
      <c r="N141" s="1967">
        <f ca="1">'Distr CV 1'!B141</f>
        <v>0</v>
      </c>
      <c r="O141" s="1968">
        <f ca="1"/>
        <v>0</v>
      </c>
      <c r="P141" s="1968">
        <f ca="1"/>
        <v>0</v>
      </c>
      <c r="Q141" s="1968">
        <f ca="1"/>
        <v>0</v>
      </c>
      <c r="R141" s="1968">
        <f ca="1"/>
        <v>0</v>
      </c>
      <c r="S141" s="1968">
        <f ca="1"/>
        <v>0</v>
      </c>
      <c r="T141" s="1968">
        <f ca="1"/>
        <v>0</v>
      </c>
      <c r="U141" s="1968">
        <f ca="1"/>
        <v>0</v>
      </c>
      <c r="V141" s="1968">
        <f ca="1"/>
        <v>0</v>
      </c>
      <c r="W141" s="1968">
        <f ca="1"/>
        <v>0</v>
      </c>
      <c r="X141" s="1968">
        <f ca="1"/>
        <v>0</v>
      </c>
      <c r="Y141" s="1986">
        <f ca="1"/>
        <v>0</v>
      </c>
    </row>
    <row r="142" spans="1:25" ht="15.75" customHeight="1" thickBot="1">
      <c r="A142" s="103" t="str">
        <f>"Totales CV "&amp;A$9</f>
        <v xml:space="preserve">Totales CV </v>
      </c>
      <c r="B142" s="596">
        <f t="shared" ref="B142:Y142" ca="1" si="11">SUM(B129:B141)</f>
        <v>0</v>
      </c>
      <c r="C142" s="596">
        <f t="shared" ca="1" si="11"/>
        <v>0</v>
      </c>
      <c r="D142" s="596">
        <f t="shared" ca="1" si="11"/>
        <v>0</v>
      </c>
      <c r="E142" s="596">
        <f t="shared" ca="1" si="11"/>
        <v>0</v>
      </c>
      <c r="F142" s="596">
        <f t="shared" ca="1" si="11"/>
        <v>0</v>
      </c>
      <c r="G142" s="596">
        <f t="shared" ca="1" si="11"/>
        <v>0</v>
      </c>
      <c r="H142" s="596">
        <f t="shared" ca="1" si="11"/>
        <v>0</v>
      </c>
      <c r="I142" s="596">
        <f t="shared" ca="1" si="11"/>
        <v>0</v>
      </c>
      <c r="J142" s="596">
        <f t="shared" ca="1" si="11"/>
        <v>0</v>
      </c>
      <c r="K142" s="596">
        <f t="shared" ca="1" si="11"/>
        <v>0</v>
      </c>
      <c r="L142" s="596">
        <f t="shared" ca="1" si="11"/>
        <v>0</v>
      </c>
      <c r="M142" s="596">
        <f t="shared" ca="1" si="11"/>
        <v>0</v>
      </c>
      <c r="N142" s="596">
        <f t="shared" ca="1" si="11"/>
        <v>0</v>
      </c>
      <c r="O142" s="596">
        <f t="shared" ca="1" si="11"/>
        <v>0</v>
      </c>
      <c r="P142" s="596">
        <f t="shared" ca="1" si="11"/>
        <v>0</v>
      </c>
      <c r="Q142" s="596">
        <f t="shared" ca="1" si="11"/>
        <v>0</v>
      </c>
      <c r="R142" s="596">
        <f t="shared" ca="1" si="11"/>
        <v>0</v>
      </c>
      <c r="S142" s="596">
        <f t="shared" ca="1" si="11"/>
        <v>0</v>
      </c>
      <c r="T142" s="596">
        <f t="shared" ca="1" si="11"/>
        <v>0</v>
      </c>
      <c r="U142" s="596">
        <f t="shared" ca="1" si="11"/>
        <v>0</v>
      </c>
      <c r="V142" s="596">
        <f t="shared" ca="1" si="11"/>
        <v>0</v>
      </c>
      <c r="W142" s="596">
        <f t="shared" ca="1" si="11"/>
        <v>0</v>
      </c>
      <c r="X142" s="596">
        <f t="shared" ca="1" si="11"/>
        <v>0</v>
      </c>
      <c r="Y142" s="1984">
        <f t="shared" ca="1" si="11"/>
        <v>0</v>
      </c>
    </row>
    <row r="143" spans="1:25" ht="15.75" customHeight="1" thickBot="1">
      <c r="A143" s="103" t="str">
        <f>'Datos Básicos'!A28&amp;" sop. CV "&amp;$A$9</f>
        <v xml:space="preserve">IVA sop. CV </v>
      </c>
      <c r="B143" s="596">
        <f t="array" aca="1" ref="B143:Y143" ca="1">$K$127*B142:Y142</f>
        <v>0</v>
      </c>
      <c r="C143" s="596">
        <f ca="1"/>
        <v>0</v>
      </c>
      <c r="D143" s="596">
        <f ca="1"/>
        <v>0</v>
      </c>
      <c r="E143" s="596">
        <f ca="1"/>
        <v>0</v>
      </c>
      <c r="F143" s="596">
        <f ca="1"/>
        <v>0</v>
      </c>
      <c r="G143" s="596">
        <f ca="1"/>
        <v>0</v>
      </c>
      <c r="H143" s="596">
        <f ca="1"/>
        <v>0</v>
      </c>
      <c r="I143" s="596">
        <f ca="1"/>
        <v>0</v>
      </c>
      <c r="J143" s="596">
        <f ca="1"/>
        <v>0</v>
      </c>
      <c r="K143" s="596">
        <f ca="1"/>
        <v>0</v>
      </c>
      <c r="L143" s="596">
        <f ca="1"/>
        <v>0</v>
      </c>
      <c r="M143" s="596">
        <f ca="1"/>
        <v>0</v>
      </c>
      <c r="N143" s="596">
        <f ca="1"/>
        <v>0</v>
      </c>
      <c r="O143" s="596">
        <f ca="1"/>
        <v>0</v>
      </c>
      <c r="P143" s="596">
        <f ca="1"/>
        <v>0</v>
      </c>
      <c r="Q143" s="596">
        <f ca="1"/>
        <v>0</v>
      </c>
      <c r="R143" s="596">
        <f ca="1"/>
        <v>0</v>
      </c>
      <c r="S143" s="596">
        <f ca="1"/>
        <v>0</v>
      </c>
      <c r="T143" s="596">
        <f ca="1"/>
        <v>0</v>
      </c>
      <c r="U143" s="596">
        <f ca="1"/>
        <v>0</v>
      </c>
      <c r="V143" s="596">
        <f ca="1"/>
        <v>0</v>
      </c>
      <c r="W143" s="596">
        <f ca="1"/>
        <v>0</v>
      </c>
      <c r="X143" s="596">
        <f ca="1"/>
        <v>0</v>
      </c>
      <c r="Y143" s="1984">
        <f ca="1"/>
        <v>0</v>
      </c>
    </row>
    <row r="145" spans="1:26" ht="18.75" thickBot="1">
      <c r="A145" s="1969" t="str">
        <f>"Compras / costes de producción por meses de "&amp;A$10</f>
        <v xml:space="preserve">Compras / costes de producción por meses de </v>
      </c>
      <c r="I145" s="1969" t="str">
        <f>I$44</f>
        <v>IVA NO incluido</v>
      </c>
      <c r="K145" s="1981">
        <f>Parametros!$F$26</f>
        <v>0.21</v>
      </c>
    </row>
    <row r="146" spans="1:26" s="445" customFormat="1" ht="30" customHeight="1" thickBot="1">
      <c r="A146" s="446" t="str">
        <f>A$110</f>
        <v>mes de compra / coste</v>
      </c>
      <c r="B146" s="1987" t="str">
        <f t="array" ref="B146:Y146">B$71:Y$71</f>
        <v>enero
2025</v>
      </c>
      <c r="C146" s="1987" t="str">
        <v>febrero
2025</v>
      </c>
      <c r="D146" s="1987" t="str">
        <v>marzo
2025</v>
      </c>
      <c r="E146" s="1987" t="str">
        <v>abril
2025</v>
      </c>
      <c r="F146" s="1987" t="str">
        <v>mayo
2025</v>
      </c>
      <c r="G146" s="1987" t="str">
        <v>junio
2025</v>
      </c>
      <c r="H146" s="1987" t="str">
        <v>julio
2025</v>
      </c>
      <c r="I146" s="1987" t="str">
        <v>agosto
2025</v>
      </c>
      <c r="J146" s="1987" t="str">
        <v>septiembre
2025</v>
      </c>
      <c r="K146" s="1987" t="str">
        <v>octubre
2025</v>
      </c>
      <c r="L146" s="1987" t="str">
        <v>noviembre
2025</v>
      </c>
      <c r="M146" s="1987" t="str">
        <v>diciembre
2025</v>
      </c>
      <c r="N146" s="2703" t="str">
        <v>enero 
2026</v>
      </c>
      <c r="O146" s="2704" t="str">
        <v>febrero 
2026</v>
      </c>
      <c r="P146" s="2704" t="str">
        <v>marzo 
2026</v>
      </c>
      <c r="Q146" s="2704" t="str">
        <v>abril 
2026</v>
      </c>
      <c r="R146" s="2704" t="str">
        <v>mayo 
2026</v>
      </c>
      <c r="S146" s="2704" t="str">
        <v>junio 
2026</v>
      </c>
      <c r="T146" s="2704" t="str">
        <v>julio 
2026</v>
      </c>
      <c r="U146" s="2704" t="str">
        <v>agosto 
2026</v>
      </c>
      <c r="V146" s="2704" t="str">
        <v>septiembre 
2026</v>
      </c>
      <c r="W146" s="2704" t="str">
        <v>octubre 
2026</v>
      </c>
      <c r="X146" s="2704" t="str">
        <v>noviembre 
2026</v>
      </c>
      <c r="Y146" s="2705" t="str">
        <v>diciembre 
2026</v>
      </c>
      <c r="Z146" s="61"/>
    </row>
    <row r="147" spans="1:26">
      <c r="A147" s="1970" t="str">
        <f t="array" ref="A147:A159">A$72:A$84</f>
        <v>mismo mes</v>
      </c>
      <c r="B147" s="1967"/>
      <c r="C147" s="1967"/>
      <c r="D147" s="1967"/>
      <c r="E147" s="1967"/>
      <c r="F147" s="1967"/>
      <c r="G147" s="1967"/>
      <c r="H147" s="1967"/>
      <c r="I147" s="1967"/>
      <c r="J147" s="1967"/>
      <c r="K147" s="1967"/>
      <c r="L147" s="1967"/>
      <c r="M147" s="1967"/>
      <c r="N147" s="592">
        <f t="array" aca="1" ref="N147:Y147" ca="1">B22:M22*Produccion!$N$10</f>
        <v>0</v>
      </c>
      <c r="O147" s="592">
        <f ca="1"/>
        <v>0</v>
      </c>
      <c r="P147" s="592">
        <f ca="1"/>
        <v>0</v>
      </c>
      <c r="Q147" s="592">
        <f ca="1"/>
        <v>0</v>
      </c>
      <c r="R147" s="592">
        <f ca="1"/>
        <v>0</v>
      </c>
      <c r="S147" s="592">
        <f ca="1"/>
        <v>0</v>
      </c>
      <c r="T147" s="592">
        <f ca="1"/>
        <v>0</v>
      </c>
      <c r="U147" s="592">
        <f ca="1"/>
        <v>0</v>
      </c>
      <c r="V147" s="592">
        <f ca="1"/>
        <v>0</v>
      </c>
      <c r="W147" s="592">
        <f ca="1"/>
        <v>0</v>
      </c>
      <c r="X147" s="592">
        <f ca="1"/>
        <v>0</v>
      </c>
      <c r="Y147" s="1982">
        <f ca="1"/>
        <v>0</v>
      </c>
    </row>
    <row r="148" spans="1:26">
      <c r="A148" s="1971" t="str">
        <v>1 mes antes</v>
      </c>
      <c r="B148" s="1967"/>
      <c r="C148" s="1967"/>
      <c r="D148" s="1967"/>
      <c r="E148" s="1967"/>
      <c r="F148" s="1967"/>
      <c r="G148" s="1967"/>
      <c r="H148" s="1967"/>
      <c r="I148" s="1967"/>
      <c r="J148" s="1967"/>
      <c r="K148" s="1967"/>
      <c r="L148" s="1967"/>
      <c r="M148" s="592">
        <f t="array" aca="1" ref="M148:X148" ca="1">B22:M22*Produccion!$M$10</f>
        <v>0</v>
      </c>
      <c r="N148" s="592">
        <f ca="1"/>
        <v>0</v>
      </c>
      <c r="O148" s="592">
        <f ca="1"/>
        <v>0</v>
      </c>
      <c r="P148" s="592">
        <f ca="1"/>
        <v>0</v>
      </c>
      <c r="Q148" s="592">
        <f ca="1"/>
        <v>0</v>
      </c>
      <c r="R148" s="592">
        <f ca="1"/>
        <v>0</v>
      </c>
      <c r="S148" s="592">
        <f ca="1"/>
        <v>0</v>
      </c>
      <c r="T148" s="592">
        <f ca="1"/>
        <v>0</v>
      </c>
      <c r="U148" s="592">
        <f ca="1"/>
        <v>0</v>
      </c>
      <c r="V148" s="592">
        <f ca="1"/>
        <v>0</v>
      </c>
      <c r="W148" s="592">
        <f ca="1"/>
        <v>0</v>
      </c>
      <c r="X148" s="592">
        <f ca="1"/>
        <v>0</v>
      </c>
      <c r="Y148" s="1983">
        <f t="array" aca="1" ref="Y148:Y159" ca="1">'Distr CV 1'!M148:M159</f>
        <v>0</v>
      </c>
    </row>
    <row r="149" spans="1:26">
      <c r="A149" s="1971" t="str">
        <v>2 meses antes</v>
      </c>
      <c r="B149" s="1967"/>
      <c r="C149" s="1967"/>
      <c r="D149" s="1967"/>
      <c r="E149" s="1967"/>
      <c r="F149" s="1967"/>
      <c r="G149" s="1967"/>
      <c r="H149" s="1967"/>
      <c r="I149" s="1967"/>
      <c r="J149" s="1967"/>
      <c r="K149" s="1967"/>
      <c r="L149" s="592">
        <f t="array" aca="1" ref="L149:W149" ca="1">B22:M22*Produccion!$L$10</f>
        <v>0</v>
      </c>
      <c r="M149" s="592">
        <f ca="1"/>
        <v>0</v>
      </c>
      <c r="N149" s="592">
        <f ca="1"/>
        <v>0</v>
      </c>
      <c r="O149" s="592">
        <f ca="1"/>
        <v>0</v>
      </c>
      <c r="P149" s="592">
        <f ca="1"/>
        <v>0</v>
      </c>
      <c r="Q149" s="592">
        <f ca="1"/>
        <v>0</v>
      </c>
      <c r="R149" s="592">
        <f ca="1"/>
        <v>0</v>
      </c>
      <c r="S149" s="592">
        <f ca="1"/>
        <v>0</v>
      </c>
      <c r="T149" s="592">
        <f ca="1"/>
        <v>0</v>
      </c>
      <c r="U149" s="592">
        <f ca="1"/>
        <v>0</v>
      </c>
      <c r="V149" s="592">
        <f ca="1"/>
        <v>0</v>
      </c>
      <c r="W149" s="592">
        <f ca="1"/>
        <v>0</v>
      </c>
      <c r="X149" s="1964">
        <f t="array" aca="1" ref="X149:X159" ca="1">'Distr CV 1'!L149:L159</f>
        <v>0</v>
      </c>
      <c r="Y149" s="1983">
        <f ca="1"/>
        <v>0</v>
      </c>
    </row>
    <row r="150" spans="1:26">
      <c r="A150" s="1971" t="str">
        <v>3 meses antes</v>
      </c>
      <c r="B150" s="1967"/>
      <c r="C150" s="1967"/>
      <c r="D150" s="1967"/>
      <c r="E150" s="1967"/>
      <c r="F150" s="1967"/>
      <c r="G150" s="1967"/>
      <c r="H150" s="1967"/>
      <c r="I150" s="1967"/>
      <c r="J150" s="1967"/>
      <c r="K150" s="592">
        <f t="array" aca="1" ref="K150:V150" ca="1">B22:M22*Produccion!$K$10</f>
        <v>0</v>
      </c>
      <c r="L150" s="592">
        <f ca="1"/>
        <v>0</v>
      </c>
      <c r="M150" s="592">
        <f ca="1"/>
        <v>0</v>
      </c>
      <c r="N150" s="592">
        <f ca="1"/>
        <v>0</v>
      </c>
      <c r="O150" s="592">
        <f ca="1"/>
        <v>0</v>
      </c>
      <c r="P150" s="592">
        <f ca="1"/>
        <v>0</v>
      </c>
      <c r="Q150" s="592">
        <f ca="1"/>
        <v>0</v>
      </c>
      <c r="R150" s="592">
        <f ca="1"/>
        <v>0</v>
      </c>
      <c r="S150" s="592">
        <f ca="1"/>
        <v>0</v>
      </c>
      <c r="T150" s="592">
        <f ca="1"/>
        <v>0</v>
      </c>
      <c r="U150" s="592">
        <f ca="1"/>
        <v>0</v>
      </c>
      <c r="V150" s="592">
        <f ca="1"/>
        <v>0</v>
      </c>
      <c r="W150" s="1964">
        <f t="array" aca="1" ref="W150:W159" ca="1">'Distr CV 1'!K150:K159</f>
        <v>0</v>
      </c>
      <c r="X150" s="1964">
        <f ca="1"/>
        <v>0</v>
      </c>
      <c r="Y150" s="1983">
        <f ca="1"/>
        <v>0</v>
      </c>
    </row>
    <row r="151" spans="1:26">
      <c r="A151" s="1971" t="str">
        <v>4 meses antes</v>
      </c>
      <c r="B151" s="1967"/>
      <c r="C151" s="1967"/>
      <c r="D151" s="1967"/>
      <c r="E151" s="1967"/>
      <c r="F151" s="1967"/>
      <c r="G151" s="1967"/>
      <c r="H151" s="1967"/>
      <c r="I151" s="1967"/>
      <c r="J151" s="592">
        <f t="array" aca="1" ref="J151:U151" ca="1">B22:M22*Produccion!$J$10</f>
        <v>0</v>
      </c>
      <c r="K151" s="592">
        <f ca="1"/>
        <v>0</v>
      </c>
      <c r="L151" s="592">
        <f ca="1"/>
        <v>0</v>
      </c>
      <c r="M151" s="592">
        <f ca="1"/>
        <v>0</v>
      </c>
      <c r="N151" s="592">
        <f ca="1"/>
        <v>0</v>
      </c>
      <c r="O151" s="592">
        <f ca="1"/>
        <v>0</v>
      </c>
      <c r="P151" s="592">
        <f ca="1"/>
        <v>0</v>
      </c>
      <c r="Q151" s="592">
        <f ca="1"/>
        <v>0</v>
      </c>
      <c r="R151" s="592">
        <f ca="1"/>
        <v>0</v>
      </c>
      <c r="S151" s="592">
        <f ca="1"/>
        <v>0</v>
      </c>
      <c r="T151" s="592">
        <f ca="1"/>
        <v>0</v>
      </c>
      <c r="U151" s="592">
        <f ca="1"/>
        <v>0</v>
      </c>
      <c r="V151" s="1964">
        <f t="array" aca="1" ref="V151:V159" ca="1">'Distr CV 1'!J151:J159</f>
        <v>0</v>
      </c>
      <c r="W151" s="1964">
        <f ca="1"/>
        <v>0</v>
      </c>
      <c r="X151" s="1964">
        <f ca="1"/>
        <v>0</v>
      </c>
      <c r="Y151" s="1983">
        <f ca="1"/>
        <v>0</v>
      </c>
    </row>
    <row r="152" spans="1:26">
      <c r="A152" s="1971" t="str">
        <v>5 meses antes</v>
      </c>
      <c r="B152" s="1967"/>
      <c r="C152" s="1967"/>
      <c r="D152" s="1967"/>
      <c r="E152" s="1967"/>
      <c r="F152" s="1967"/>
      <c r="G152" s="1967"/>
      <c r="H152" s="1967"/>
      <c r="I152" s="592">
        <f t="array" aca="1" ref="I152:T152" ca="1">B22:M22*Produccion!$I$10</f>
        <v>0</v>
      </c>
      <c r="J152" s="592">
        <f ca="1"/>
        <v>0</v>
      </c>
      <c r="K152" s="592">
        <f ca="1"/>
        <v>0</v>
      </c>
      <c r="L152" s="592">
        <f ca="1"/>
        <v>0</v>
      </c>
      <c r="M152" s="592">
        <f ca="1"/>
        <v>0</v>
      </c>
      <c r="N152" s="592">
        <f ca="1"/>
        <v>0</v>
      </c>
      <c r="O152" s="592">
        <f ca="1"/>
        <v>0</v>
      </c>
      <c r="P152" s="592">
        <f ca="1"/>
        <v>0</v>
      </c>
      <c r="Q152" s="592">
        <f ca="1"/>
        <v>0</v>
      </c>
      <c r="R152" s="592">
        <f ca="1"/>
        <v>0</v>
      </c>
      <c r="S152" s="592">
        <f ca="1"/>
        <v>0</v>
      </c>
      <c r="T152" s="592">
        <f ca="1"/>
        <v>0</v>
      </c>
      <c r="U152" s="1964">
        <f t="array" aca="1" ref="U152:U159" ca="1">'Distr CV 1'!I152:I159</f>
        <v>0</v>
      </c>
      <c r="V152" s="1964">
        <f ca="1"/>
        <v>0</v>
      </c>
      <c r="W152" s="1964">
        <f ca="1"/>
        <v>0</v>
      </c>
      <c r="X152" s="1964">
        <f ca="1"/>
        <v>0</v>
      </c>
      <c r="Y152" s="1983">
        <f ca="1"/>
        <v>0</v>
      </c>
    </row>
    <row r="153" spans="1:26">
      <c r="A153" s="1971" t="str">
        <v>6 meses antes</v>
      </c>
      <c r="B153" s="1967"/>
      <c r="C153" s="1967"/>
      <c r="D153" s="1967"/>
      <c r="E153" s="1967"/>
      <c r="F153" s="1967"/>
      <c r="G153" s="1967"/>
      <c r="H153" s="592">
        <f t="array" aca="1" ref="H153:S153" ca="1">B22:M22*Produccion!$H$10</f>
        <v>0</v>
      </c>
      <c r="I153" s="592">
        <f ca="1"/>
        <v>0</v>
      </c>
      <c r="J153" s="592">
        <f ca="1"/>
        <v>0</v>
      </c>
      <c r="K153" s="592">
        <f ca="1"/>
        <v>0</v>
      </c>
      <c r="L153" s="592">
        <f ca="1"/>
        <v>0</v>
      </c>
      <c r="M153" s="592">
        <f ca="1"/>
        <v>0</v>
      </c>
      <c r="N153" s="592">
        <f ca="1"/>
        <v>0</v>
      </c>
      <c r="O153" s="592">
        <f ca="1"/>
        <v>0</v>
      </c>
      <c r="P153" s="592">
        <f ca="1"/>
        <v>0</v>
      </c>
      <c r="Q153" s="592">
        <f ca="1"/>
        <v>0</v>
      </c>
      <c r="R153" s="592">
        <f ca="1"/>
        <v>0</v>
      </c>
      <c r="S153" s="592">
        <f ca="1"/>
        <v>0</v>
      </c>
      <c r="T153" s="1964">
        <f t="array" aca="1" ref="T153:T159" ca="1">'Distr CV 1'!H153:H159</f>
        <v>0</v>
      </c>
      <c r="U153" s="1964">
        <f ca="1"/>
        <v>0</v>
      </c>
      <c r="V153" s="1964">
        <f ca="1"/>
        <v>0</v>
      </c>
      <c r="W153" s="1964">
        <f ca="1"/>
        <v>0</v>
      </c>
      <c r="X153" s="1964">
        <f ca="1"/>
        <v>0</v>
      </c>
      <c r="Y153" s="1983">
        <f ca="1"/>
        <v>0</v>
      </c>
    </row>
    <row r="154" spans="1:26">
      <c r="A154" s="1971" t="str">
        <v>7 meses antes</v>
      </c>
      <c r="B154" s="1967"/>
      <c r="C154" s="1967"/>
      <c r="D154" s="1967"/>
      <c r="E154" s="1967"/>
      <c r="F154" s="1967"/>
      <c r="G154" s="592">
        <f t="array" aca="1" ref="G154:R154" ca="1">B22:M22*Produccion!$G$10</f>
        <v>0</v>
      </c>
      <c r="H154" s="592">
        <f ca="1"/>
        <v>0</v>
      </c>
      <c r="I154" s="592">
        <f ca="1"/>
        <v>0</v>
      </c>
      <c r="J154" s="592">
        <f ca="1"/>
        <v>0</v>
      </c>
      <c r="K154" s="592">
        <f ca="1"/>
        <v>0</v>
      </c>
      <c r="L154" s="592">
        <f ca="1"/>
        <v>0</v>
      </c>
      <c r="M154" s="592">
        <f ca="1"/>
        <v>0</v>
      </c>
      <c r="N154" s="592">
        <f ca="1"/>
        <v>0</v>
      </c>
      <c r="O154" s="592">
        <f ca="1"/>
        <v>0</v>
      </c>
      <c r="P154" s="592">
        <f ca="1"/>
        <v>0</v>
      </c>
      <c r="Q154" s="592">
        <f ca="1"/>
        <v>0</v>
      </c>
      <c r="R154" s="592">
        <f ca="1"/>
        <v>0</v>
      </c>
      <c r="S154" s="1968">
        <f t="array" aca="1" ref="S154:S159" ca="1">'Distr CV 1'!G154:G159</f>
        <v>0</v>
      </c>
      <c r="T154" s="1968">
        <f ca="1"/>
        <v>0</v>
      </c>
      <c r="U154" s="1968">
        <f ca="1"/>
        <v>0</v>
      </c>
      <c r="V154" s="1968">
        <f ca="1"/>
        <v>0</v>
      </c>
      <c r="W154" s="1968">
        <f ca="1"/>
        <v>0</v>
      </c>
      <c r="X154" s="1968">
        <f ca="1"/>
        <v>0</v>
      </c>
      <c r="Y154" s="1986">
        <f ca="1"/>
        <v>0</v>
      </c>
    </row>
    <row r="155" spans="1:26">
      <c r="A155" s="1971" t="str">
        <v>8 meses antes</v>
      </c>
      <c r="B155" s="1967"/>
      <c r="C155" s="1967"/>
      <c r="D155" s="1967"/>
      <c r="E155" s="1967"/>
      <c r="F155" s="592">
        <f t="array" aca="1" ref="F155:Q155" ca="1">B22:M22*Produccion!$F$10</f>
        <v>0</v>
      </c>
      <c r="G155" s="592">
        <f ca="1"/>
        <v>0</v>
      </c>
      <c r="H155" s="592">
        <f ca="1"/>
        <v>0</v>
      </c>
      <c r="I155" s="592">
        <f ca="1"/>
        <v>0</v>
      </c>
      <c r="J155" s="592">
        <f ca="1"/>
        <v>0</v>
      </c>
      <c r="K155" s="592">
        <f ca="1"/>
        <v>0</v>
      </c>
      <c r="L155" s="592">
        <f ca="1"/>
        <v>0</v>
      </c>
      <c r="M155" s="592">
        <f ca="1"/>
        <v>0</v>
      </c>
      <c r="N155" s="592">
        <f ca="1"/>
        <v>0</v>
      </c>
      <c r="O155" s="592">
        <f ca="1"/>
        <v>0</v>
      </c>
      <c r="P155" s="592">
        <f ca="1"/>
        <v>0</v>
      </c>
      <c r="Q155" s="592">
        <f ca="1"/>
        <v>0</v>
      </c>
      <c r="R155" s="1968">
        <f t="array" aca="1" ref="R155:R159" ca="1">'Distr CV 1'!F155:F159</f>
        <v>0</v>
      </c>
      <c r="S155" s="1968">
        <f ca="1"/>
        <v>0</v>
      </c>
      <c r="T155" s="1968">
        <f ca="1"/>
        <v>0</v>
      </c>
      <c r="U155" s="1968">
        <f ca="1"/>
        <v>0</v>
      </c>
      <c r="V155" s="1968">
        <f ca="1"/>
        <v>0</v>
      </c>
      <c r="W155" s="1968">
        <f ca="1"/>
        <v>0</v>
      </c>
      <c r="X155" s="1968">
        <f ca="1"/>
        <v>0</v>
      </c>
      <c r="Y155" s="1986">
        <f ca="1"/>
        <v>0</v>
      </c>
    </row>
    <row r="156" spans="1:26">
      <c r="A156" s="1971" t="str">
        <v>9 meses antes</v>
      </c>
      <c r="B156" s="1967"/>
      <c r="C156" s="1967"/>
      <c r="D156" s="1967"/>
      <c r="E156" s="592">
        <f t="array" aca="1" ref="E156:P156" ca="1">B22:M22*Produccion!$E$10</f>
        <v>0</v>
      </c>
      <c r="F156" s="592">
        <f ca="1"/>
        <v>0</v>
      </c>
      <c r="G156" s="592">
        <f ca="1"/>
        <v>0</v>
      </c>
      <c r="H156" s="592">
        <f ca="1"/>
        <v>0</v>
      </c>
      <c r="I156" s="592">
        <f ca="1"/>
        <v>0</v>
      </c>
      <c r="J156" s="592">
        <f ca="1"/>
        <v>0</v>
      </c>
      <c r="K156" s="592">
        <f ca="1"/>
        <v>0</v>
      </c>
      <c r="L156" s="592">
        <f ca="1"/>
        <v>0</v>
      </c>
      <c r="M156" s="592">
        <f ca="1"/>
        <v>0</v>
      </c>
      <c r="N156" s="592">
        <f ca="1"/>
        <v>0</v>
      </c>
      <c r="O156" s="592">
        <f ca="1"/>
        <v>0</v>
      </c>
      <c r="P156" s="592">
        <f ca="1"/>
        <v>0</v>
      </c>
      <c r="Q156" s="1968">
        <f t="array" aca="1" ref="Q156:Q159" ca="1">'Distr CV 1'!E156:F159</f>
        <v>0</v>
      </c>
      <c r="R156" s="1968">
        <f ca="1"/>
        <v>0</v>
      </c>
      <c r="S156" s="1968">
        <f ca="1"/>
        <v>0</v>
      </c>
      <c r="T156" s="1968">
        <f ca="1"/>
        <v>0</v>
      </c>
      <c r="U156" s="1968">
        <f ca="1"/>
        <v>0</v>
      </c>
      <c r="V156" s="1968">
        <f ca="1"/>
        <v>0</v>
      </c>
      <c r="W156" s="1968">
        <f ca="1"/>
        <v>0</v>
      </c>
      <c r="X156" s="1968">
        <f ca="1"/>
        <v>0</v>
      </c>
      <c r="Y156" s="1986">
        <f ca="1"/>
        <v>0</v>
      </c>
    </row>
    <row r="157" spans="1:26">
      <c r="A157" s="1971" t="str">
        <v>10 meses antes</v>
      </c>
      <c r="B157" s="1967"/>
      <c r="C157" s="1967"/>
      <c r="D157" s="592">
        <f t="array" aca="1" ref="D157:O157" ca="1">B22:M22*Produccion!$D$10</f>
        <v>0</v>
      </c>
      <c r="E157" s="592">
        <f ca="1"/>
        <v>0</v>
      </c>
      <c r="F157" s="592">
        <f ca="1"/>
        <v>0</v>
      </c>
      <c r="G157" s="592">
        <f ca="1"/>
        <v>0</v>
      </c>
      <c r="H157" s="592">
        <f ca="1"/>
        <v>0</v>
      </c>
      <c r="I157" s="592">
        <f ca="1"/>
        <v>0</v>
      </c>
      <c r="J157" s="592">
        <f ca="1"/>
        <v>0</v>
      </c>
      <c r="K157" s="592">
        <f ca="1"/>
        <v>0</v>
      </c>
      <c r="L157" s="592">
        <f ca="1"/>
        <v>0</v>
      </c>
      <c r="M157" s="592">
        <f ca="1"/>
        <v>0</v>
      </c>
      <c r="N157" s="592">
        <f ca="1"/>
        <v>0</v>
      </c>
      <c r="O157" s="592">
        <f ca="1"/>
        <v>0</v>
      </c>
      <c r="P157" s="1968">
        <f t="array" aca="1" ref="P157:P159" ca="1">'Distr CV 1'!D157:D159</f>
        <v>0</v>
      </c>
      <c r="Q157" s="1968">
        <f ca="1"/>
        <v>0</v>
      </c>
      <c r="R157" s="1968">
        <f ca="1"/>
        <v>0</v>
      </c>
      <c r="S157" s="1968">
        <f ca="1"/>
        <v>0</v>
      </c>
      <c r="T157" s="1968">
        <f ca="1"/>
        <v>0</v>
      </c>
      <c r="U157" s="1968">
        <f ca="1"/>
        <v>0</v>
      </c>
      <c r="V157" s="1968">
        <f ca="1"/>
        <v>0</v>
      </c>
      <c r="W157" s="1968">
        <f ca="1"/>
        <v>0</v>
      </c>
      <c r="X157" s="1968">
        <f ca="1"/>
        <v>0</v>
      </c>
      <c r="Y157" s="1986">
        <f ca="1"/>
        <v>0</v>
      </c>
    </row>
    <row r="158" spans="1:26">
      <c r="A158" s="1971" t="str">
        <v>11 meses antes</v>
      </c>
      <c r="B158" s="1967"/>
      <c r="C158" s="592">
        <f t="array" aca="1" ref="C158:N158" ca="1">B22:M22*Produccion!$C$10</f>
        <v>0</v>
      </c>
      <c r="D158" s="592">
        <f ca="1"/>
        <v>0</v>
      </c>
      <c r="E158" s="592">
        <f ca="1"/>
        <v>0</v>
      </c>
      <c r="F158" s="592">
        <f ca="1"/>
        <v>0</v>
      </c>
      <c r="G158" s="592">
        <f ca="1"/>
        <v>0</v>
      </c>
      <c r="H158" s="592">
        <f ca="1"/>
        <v>0</v>
      </c>
      <c r="I158" s="592">
        <f ca="1"/>
        <v>0</v>
      </c>
      <c r="J158" s="592">
        <f ca="1"/>
        <v>0</v>
      </c>
      <c r="K158" s="592">
        <f ca="1"/>
        <v>0</v>
      </c>
      <c r="L158" s="592">
        <f ca="1"/>
        <v>0</v>
      </c>
      <c r="M158" s="592">
        <f ca="1"/>
        <v>0</v>
      </c>
      <c r="N158" s="592">
        <f ca="1"/>
        <v>0</v>
      </c>
      <c r="O158" s="1968">
        <f t="array" aca="1" ref="O158:O159" ca="1">'Distr CV 1'!C158:C159</f>
        <v>0</v>
      </c>
      <c r="P158" s="1968">
        <f ca="1"/>
        <v>0</v>
      </c>
      <c r="Q158" s="1968">
        <f ca="1"/>
        <v>0</v>
      </c>
      <c r="R158" s="1968">
        <f ca="1"/>
        <v>0</v>
      </c>
      <c r="S158" s="1968">
        <f ca="1"/>
        <v>0</v>
      </c>
      <c r="T158" s="1968">
        <f ca="1"/>
        <v>0</v>
      </c>
      <c r="U158" s="1968">
        <f ca="1"/>
        <v>0</v>
      </c>
      <c r="V158" s="1968">
        <f ca="1"/>
        <v>0</v>
      </c>
      <c r="W158" s="1968">
        <f ca="1"/>
        <v>0</v>
      </c>
      <c r="X158" s="1968">
        <f ca="1"/>
        <v>0</v>
      </c>
      <c r="Y158" s="1986">
        <f ca="1"/>
        <v>0</v>
      </c>
    </row>
    <row r="159" spans="1:26" ht="13.5" thickBot="1">
      <c r="A159" s="1971" t="str">
        <v>12 meses antes</v>
      </c>
      <c r="B159" s="592">
        <f t="array" aca="1" ref="B159:M159" ca="1">B22:M22*Produccion!$B$10</f>
        <v>0</v>
      </c>
      <c r="C159" s="592">
        <f ca="1"/>
        <v>0</v>
      </c>
      <c r="D159" s="592">
        <f ca="1"/>
        <v>0</v>
      </c>
      <c r="E159" s="592">
        <f ca="1"/>
        <v>0</v>
      </c>
      <c r="F159" s="592">
        <f ca="1"/>
        <v>0</v>
      </c>
      <c r="G159" s="592">
        <f ca="1"/>
        <v>0</v>
      </c>
      <c r="H159" s="592">
        <f ca="1"/>
        <v>0</v>
      </c>
      <c r="I159" s="592">
        <f ca="1"/>
        <v>0</v>
      </c>
      <c r="J159" s="592">
        <f ca="1"/>
        <v>0</v>
      </c>
      <c r="K159" s="592">
        <f ca="1"/>
        <v>0</v>
      </c>
      <c r="L159" s="592">
        <f ca="1"/>
        <v>0</v>
      </c>
      <c r="M159" s="592">
        <f ca="1"/>
        <v>0</v>
      </c>
      <c r="N159" s="1967">
        <f ca="1">'Distr CV 1'!B159</f>
        <v>0</v>
      </c>
      <c r="O159" s="1968">
        <f ca="1"/>
        <v>0</v>
      </c>
      <c r="P159" s="1968">
        <f ca="1"/>
        <v>0</v>
      </c>
      <c r="Q159" s="1968">
        <f ca="1"/>
        <v>0</v>
      </c>
      <c r="R159" s="1968">
        <f ca="1"/>
        <v>0</v>
      </c>
      <c r="S159" s="1968">
        <f ca="1"/>
        <v>0</v>
      </c>
      <c r="T159" s="1968">
        <f ca="1"/>
        <v>0</v>
      </c>
      <c r="U159" s="1968">
        <f ca="1"/>
        <v>0</v>
      </c>
      <c r="V159" s="1968">
        <f ca="1"/>
        <v>0</v>
      </c>
      <c r="W159" s="1968">
        <f ca="1"/>
        <v>0</v>
      </c>
      <c r="X159" s="1968">
        <f ca="1"/>
        <v>0</v>
      </c>
      <c r="Y159" s="1986">
        <f ca="1"/>
        <v>0</v>
      </c>
    </row>
    <row r="160" spans="1:26" ht="15.75" customHeight="1" thickBot="1">
      <c r="A160" s="103" t="str">
        <f>"Totales CV "&amp;A$10</f>
        <v xml:space="preserve">Totales CV </v>
      </c>
      <c r="B160" s="596">
        <f t="shared" ref="B160:Y160" ca="1" si="12">SUM(B147:B159)</f>
        <v>0</v>
      </c>
      <c r="C160" s="596">
        <f t="shared" ca="1" si="12"/>
        <v>0</v>
      </c>
      <c r="D160" s="596">
        <f t="shared" ca="1" si="12"/>
        <v>0</v>
      </c>
      <c r="E160" s="596">
        <f t="shared" ca="1" si="12"/>
        <v>0</v>
      </c>
      <c r="F160" s="596">
        <f t="shared" ca="1" si="12"/>
        <v>0</v>
      </c>
      <c r="G160" s="596">
        <f t="shared" ca="1" si="12"/>
        <v>0</v>
      </c>
      <c r="H160" s="596">
        <f t="shared" ca="1" si="12"/>
        <v>0</v>
      </c>
      <c r="I160" s="596">
        <f t="shared" ca="1" si="12"/>
        <v>0</v>
      </c>
      <c r="J160" s="596">
        <f t="shared" ca="1" si="12"/>
        <v>0</v>
      </c>
      <c r="K160" s="596">
        <f t="shared" ca="1" si="12"/>
        <v>0</v>
      </c>
      <c r="L160" s="596">
        <f t="shared" ca="1" si="12"/>
        <v>0</v>
      </c>
      <c r="M160" s="596">
        <f t="shared" ca="1" si="12"/>
        <v>0</v>
      </c>
      <c r="N160" s="596">
        <f t="shared" ca="1" si="12"/>
        <v>0</v>
      </c>
      <c r="O160" s="596">
        <f t="shared" ca="1" si="12"/>
        <v>0</v>
      </c>
      <c r="P160" s="596">
        <f t="shared" ca="1" si="12"/>
        <v>0</v>
      </c>
      <c r="Q160" s="596">
        <f t="shared" ca="1" si="12"/>
        <v>0</v>
      </c>
      <c r="R160" s="596">
        <f t="shared" ca="1" si="12"/>
        <v>0</v>
      </c>
      <c r="S160" s="596">
        <f t="shared" ca="1" si="12"/>
        <v>0</v>
      </c>
      <c r="T160" s="596">
        <f t="shared" ca="1" si="12"/>
        <v>0</v>
      </c>
      <c r="U160" s="596">
        <f t="shared" ca="1" si="12"/>
        <v>0</v>
      </c>
      <c r="V160" s="596">
        <f t="shared" ca="1" si="12"/>
        <v>0</v>
      </c>
      <c r="W160" s="596">
        <f t="shared" ca="1" si="12"/>
        <v>0</v>
      </c>
      <c r="X160" s="596">
        <f t="shared" ca="1" si="12"/>
        <v>0</v>
      </c>
      <c r="Y160" s="1984">
        <f t="shared" ca="1" si="12"/>
        <v>0</v>
      </c>
    </row>
    <row r="161" spans="1:26" ht="15.75" customHeight="1" thickBot="1">
      <c r="A161" s="103" t="str">
        <f>'Datos Básicos'!A28&amp;" sop. CV "&amp;$A$10</f>
        <v xml:space="preserve">IVA sop. CV </v>
      </c>
      <c r="B161" s="596">
        <f t="array" aca="1" ref="B161:Y161" ca="1">$K$145*B160:Y160</f>
        <v>0</v>
      </c>
      <c r="C161" s="596">
        <f ca="1"/>
        <v>0</v>
      </c>
      <c r="D161" s="596">
        <f ca="1"/>
        <v>0</v>
      </c>
      <c r="E161" s="596">
        <f ca="1"/>
        <v>0</v>
      </c>
      <c r="F161" s="596">
        <f ca="1"/>
        <v>0</v>
      </c>
      <c r="G161" s="596">
        <f ca="1"/>
        <v>0</v>
      </c>
      <c r="H161" s="596">
        <f ca="1"/>
        <v>0</v>
      </c>
      <c r="I161" s="596">
        <f ca="1"/>
        <v>0</v>
      </c>
      <c r="J161" s="596">
        <f ca="1"/>
        <v>0</v>
      </c>
      <c r="K161" s="596">
        <f ca="1"/>
        <v>0</v>
      </c>
      <c r="L161" s="596">
        <f ca="1"/>
        <v>0</v>
      </c>
      <c r="M161" s="596">
        <f ca="1"/>
        <v>0</v>
      </c>
      <c r="N161" s="596">
        <f ca="1"/>
        <v>0</v>
      </c>
      <c r="O161" s="596">
        <f ca="1"/>
        <v>0</v>
      </c>
      <c r="P161" s="596">
        <f ca="1"/>
        <v>0</v>
      </c>
      <c r="Q161" s="596">
        <f ca="1"/>
        <v>0</v>
      </c>
      <c r="R161" s="596">
        <f ca="1"/>
        <v>0</v>
      </c>
      <c r="S161" s="596">
        <f ca="1"/>
        <v>0</v>
      </c>
      <c r="T161" s="596">
        <f ca="1"/>
        <v>0</v>
      </c>
      <c r="U161" s="596">
        <f ca="1"/>
        <v>0</v>
      </c>
      <c r="V161" s="596">
        <f ca="1"/>
        <v>0</v>
      </c>
      <c r="W161" s="596">
        <f ca="1"/>
        <v>0</v>
      </c>
      <c r="X161" s="596">
        <f ca="1"/>
        <v>0</v>
      </c>
      <c r="Y161" s="1984">
        <f ca="1"/>
        <v>0</v>
      </c>
    </row>
    <row r="163" spans="1:26" ht="18.75" thickBot="1">
      <c r="A163" s="1969" t="str">
        <f>"Compras / costes de producción por meses de "&amp;A$11</f>
        <v xml:space="preserve">Compras / costes de producción por meses de </v>
      </c>
      <c r="I163" s="1969" t="str">
        <f>I$44</f>
        <v>IVA NO incluido</v>
      </c>
      <c r="K163" s="1981">
        <f>Parametros!$F$27</f>
        <v>0.21</v>
      </c>
    </row>
    <row r="164" spans="1:26" s="445" customFormat="1" ht="30" customHeight="1" thickBot="1">
      <c r="A164" s="446" t="str">
        <f>A$110</f>
        <v>mes de compra / coste</v>
      </c>
      <c r="B164" s="1987" t="str">
        <f t="array" ref="B164:Y164">B$71:Y$71</f>
        <v>enero
2025</v>
      </c>
      <c r="C164" s="1987" t="str">
        <v>febrero
2025</v>
      </c>
      <c r="D164" s="1987" t="str">
        <v>marzo
2025</v>
      </c>
      <c r="E164" s="1987" t="str">
        <v>abril
2025</v>
      </c>
      <c r="F164" s="1987" t="str">
        <v>mayo
2025</v>
      </c>
      <c r="G164" s="1987" t="str">
        <v>junio
2025</v>
      </c>
      <c r="H164" s="1987" t="str">
        <v>julio
2025</v>
      </c>
      <c r="I164" s="1987" t="str">
        <v>agosto
2025</v>
      </c>
      <c r="J164" s="1987" t="str">
        <v>septiembre
2025</v>
      </c>
      <c r="K164" s="1987" t="str">
        <v>octubre
2025</v>
      </c>
      <c r="L164" s="1987" t="str">
        <v>noviembre
2025</v>
      </c>
      <c r="M164" s="1987" t="str">
        <v>diciembre
2025</v>
      </c>
      <c r="N164" s="2703" t="str">
        <v>enero 
2026</v>
      </c>
      <c r="O164" s="2704" t="str">
        <v>febrero 
2026</v>
      </c>
      <c r="P164" s="2704" t="str">
        <v>marzo 
2026</v>
      </c>
      <c r="Q164" s="2704" t="str">
        <v>abril 
2026</v>
      </c>
      <c r="R164" s="2704" t="str">
        <v>mayo 
2026</v>
      </c>
      <c r="S164" s="2704" t="str">
        <v>junio 
2026</v>
      </c>
      <c r="T164" s="2704" t="str">
        <v>julio 
2026</v>
      </c>
      <c r="U164" s="2704" t="str">
        <v>agosto 
2026</v>
      </c>
      <c r="V164" s="2704" t="str">
        <v>septiembre 
2026</v>
      </c>
      <c r="W164" s="2704" t="str">
        <v>octubre 
2026</v>
      </c>
      <c r="X164" s="2704" t="str">
        <v>noviembre 
2026</v>
      </c>
      <c r="Y164" s="2705" t="str">
        <v>diciembre 
2026</v>
      </c>
      <c r="Z164" s="61"/>
    </row>
    <row r="165" spans="1:26">
      <c r="A165" s="1970" t="str">
        <f t="array" ref="A165:A177">A$72:A$84</f>
        <v>mismo mes</v>
      </c>
      <c r="B165" s="1967"/>
      <c r="C165" s="1967"/>
      <c r="D165" s="1967"/>
      <c r="E165" s="1967"/>
      <c r="F165" s="1967"/>
      <c r="G165" s="1967"/>
      <c r="H165" s="1967"/>
      <c r="I165" s="1967"/>
      <c r="J165" s="1967"/>
      <c r="K165" s="1967"/>
      <c r="L165" s="1967"/>
      <c r="M165" s="1967"/>
      <c r="N165" s="592">
        <f t="array" aca="1" ref="N165:Y165" ca="1">B23:M23*Produccion!$N$11</f>
        <v>0</v>
      </c>
      <c r="O165" s="592">
        <f ca="1"/>
        <v>0</v>
      </c>
      <c r="P165" s="592">
        <f ca="1"/>
        <v>0</v>
      </c>
      <c r="Q165" s="592">
        <f ca="1"/>
        <v>0</v>
      </c>
      <c r="R165" s="592">
        <f ca="1"/>
        <v>0</v>
      </c>
      <c r="S165" s="592">
        <f ca="1"/>
        <v>0</v>
      </c>
      <c r="T165" s="592">
        <f ca="1"/>
        <v>0</v>
      </c>
      <c r="U165" s="592">
        <f ca="1"/>
        <v>0</v>
      </c>
      <c r="V165" s="592">
        <f ca="1"/>
        <v>0</v>
      </c>
      <c r="W165" s="592">
        <f ca="1"/>
        <v>0</v>
      </c>
      <c r="X165" s="592">
        <f ca="1"/>
        <v>0</v>
      </c>
      <c r="Y165" s="1982">
        <f ca="1"/>
        <v>0</v>
      </c>
    </row>
    <row r="166" spans="1:26">
      <c r="A166" s="1971" t="str">
        <v>1 mes antes</v>
      </c>
      <c r="B166" s="1967"/>
      <c r="C166" s="1967"/>
      <c r="D166" s="1967"/>
      <c r="E166" s="1967"/>
      <c r="F166" s="1967"/>
      <c r="G166" s="1967"/>
      <c r="H166" s="1967"/>
      <c r="I166" s="1967"/>
      <c r="J166" s="1967"/>
      <c r="K166" s="1967"/>
      <c r="L166" s="1967"/>
      <c r="M166" s="592">
        <f t="array" aca="1" ref="M166:X166" ca="1">B23:M23*Produccion!$M$11</f>
        <v>0</v>
      </c>
      <c r="N166" s="592">
        <f ca="1"/>
        <v>0</v>
      </c>
      <c r="O166" s="592">
        <f ca="1"/>
        <v>0</v>
      </c>
      <c r="P166" s="592">
        <f ca="1"/>
        <v>0</v>
      </c>
      <c r="Q166" s="592">
        <f ca="1"/>
        <v>0</v>
      </c>
      <c r="R166" s="592">
        <f ca="1"/>
        <v>0</v>
      </c>
      <c r="S166" s="592">
        <f ca="1"/>
        <v>0</v>
      </c>
      <c r="T166" s="592">
        <f ca="1"/>
        <v>0</v>
      </c>
      <c r="U166" s="592">
        <f ca="1"/>
        <v>0</v>
      </c>
      <c r="V166" s="592">
        <f ca="1"/>
        <v>0</v>
      </c>
      <c r="W166" s="592">
        <f ca="1"/>
        <v>0</v>
      </c>
      <c r="X166" s="592">
        <f ca="1"/>
        <v>0</v>
      </c>
      <c r="Y166" s="1983">
        <f t="array" aca="1" ref="Y166:Y177" ca="1">'Distr CV 1'!M166:M177</f>
        <v>0</v>
      </c>
    </row>
    <row r="167" spans="1:26">
      <c r="A167" s="1971" t="str">
        <v>2 meses antes</v>
      </c>
      <c r="B167" s="1967"/>
      <c r="C167" s="1967"/>
      <c r="D167" s="1967"/>
      <c r="E167" s="1967"/>
      <c r="F167" s="1967"/>
      <c r="G167" s="1967"/>
      <c r="H167" s="1967"/>
      <c r="I167" s="1967"/>
      <c r="J167" s="1967"/>
      <c r="K167" s="1967"/>
      <c r="L167" s="592">
        <f t="array" aca="1" ref="L167:W167" ca="1">B23:M23*Produccion!$L$11</f>
        <v>0</v>
      </c>
      <c r="M167" s="592">
        <f ca="1"/>
        <v>0</v>
      </c>
      <c r="N167" s="592">
        <f ca="1"/>
        <v>0</v>
      </c>
      <c r="O167" s="592">
        <f ca="1"/>
        <v>0</v>
      </c>
      <c r="P167" s="592">
        <f ca="1"/>
        <v>0</v>
      </c>
      <c r="Q167" s="592">
        <f ca="1"/>
        <v>0</v>
      </c>
      <c r="R167" s="592">
        <f ca="1"/>
        <v>0</v>
      </c>
      <c r="S167" s="592">
        <f ca="1"/>
        <v>0</v>
      </c>
      <c r="T167" s="592">
        <f ca="1"/>
        <v>0</v>
      </c>
      <c r="U167" s="592">
        <f ca="1"/>
        <v>0</v>
      </c>
      <c r="V167" s="592">
        <f ca="1"/>
        <v>0</v>
      </c>
      <c r="W167" s="592">
        <f ca="1"/>
        <v>0</v>
      </c>
      <c r="X167" s="1964">
        <f t="array" aca="1" ref="X167:X177" ca="1">'Distr CV 1'!L167:L177</f>
        <v>0</v>
      </c>
      <c r="Y167" s="1983">
        <f ca="1"/>
        <v>0</v>
      </c>
    </row>
    <row r="168" spans="1:26">
      <c r="A168" s="1971" t="str">
        <v>3 meses antes</v>
      </c>
      <c r="B168" s="1967"/>
      <c r="C168" s="1967"/>
      <c r="D168" s="1967"/>
      <c r="E168" s="1967"/>
      <c r="F168" s="1967"/>
      <c r="G168" s="1967"/>
      <c r="H168" s="1967"/>
      <c r="I168" s="1967"/>
      <c r="J168" s="1967"/>
      <c r="K168" s="592">
        <f t="array" aca="1" ref="K168:V168" ca="1">B23:M23*Produccion!$K$11</f>
        <v>0</v>
      </c>
      <c r="L168" s="592">
        <f ca="1"/>
        <v>0</v>
      </c>
      <c r="M168" s="592">
        <f ca="1"/>
        <v>0</v>
      </c>
      <c r="N168" s="592">
        <f ca="1"/>
        <v>0</v>
      </c>
      <c r="O168" s="592">
        <f ca="1"/>
        <v>0</v>
      </c>
      <c r="P168" s="592">
        <f ca="1"/>
        <v>0</v>
      </c>
      <c r="Q168" s="592">
        <f ca="1"/>
        <v>0</v>
      </c>
      <c r="R168" s="592">
        <f ca="1"/>
        <v>0</v>
      </c>
      <c r="S168" s="592">
        <f ca="1"/>
        <v>0</v>
      </c>
      <c r="T168" s="592">
        <f ca="1"/>
        <v>0</v>
      </c>
      <c r="U168" s="592">
        <f ca="1"/>
        <v>0</v>
      </c>
      <c r="V168" s="592">
        <f ca="1"/>
        <v>0</v>
      </c>
      <c r="W168" s="1964">
        <f t="array" aca="1" ref="W168:W177" ca="1">'Distr CV 1'!K168:K177</f>
        <v>0</v>
      </c>
      <c r="X168" s="1964">
        <f ca="1"/>
        <v>0</v>
      </c>
      <c r="Y168" s="1983">
        <f ca="1"/>
        <v>0</v>
      </c>
    </row>
    <row r="169" spans="1:26">
      <c r="A169" s="1971" t="str">
        <v>4 meses antes</v>
      </c>
      <c r="B169" s="1967"/>
      <c r="C169" s="1967"/>
      <c r="D169" s="1967"/>
      <c r="E169" s="1967"/>
      <c r="F169" s="1967"/>
      <c r="G169" s="1967"/>
      <c r="H169" s="1967"/>
      <c r="I169" s="1967"/>
      <c r="J169" s="592">
        <f t="array" aca="1" ref="J169:U169" ca="1">B23:M23*Produccion!$J$11</f>
        <v>0</v>
      </c>
      <c r="K169" s="592">
        <f ca="1"/>
        <v>0</v>
      </c>
      <c r="L169" s="592">
        <f ca="1"/>
        <v>0</v>
      </c>
      <c r="M169" s="592">
        <f ca="1"/>
        <v>0</v>
      </c>
      <c r="N169" s="592">
        <f ca="1"/>
        <v>0</v>
      </c>
      <c r="O169" s="592">
        <f ca="1"/>
        <v>0</v>
      </c>
      <c r="P169" s="592">
        <f ca="1"/>
        <v>0</v>
      </c>
      <c r="Q169" s="592">
        <f ca="1"/>
        <v>0</v>
      </c>
      <c r="R169" s="592">
        <f ca="1"/>
        <v>0</v>
      </c>
      <c r="S169" s="592">
        <f ca="1"/>
        <v>0</v>
      </c>
      <c r="T169" s="592">
        <f ca="1"/>
        <v>0</v>
      </c>
      <c r="U169" s="592">
        <f ca="1"/>
        <v>0</v>
      </c>
      <c r="V169" s="1964">
        <f t="array" aca="1" ref="V169:V177" ca="1">'Distr CV 1'!J169:J177</f>
        <v>0</v>
      </c>
      <c r="W169" s="1964">
        <f ca="1"/>
        <v>0</v>
      </c>
      <c r="X169" s="1964">
        <f ca="1"/>
        <v>0</v>
      </c>
      <c r="Y169" s="1983">
        <f ca="1"/>
        <v>0</v>
      </c>
    </row>
    <row r="170" spans="1:26">
      <c r="A170" s="1971" t="str">
        <v>5 meses antes</v>
      </c>
      <c r="B170" s="1967"/>
      <c r="C170" s="1967"/>
      <c r="D170" s="1967"/>
      <c r="E170" s="1967"/>
      <c r="F170" s="1967"/>
      <c r="G170" s="1967"/>
      <c r="H170" s="1967"/>
      <c r="I170" s="592">
        <f t="array" aca="1" ref="I170:T170" ca="1">B23:M23*Produccion!$I$11</f>
        <v>0</v>
      </c>
      <c r="J170" s="592">
        <f ca="1"/>
        <v>0</v>
      </c>
      <c r="K170" s="592">
        <f ca="1"/>
        <v>0</v>
      </c>
      <c r="L170" s="592">
        <f ca="1"/>
        <v>0</v>
      </c>
      <c r="M170" s="592">
        <f ca="1"/>
        <v>0</v>
      </c>
      <c r="N170" s="592">
        <f ca="1"/>
        <v>0</v>
      </c>
      <c r="O170" s="592">
        <f ca="1"/>
        <v>0</v>
      </c>
      <c r="P170" s="592">
        <f ca="1"/>
        <v>0</v>
      </c>
      <c r="Q170" s="592">
        <f ca="1"/>
        <v>0</v>
      </c>
      <c r="R170" s="592">
        <f ca="1"/>
        <v>0</v>
      </c>
      <c r="S170" s="592">
        <f ca="1"/>
        <v>0</v>
      </c>
      <c r="T170" s="592">
        <f ca="1"/>
        <v>0</v>
      </c>
      <c r="U170" s="1964">
        <f t="array" aca="1" ref="U170:U177" ca="1">'Distr CV 1'!I170:I177</f>
        <v>0</v>
      </c>
      <c r="V170" s="1964">
        <f ca="1"/>
        <v>0</v>
      </c>
      <c r="W170" s="1964">
        <f ca="1"/>
        <v>0</v>
      </c>
      <c r="X170" s="1964">
        <f ca="1"/>
        <v>0</v>
      </c>
      <c r="Y170" s="1983">
        <f ca="1"/>
        <v>0</v>
      </c>
    </row>
    <row r="171" spans="1:26">
      <c r="A171" s="1971" t="str">
        <v>6 meses antes</v>
      </c>
      <c r="B171" s="1967"/>
      <c r="C171" s="1967"/>
      <c r="D171" s="1967"/>
      <c r="E171" s="1967"/>
      <c r="F171" s="1967"/>
      <c r="G171" s="1967"/>
      <c r="H171" s="592">
        <f t="array" aca="1" ref="H171:S171" ca="1">B23:M23*Produccion!$H$11</f>
        <v>0</v>
      </c>
      <c r="I171" s="592">
        <f ca="1"/>
        <v>0</v>
      </c>
      <c r="J171" s="592">
        <f ca="1"/>
        <v>0</v>
      </c>
      <c r="K171" s="592">
        <f ca="1"/>
        <v>0</v>
      </c>
      <c r="L171" s="592">
        <f ca="1"/>
        <v>0</v>
      </c>
      <c r="M171" s="592">
        <f ca="1"/>
        <v>0</v>
      </c>
      <c r="N171" s="592">
        <f ca="1"/>
        <v>0</v>
      </c>
      <c r="O171" s="592">
        <f ca="1"/>
        <v>0</v>
      </c>
      <c r="P171" s="592">
        <f ca="1"/>
        <v>0</v>
      </c>
      <c r="Q171" s="592">
        <f ca="1"/>
        <v>0</v>
      </c>
      <c r="R171" s="592">
        <f ca="1"/>
        <v>0</v>
      </c>
      <c r="S171" s="592">
        <f ca="1"/>
        <v>0</v>
      </c>
      <c r="T171" s="1964">
        <f t="array" aca="1" ref="T171:T177" ca="1">'Distr CV 1'!H171:H177</f>
        <v>0</v>
      </c>
      <c r="U171" s="1964">
        <f ca="1"/>
        <v>0</v>
      </c>
      <c r="V171" s="1964">
        <f ca="1"/>
        <v>0</v>
      </c>
      <c r="W171" s="1964">
        <f ca="1"/>
        <v>0</v>
      </c>
      <c r="X171" s="1964">
        <f ca="1"/>
        <v>0</v>
      </c>
      <c r="Y171" s="1983">
        <f ca="1"/>
        <v>0</v>
      </c>
    </row>
    <row r="172" spans="1:26">
      <c r="A172" s="1971" t="str">
        <v>7 meses antes</v>
      </c>
      <c r="B172" s="1967"/>
      <c r="C172" s="1967"/>
      <c r="D172" s="1967"/>
      <c r="E172" s="1967"/>
      <c r="F172" s="1967"/>
      <c r="G172" s="592">
        <f t="array" aca="1" ref="G172:R172" ca="1">B23:M23*Produccion!$G$11</f>
        <v>0</v>
      </c>
      <c r="H172" s="592">
        <f ca="1"/>
        <v>0</v>
      </c>
      <c r="I172" s="592">
        <f ca="1"/>
        <v>0</v>
      </c>
      <c r="J172" s="592">
        <f ca="1"/>
        <v>0</v>
      </c>
      <c r="K172" s="592">
        <f ca="1"/>
        <v>0</v>
      </c>
      <c r="L172" s="592">
        <f ca="1"/>
        <v>0</v>
      </c>
      <c r="M172" s="592">
        <f ca="1"/>
        <v>0</v>
      </c>
      <c r="N172" s="592">
        <f ca="1"/>
        <v>0</v>
      </c>
      <c r="O172" s="592">
        <f ca="1"/>
        <v>0</v>
      </c>
      <c r="P172" s="592">
        <f ca="1"/>
        <v>0</v>
      </c>
      <c r="Q172" s="592">
        <f ca="1"/>
        <v>0</v>
      </c>
      <c r="R172" s="592">
        <f ca="1"/>
        <v>0</v>
      </c>
      <c r="S172" s="1968">
        <f t="array" aca="1" ref="S172:S177" ca="1">'Distr CV 1'!G172:G177</f>
        <v>0</v>
      </c>
      <c r="T172" s="1968">
        <f ca="1"/>
        <v>0</v>
      </c>
      <c r="U172" s="1968">
        <f ca="1"/>
        <v>0</v>
      </c>
      <c r="V172" s="1968">
        <f ca="1"/>
        <v>0</v>
      </c>
      <c r="W172" s="1968">
        <f ca="1"/>
        <v>0</v>
      </c>
      <c r="X172" s="1968">
        <f ca="1"/>
        <v>0</v>
      </c>
      <c r="Y172" s="1986">
        <f ca="1"/>
        <v>0</v>
      </c>
    </row>
    <row r="173" spans="1:26">
      <c r="A173" s="1971" t="str">
        <v>8 meses antes</v>
      </c>
      <c r="B173" s="1967"/>
      <c r="C173" s="1967"/>
      <c r="D173" s="1967"/>
      <c r="E173" s="1967"/>
      <c r="F173" s="592">
        <f t="array" aca="1" ref="F173:Q173" ca="1">B23:M23*Produccion!$F$11</f>
        <v>0</v>
      </c>
      <c r="G173" s="592">
        <f ca="1"/>
        <v>0</v>
      </c>
      <c r="H173" s="592">
        <f ca="1"/>
        <v>0</v>
      </c>
      <c r="I173" s="592">
        <f ca="1"/>
        <v>0</v>
      </c>
      <c r="J173" s="592">
        <f ca="1"/>
        <v>0</v>
      </c>
      <c r="K173" s="592">
        <f ca="1"/>
        <v>0</v>
      </c>
      <c r="L173" s="592">
        <f ca="1"/>
        <v>0</v>
      </c>
      <c r="M173" s="592">
        <f ca="1"/>
        <v>0</v>
      </c>
      <c r="N173" s="592">
        <f ca="1"/>
        <v>0</v>
      </c>
      <c r="O173" s="592">
        <f ca="1"/>
        <v>0</v>
      </c>
      <c r="P173" s="592">
        <f ca="1"/>
        <v>0</v>
      </c>
      <c r="Q173" s="592">
        <f ca="1"/>
        <v>0</v>
      </c>
      <c r="R173" s="1968">
        <f t="array" aca="1" ref="R173:R177" ca="1">'Distr CV 1'!F173:F177</f>
        <v>0</v>
      </c>
      <c r="S173" s="1968">
        <f ca="1"/>
        <v>0</v>
      </c>
      <c r="T173" s="1968">
        <f ca="1"/>
        <v>0</v>
      </c>
      <c r="U173" s="1968">
        <f ca="1"/>
        <v>0</v>
      </c>
      <c r="V173" s="1968">
        <f ca="1"/>
        <v>0</v>
      </c>
      <c r="W173" s="1968">
        <f ca="1"/>
        <v>0</v>
      </c>
      <c r="X173" s="1968">
        <f ca="1"/>
        <v>0</v>
      </c>
      <c r="Y173" s="1986">
        <f ca="1"/>
        <v>0</v>
      </c>
    </row>
    <row r="174" spans="1:26">
      <c r="A174" s="1971" t="str">
        <v>9 meses antes</v>
      </c>
      <c r="B174" s="1967"/>
      <c r="C174" s="1967"/>
      <c r="D174" s="1967"/>
      <c r="E174" s="592">
        <f t="array" aca="1" ref="E174:P174" ca="1">B23:M23*Produccion!$E$11</f>
        <v>0</v>
      </c>
      <c r="F174" s="592">
        <f ca="1"/>
        <v>0</v>
      </c>
      <c r="G174" s="592">
        <f ca="1"/>
        <v>0</v>
      </c>
      <c r="H174" s="592">
        <f ca="1"/>
        <v>0</v>
      </c>
      <c r="I174" s="592">
        <f ca="1"/>
        <v>0</v>
      </c>
      <c r="J174" s="592">
        <f ca="1"/>
        <v>0</v>
      </c>
      <c r="K174" s="592">
        <f ca="1"/>
        <v>0</v>
      </c>
      <c r="L174" s="592">
        <f ca="1"/>
        <v>0</v>
      </c>
      <c r="M174" s="592">
        <f ca="1"/>
        <v>0</v>
      </c>
      <c r="N174" s="592">
        <f ca="1"/>
        <v>0</v>
      </c>
      <c r="O174" s="592">
        <f ca="1"/>
        <v>0</v>
      </c>
      <c r="P174" s="592">
        <f ca="1"/>
        <v>0</v>
      </c>
      <c r="Q174" s="1968">
        <f t="array" aca="1" ref="Q174:Q177" ca="1">'Distr CV 1'!E174:F177</f>
        <v>0</v>
      </c>
      <c r="R174" s="1968">
        <f ca="1"/>
        <v>0</v>
      </c>
      <c r="S174" s="1968">
        <f ca="1"/>
        <v>0</v>
      </c>
      <c r="T174" s="1968">
        <f ca="1"/>
        <v>0</v>
      </c>
      <c r="U174" s="1968">
        <f ca="1"/>
        <v>0</v>
      </c>
      <c r="V174" s="1968">
        <f ca="1"/>
        <v>0</v>
      </c>
      <c r="W174" s="1968">
        <f ca="1"/>
        <v>0</v>
      </c>
      <c r="X174" s="1968">
        <f ca="1"/>
        <v>0</v>
      </c>
      <c r="Y174" s="1986">
        <f ca="1"/>
        <v>0</v>
      </c>
    </row>
    <row r="175" spans="1:26">
      <c r="A175" s="1971" t="str">
        <v>10 meses antes</v>
      </c>
      <c r="B175" s="1967"/>
      <c r="C175" s="1967"/>
      <c r="D175" s="592">
        <f t="array" aca="1" ref="D175:O175" ca="1">B23:M23*Produccion!$D$11</f>
        <v>0</v>
      </c>
      <c r="E175" s="592">
        <f ca="1"/>
        <v>0</v>
      </c>
      <c r="F175" s="592">
        <f ca="1"/>
        <v>0</v>
      </c>
      <c r="G175" s="592">
        <f ca="1"/>
        <v>0</v>
      </c>
      <c r="H175" s="592">
        <f ca="1"/>
        <v>0</v>
      </c>
      <c r="I175" s="592">
        <f ca="1"/>
        <v>0</v>
      </c>
      <c r="J175" s="592">
        <f ca="1"/>
        <v>0</v>
      </c>
      <c r="K175" s="592">
        <f ca="1"/>
        <v>0</v>
      </c>
      <c r="L175" s="592">
        <f ca="1"/>
        <v>0</v>
      </c>
      <c r="M175" s="592">
        <f ca="1"/>
        <v>0</v>
      </c>
      <c r="N175" s="592">
        <f ca="1"/>
        <v>0</v>
      </c>
      <c r="O175" s="592">
        <f ca="1"/>
        <v>0</v>
      </c>
      <c r="P175" s="1968">
        <f t="array" aca="1" ref="P175:P177" ca="1">'Distr CV 1'!D175:D177</f>
        <v>0</v>
      </c>
      <c r="Q175" s="1968">
        <f ca="1"/>
        <v>0</v>
      </c>
      <c r="R175" s="1968">
        <f ca="1"/>
        <v>0</v>
      </c>
      <c r="S175" s="1968">
        <f ca="1"/>
        <v>0</v>
      </c>
      <c r="T175" s="1968">
        <f ca="1"/>
        <v>0</v>
      </c>
      <c r="U175" s="1968">
        <f ca="1"/>
        <v>0</v>
      </c>
      <c r="V175" s="1968">
        <f ca="1"/>
        <v>0</v>
      </c>
      <c r="W175" s="1968">
        <f ca="1"/>
        <v>0</v>
      </c>
      <c r="X175" s="1968">
        <f ca="1"/>
        <v>0</v>
      </c>
      <c r="Y175" s="1986">
        <f ca="1"/>
        <v>0</v>
      </c>
    </row>
    <row r="176" spans="1:26">
      <c r="A176" s="1971" t="str">
        <v>11 meses antes</v>
      </c>
      <c r="B176" s="1967"/>
      <c r="C176" s="592">
        <f t="array" aca="1" ref="C176:N176" ca="1">B23:M23*Produccion!$C$11</f>
        <v>0</v>
      </c>
      <c r="D176" s="592">
        <f ca="1"/>
        <v>0</v>
      </c>
      <c r="E176" s="592">
        <f ca="1"/>
        <v>0</v>
      </c>
      <c r="F176" s="592">
        <f ca="1"/>
        <v>0</v>
      </c>
      <c r="G176" s="592">
        <f ca="1"/>
        <v>0</v>
      </c>
      <c r="H176" s="592">
        <f ca="1"/>
        <v>0</v>
      </c>
      <c r="I176" s="592">
        <f ca="1"/>
        <v>0</v>
      </c>
      <c r="J176" s="592">
        <f ca="1"/>
        <v>0</v>
      </c>
      <c r="K176" s="592">
        <f ca="1"/>
        <v>0</v>
      </c>
      <c r="L176" s="592">
        <f ca="1"/>
        <v>0</v>
      </c>
      <c r="M176" s="592">
        <f ca="1"/>
        <v>0</v>
      </c>
      <c r="N176" s="592">
        <f ca="1"/>
        <v>0</v>
      </c>
      <c r="O176" s="1968">
        <f t="array" aca="1" ref="O176:O177" ca="1">'Distr CV 1'!C176:C177</f>
        <v>0</v>
      </c>
      <c r="P176" s="1968">
        <f ca="1"/>
        <v>0</v>
      </c>
      <c r="Q176" s="1968">
        <f ca="1"/>
        <v>0</v>
      </c>
      <c r="R176" s="1968">
        <f ca="1"/>
        <v>0</v>
      </c>
      <c r="S176" s="1968">
        <f ca="1"/>
        <v>0</v>
      </c>
      <c r="T176" s="1968">
        <f ca="1"/>
        <v>0</v>
      </c>
      <c r="U176" s="1968">
        <f ca="1"/>
        <v>0</v>
      </c>
      <c r="V176" s="1968">
        <f ca="1"/>
        <v>0</v>
      </c>
      <c r="W176" s="1968">
        <f ca="1"/>
        <v>0</v>
      </c>
      <c r="X176" s="1968">
        <f ca="1"/>
        <v>0</v>
      </c>
      <c r="Y176" s="1986">
        <f ca="1"/>
        <v>0</v>
      </c>
    </row>
    <row r="177" spans="1:26" ht="13.5" thickBot="1">
      <c r="A177" s="1971" t="str">
        <v>12 meses antes</v>
      </c>
      <c r="B177" s="592">
        <f t="array" aca="1" ref="B177:M177" ca="1">B23:M23*Produccion!$B$11</f>
        <v>0</v>
      </c>
      <c r="C177" s="592">
        <f ca="1"/>
        <v>0</v>
      </c>
      <c r="D177" s="592">
        <f ca="1"/>
        <v>0</v>
      </c>
      <c r="E177" s="592">
        <f ca="1"/>
        <v>0</v>
      </c>
      <c r="F177" s="592">
        <f ca="1"/>
        <v>0</v>
      </c>
      <c r="G177" s="592">
        <f ca="1"/>
        <v>0</v>
      </c>
      <c r="H177" s="592">
        <f ca="1"/>
        <v>0</v>
      </c>
      <c r="I177" s="592">
        <f ca="1"/>
        <v>0</v>
      </c>
      <c r="J177" s="592">
        <f ca="1"/>
        <v>0</v>
      </c>
      <c r="K177" s="592">
        <f ca="1"/>
        <v>0</v>
      </c>
      <c r="L177" s="592">
        <f ca="1"/>
        <v>0</v>
      </c>
      <c r="M177" s="592">
        <f ca="1"/>
        <v>0</v>
      </c>
      <c r="N177" s="1967">
        <f ca="1">'Distr CV 1'!B177</f>
        <v>0</v>
      </c>
      <c r="O177" s="1968">
        <f ca="1"/>
        <v>0</v>
      </c>
      <c r="P177" s="1968">
        <f ca="1"/>
        <v>0</v>
      </c>
      <c r="Q177" s="1968">
        <f ca="1"/>
        <v>0</v>
      </c>
      <c r="R177" s="1968">
        <f ca="1"/>
        <v>0</v>
      </c>
      <c r="S177" s="1968">
        <f ca="1"/>
        <v>0</v>
      </c>
      <c r="T177" s="1968">
        <f ca="1"/>
        <v>0</v>
      </c>
      <c r="U177" s="1968">
        <f ca="1"/>
        <v>0</v>
      </c>
      <c r="V177" s="1968">
        <f ca="1"/>
        <v>0</v>
      </c>
      <c r="W177" s="1968">
        <f ca="1"/>
        <v>0</v>
      </c>
      <c r="X177" s="1968">
        <f ca="1"/>
        <v>0</v>
      </c>
      <c r="Y177" s="1986">
        <f ca="1"/>
        <v>0</v>
      </c>
    </row>
    <row r="178" spans="1:26" ht="15.75" customHeight="1" thickBot="1">
      <c r="A178" s="103" t="str">
        <f>"Totales CV "&amp;A$11</f>
        <v xml:space="preserve">Totales CV </v>
      </c>
      <c r="B178" s="596">
        <f t="shared" ref="B178:Y178" ca="1" si="13">SUM(B165:B177)</f>
        <v>0</v>
      </c>
      <c r="C178" s="596">
        <f t="shared" ca="1" si="13"/>
        <v>0</v>
      </c>
      <c r="D178" s="596">
        <f t="shared" ca="1" si="13"/>
        <v>0</v>
      </c>
      <c r="E178" s="596">
        <f t="shared" ca="1" si="13"/>
        <v>0</v>
      </c>
      <c r="F178" s="596">
        <f t="shared" ca="1" si="13"/>
        <v>0</v>
      </c>
      <c r="G178" s="596">
        <f t="shared" ca="1" si="13"/>
        <v>0</v>
      </c>
      <c r="H178" s="596">
        <f t="shared" ca="1" si="13"/>
        <v>0</v>
      </c>
      <c r="I178" s="596">
        <f t="shared" ca="1" si="13"/>
        <v>0</v>
      </c>
      <c r="J178" s="596">
        <f t="shared" ca="1" si="13"/>
        <v>0</v>
      </c>
      <c r="K178" s="596">
        <f t="shared" ca="1" si="13"/>
        <v>0</v>
      </c>
      <c r="L178" s="596">
        <f t="shared" ca="1" si="13"/>
        <v>0</v>
      </c>
      <c r="M178" s="596">
        <f t="shared" ca="1" si="13"/>
        <v>0</v>
      </c>
      <c r="N178" s="596">
        <f t="shared" ca="1" si="13"/>
        <v>0</v>
      </c>
      <c r="O178" s="596">
        <f t="shared" ca="1" si="13"/>
        <v>0</v>
      </c>
      <c r="P178" s="596">
        <f t="shared" ca="1" si="13"/>
        <v>0</v>
      </c>
      <c r="Q178" s="596">
        <f t="shared" ca="1" si="13"/>
        <v>0</v>
      </c>
      <c r="R178" s="596">
        <f t="shared" ca="1" si="13"/>
        <v>0</v>
      </c>
      <c r="S178" s="596">
        <f t="shared" ca="1" si="13"/>
        <v>0</v>
      </c>
      <c r="T178" s="596">
        <f t="shared" ca="1" si="13"/>
        <v>0</v>
      </c>
      <c r="U178" s="596">
        <f t="shared" ca="1" si="13"/>
        <v>0</v>
      </c>
      <c r="V178" s="596">
        <f t="shared" ca="1" si="13"/>
        <v>0</v>
      </c>
      <c r="W178" s="596">
        <f t="shared" ca="1" si="13"/>
        <v>0</v>
      </c>
      <c r="X178" s="596">
        <f t="shared" ca="1" si="13"/>
        <v>0</v>
      </c>
      <c r="Y178" s="1984">
        <f t="shared" ca="1" si="13"/>
        <v>0</v>
      </c>
    </row>
    <row r="179" spans="1:26" ht="15.75" customHeight="1" thickBot="1">
      <c r="A179" s="103" t="str">
        <f>'Datos Básicos'!A28&amp;" sop. CV "&amp;$A$11</f>
        <v xml:space="preserve">IVA sop. CV </v>
      </c>
      <c r="B179" s="596">
        <f t="array" aca="1" ref="B179:Y179" ca="1">$K$163*B178:Y178</f>
        <v>0</v>
      </c>
      <c r="C179" s="596">
        <f ca="1"/>
        <v>0</v>
      </c>
      <c r="D179" s="596">
        <f ca="1"/>
        <v>0</v>
      </c>
      <c r="E179" s="596">
        <f ca="1"/>
        <v>0</v>
      </c>
      <c r="F179" s="596">
        <f ca="1"/>
        <v>0</v>
      </c>
      <c r="G179" s="596">
        <f ca="1"/>
        <v>0</v>
      </c>
      <c r="H179" s="596">
        <f ca="1"/>
        <v>0</v>
      </c>
      <c r="I179" s="596">
        <f ca="1"/>
        <v>0</v>
      </c>
      <c r="J179" s="596">
        <f ca="1"/>
        <v>0</v>
      </c>
      <c r="K179" s="596">
        <f ca="1"/>
        <v>0</v>
      </c>
      <c r="L179" s="596">
        <f ca="1"/>
        <v>0</v>
      </c>
      <c r="M179" s="596">
        <f ca="1"/>
        <v>0</v>
      </c>
      <c r="N179" s="596">
        <f ca="1"/>
        <v>0</v>
      </c>
      <c r="O179" s="596">
        <f ca="1"/>
        <v>0</v>
      </c>
      <c r="P179" s="596">
        <f ca="1"/>
        <v>0</v>
      </c>
      <c r="Q179" s="596">
        <f ca="1"/>
        <v>0</v>
      </c>
      <c r="R179" s="596">
        <f ca="1"/>
        <v>0</v>
      </c>
      <c r="S179" s="596">
        <f ca="1"/>
        <v>0</v>
      </c>
      <c r="T179" s="596">
        <f ca="1"/>
        <v>0</v>
      </c>
      <c r="U179" s="596">
        <f ca="1"/>
        <v>0</v>
      </c>
      <c r="V179" s="596">
        <f ca="1"/>
        <v>0</v>
      </c>
      <c r="W179" s="596">
        <f ca="1"/>
        <v>0</v>
      </c>
      <c r="X179" s="596">
        <f ca="1"/>
        <v>0</v>
      </c>
      <c r="Y179" s="1984">
        <f ca="1"/>
        <v>0</v>
      </c>
    </row>
    <row r="181" spans="1:26" ht="18.75" thickBot="1">
      <c r="A181" s="1969" t="str">
        <f>"Compras / costes de producción por meses de "&amp;A$12</f>
        <v xml:space="preserve">Compras / costes de producción por meses de </v>
      </c>
      <c r="I181" s="1969" t="str">
        <f>I$44</f>
        <v>IVA NO incluido</v>
      </c>
      <c r="K181" s="1981">
        <f>Parametros!$F$28</f>
        <v>0.21</v>
      </c>
    </row>
    <row r="182" spans="1:26" s="445" customFormat="1" ht="31.5" customHeight="1" thickBot="1">
      <c r="A182" s="446" t="str">
        <f>A$110</f>
        <v>mes de compra / coste</v>
      </c>
      <c r="B182" s="1987" t="str">
        <f t="array" ref="B182:Y182">B$71:Y$71</f>
        <v>enero
2025</v>
      </c>
      <c r="C182" s="1987" t="str">
        <v>febrero
2025</v>
      </c>
      <c r="D182" s="1987" t="str">
        <v>marzo
2025</v>
      </c>
      <c r="E182" s="1987" t="str">
        <v>abril
2025</v>
      </c>
      <c r="F182" s="1987" t="str">
        <v>mayo
2025</v>
      </c>
      <c r="G182" s="1987" t="str">
        <v>junio
2025</v>
      </c>
      <c r="H182" s="1987" t="str">
        <v>julio
2025</v>
      </c>
      <c r="I182" s="1987" t="str">
        <v>agosto
2025</v>
      </c>
      <c r="J182" s="1987" t="str">
        <v>septiembre
2025</v>
      </c>
      <c r="K182" s="1987" t="str">
        <v>octubre
2025</v>
      </c>
      <c r="L182" s="1987" t="str">
        <v>noviembre
2025</v>
      </c>
      <c r="M182" s="1987" t="str">
        <v>diciembre
2025</v>
      </c>
      <c r="N182" s="2703" t="str">
        <v>enero 
2026</v>
      </c>
      <c r="O182" s="2704" t="str">
        <v>febrero 
2026</v>
      </c>
      <c r="P182" s="2704" t="str">
        <v>marzo 
2026</v>
      </c>
      <c r="Q182" s="2704" t="str">
        <v>abril 
2026</v>
      </c>
      <c r="R182" s="2704" t="str">
        <v>mayo 
2026</v>
      </c>
      <c r="S182" s="2704" t="str">
        <v>junio 
2026</v>
      </c>
      <c r="T182" s="2704" t="str">
        <v>julio 
2026</v>
      </c>
      <c r="U182" s="2704" t="str">
        <v>agosto 
2026</v>
      </c>
      <c r="V182" s="2704" t="str">
        <v>septiembre 
2026</v>
      </c>
      <c r="W182" s="2704" t="str">
        <v>octubre 
2026</v>
      </c>
      <c r="X182" s="2704" t="str">
        <v>noviembre 
2026</v>
      </c>
      <c r="Y182" s="2705" t="str">
        <v>diciembre 
2026</v>
      </c>
      <c r="Z182" s="61"/>
    </row>
    <row r="183" spans="1:26">
      <c r="A183" s="1970" t="str">
        <f t="array" ref="A183:A195">A$72:A$84</f>
        <v>mismo mes</v>
      </c>
      <c r="B183" s="1967"/>
      <c r="C183" s="1967"/>
      <c r="D183" s="1967"/>
      <c r="E183" s="1967"/>
      <c r="F183" s="1967"/>
      <c r="G183" s="1967"/>
      <c r="H183" s="1967"/>
      <c r="I183" s="1967"/>
      <c r="J183" s="1967"/>
      <c r="K183" s="1967"/>
      <c r="L183" s="1967"/>
      <c r="M183" s="1967"/>
      <c r="N183" s="592">
        <f t="array" aca="1" ref="N183:Y183" ca="1">B24:M24*Produccion!$N$12</f>
        <v>0</v>
      </c>
      <c r="O183" s="592">
        <f ca="1"/>
        <v>0</v>
      </c>
      <c r="P183" s="592">
        <f ca="1"/>
        <v>0</v>
      </c>
      <c r="Q183" s="592">
        <f ca="1"/>
        <v>0</v>
      </c>
      <c r="R183" s="592">
        <f ca="1"/>
        <v>0</v>
      </c>
      <c r="S183" s="592">
        <f ca="1"/>
        <v>0</v>
      </c>
      <c r="T183" s="592">
        <f ca="1"/>
        <v>0</v>
      </c>
      <c r="U183" s="592">
        <f ca="1"/>
        <v>0</v>
      </c>
      <c r="V183" s="592">
        <f ca="1"/>
        <v>0</v>
      </c>
      <c r="W183" s="592">
        <f ca="1"/>
        <v>0</v>
      </c>
      <c r="X183" s="592">
        <f ca="1"/>
        <v>0</v>
      </c>
      <c r="Y183" s="1982">
        <f ca="1"/>
        <v>0</v>
      </c>
    </row>
    <row r="184" spans="1:26">
      <c r="A184" s="1971" t="str">
        <v>1 mes antes</v>
      </c>
      <c r="B184" s="1967"/>
      <c r="C184" s="1967"/>
      <c r="D184" s="1967"/>
      <c r="E184" s="1967"/>
      <c r="F184" s="1967"/>
      <c r="G184" s="1967"/>
      <c r="H184" s="1967"/>
      <c r="I184" s="1967"/>
      <c r="J184" s="1967"/>
      <c r="K184" s="1967"/>
      <c r="L184" s="1967"/>
      <c r="M184" s="592">
        <f t="array" aca="1" ref="M184:X184" ca="1">B24:M24*Produccion!$M$12</f>
        <v>0</v>
      </c>
      <c r="N184" s="592">
        <f ca="1"/>
        <v>0</v>
      </c>
      <c r="O184" s="592">
        <f ca="1"/>
        <v>0</v>
      </c>
      <c r="P184" s="592">
        <f ca="1"/>
        <v>0</v>
      </c>
      <c r="Q184" s="592">
        <f ca="1"/>
        <v>0</v>
      </c>
      <c r="R184" s="592">
        <f ca="1"/>
        <v>0</v>
      </c>
      <c r="S184" s="592">
        <f ca="1"/>
        <v>0</v>
      </c>
      <c r="T184" s="592">
        <f ca="1"/>
        <v>0</v>
      </c>
      <c r="U184" s="592">
        <f ca="1"/>
        <v>0</v>
      </c>
      <c r="V184" s="592">
        <f ca="1"/>
        <v>0</v>
      </c>
      <c r="W184" s="592">
        <f ca="1"/>
        <v>0</v>
      </c>
      <c r="X184" s="592">
        <f ca="1"/>
        <v>0</v>
      </c>
      <c r="Y184" s="1983">
        <f t="array" aca="1" ref="Y184:Y195" ca="1">'Distr CV 1'!M184:M195</f>
        <v>0</v>
      </c>
    </row>
    <row r="185" spans="1:26">
      <c r="A185" s="1971" t="str">
        <v>2 meses antes</v>
      </c>
      <c r="B185" s="1967"/>
      <c r="C185" s="1967"/>
      <c r="D185" s="1967"/>
      <c r="E185" s="1967"/>
      <c r="F185" s="1967"/>
      <c r="G185" s="1967"/>
      <c r="H185" s="1967"/>
      <c r="I185" s="1967"/>
      <c r="J185" s="1967"/>
      <c r="K185" s="1967"/>
      <c r="L185" s="592">
        <f t="array" aca="1" ref="L185:W185" ca="1">B24:M24*Produccion!$L$12</f>
        <v>0</v>
      </c>
      <c r="M185" s="592">
        <f ca="1"/>
        <v>0</v>
      </c>
      <c r="N185" s="592">
        <f ca="1"/>
        <v>0</v>
      </c>
      <c r="O185" s="592">
        <f ca="1"/>
        <v>0</v>
      </c>
      <c r="P185" s="592">
        <f ca="1"/>
        <v>0</v>
      </c>
      <c r="Q185" s="592">
        <f ca="1"/>
        <v>0</v>
      </c>
      <c r="R185" s="592">
        <f ca="1"/>
        <v>0</v>
      </c>
      <c r="S185" s="592">
        <f ca="1"/>
        <v>0</v>
      </c>
      <c r="T185" s="592">
        <f ca="1"/>
        <v>0</v>
      </c>
      <c r="U185" s="592">
        <f ca="1"/>
        <v>0</v>
      </c>
      <c r="V185" s="592">
        <f ca="1"/>
        <v>0</v>
      </c>
      <c r="W185" s="592">
        <f ca="1"/>
        <v>0</v>
      </c>
      <c r="X185" s="1964">
        <f t="array" aca="1" ref="X185:X195" ca="1">'Distr CV 1'!L185:L195</f>
        <v>0</v>
      </c>
      <c r="Y185" s="1983">
        <f ca="1"/>
        <v>0</v>
      </c>
    </row>
    <row r="186" spans="1:26">
      <c r="A186" s="1971" t="str">
        <v>3 meses antes</v>
      </c>
      <c r="B186" s="1967"/>
      <c r="C186" s="1967"/>
      <c r="D186" s="1967"/>
      <c r="E186" s="1967"/>
      <c r="F186" s="1967"/>
      <c r="G186" s="1967"/>
      <c r="H186" s="1967"/>
      <c r="I186" s="1967"/>
      <c r="J186" s="1967"/>
      <c r="K186" s="592">
        <f t="array" aca="1" ref="K186:V186" ca="1">B24:M24*Produccion!$K$12</f>
        <v>0</v>
      </c>
      <c r="L186" s="592">
        <f ca="1"/>
        <v>0</v>
      </c>
      <c r="M186" s="592">
        <f ca="1"/>
        <v>0</v>
      </c>
      <c r="N186" s="592">
        <f ca="1"/>
        <v>0</v>
      </c>
      <c r="O186" s="592">
        <f ca="1"/>
        <v>0</v>
      </c>
      <c r="P186" s="592">
        <f ca="1"/>
        <v>0</v>
      </c>
      <c r="Q186" s="592">
        <f ca="1"/>
        <v>0</v>
      </c>
      <c r="R186" s="592">
        <f ca="1"/>
        <v>0</v>
      </c>
      <c r="S186" s="592">
        <f ca="1"/>
        <v>0</v>
      </c>
      <c r="T186" s="592">
        <f ca="1"/>
        <v>0</v>
      </c>
      <c r="U186" s="592">
        <f ca="1"/>
        <v>0</v>
      </c>
      <c r="V186" s="592">
        <f ca="1"/>
        <v>0</v>
      </c>
      <c r="W186" s="1964">
        <f t="array" aca="1" ref="W186:W195" ca="1">'Distr CV 1'!K186:K195</f>
        <v>0</v>
      </c>
      <c r="X186" s="1964">
        <f ca="1"/>
        <v>0</v>
      </c>
      <c r="Y186" s="1983">
        <f ca="1"/>
        <v>0</v>
      </c>
    </row>
    <row r="187" spans="1:26">
      <c r="A187" s="1971" t="str">
        <v>4 meses antes</v>
      </c>
      <c r="B187" s="1967"/>
      <c r="C187" s="1967"/>
      <c r="D187" s="1967"/>
      <c r="E187" s="1967"/>
      <c r="F187" s="1967"/>
      <c r="G187" s="1967"/>
      <c r="H187" s="1967"/>
      <c r="I187" s="1967"/>
      <c r="J187" s="592">
        <f t="array" aca="1" ref="J187:U187" ca="1">B24:M24*Produccion!$J$12</f>
        <v>0</v>
      </c>
      <c r="K187" s="592">
        <f ca="1"/>
        <v>0</v>
      </c>
      <c r="L187" s="592">
        <f ca="1"/>
        <v>0</v>
      </c>
      <c r="M187" s="592">
        <f ca="1"/>
        <v>0</v>
      </c>
      <c r="N187" s="592">
        <f ca="1"/>
        <v>0</v>
      </c>
      <c r="O187" s="592">
        <f ca="1"/>
        <v>0</v>
      </c>
      <c r="P187" s="592">
        <f ca="1"/>
        <v>0</v>
      </c>
      <c r="Q187" s="592">
        <f ca="1"/>
        <v>0</v>
      </c>
      <c r="R187" s="592">
        <f ca="1"/>
        <v>0</v>
      </c>
      <c r="S187" s="592">
        <f ca="1"/>
        <v>0</v>
      </c>
      <c r="T187" s="592">
        <f ca="1"/>
        <v>0</v>
      </c>
      <c r="U187" s="592">
        <f ca="1"/>
        <v>0</v>
      </c>
      <c r="V187" s="1964">
        <f t="array" aca="1" ref="V187:V195" ca="1">'Distr CV 1'!J187:J195</f>
        <v>0</v>
      </c>
      <c r="W187" s="1964">
        <f ca="1"/>
        <v>0</v>
      </c>
      <c r="X187" s="1964">
        <f ca="1"/>
        <v>0</v>
      </c>
      <c r="Y187" s="1983">
        <f ca="1"/>
        <v>0</v>
      </c>
    </row>
    <row r="188" spans="1:26">
      <c r="A188" s="1971" t="str">
        <v>5 meses antes</v>
      </c>
      <c r="B188" s="1967"/>
      <c r="C188" s="1967"/>
      <c r="D188" s="1967"/>
      <c r="E188" s="1967"/>
      <c r="F188" s="1967"/>
      <c r="G188" s="1967"/>
      <c r="H188" s="1967"/>
      <c r="I188" s="592">
        <f t="array" aca="1" ref="I188:T188" ca="1">B24:M24*Produccion!$I$12</f>
        <v>0</v>
      </c>
      <c r="J188" s="592">
        <f ca="1"/>
        <v>0</v>
      </c>
      <c r="K188" s="592">
        <f ca="1"/>
        <v>0</v>
      </c>
      <c r="L188" s="592">
        <f ca="1"/>
        <v>0</v>
      </c>
      <c r="M188" s="592">
        <f ca="1"/>
        <v>0</v>
      </c>
      <c r="N188" s="592">
        <f ca="1"/>
        <v>0</v>
      </c>
      <c r="O188" s="592">
        <f ca="1"/>
        <v>0</v>
      </c>
      <c r="P188" s="592">
        <f ca="1"/>
        <v>0</v>
      </c>
      <c r="Q188" s="592">
        <f ca="1"/>
        <v>0</v>
      </c>
      <c r="R188" s="592">
        <f ca="1"/>
        <v>0</v>
      </c>
      <c r="S188" s="592">
        <f ca="1"/>
        <v>0</v>
      </c>
      <c r="T188" s="592">
        <f ca="1"/>
        <v>0</v>
      </c>
      <c r="U188" s="1964">
        <f t="array" aca="1" ref="U188:U195" ca="1">'Distr CV 1'!I188:I195</f>
        <v>0</v>
      </c>
      <c r="V188" s="1964">
        <f ca="1"/>
        <v>0</v>
      </c>
      <c r="W188" s="1964">
        <f ca="1"/>
        <v>0</v>
      </c>
      <c r="X188" s="1964">
        <f ca="1"/>
        <v>0</v>
      </c>
      <c r="Y188" s="1983">
        <f ca="1"/>
        <v>0</v>
      </c>
    </row>
    <row r="189" spans="1:26">
      <c r="A189" s="1971" t="str">
        <v>6 meses antes</v>
      </c>
      <c r="B189" s="1967"/>
      <c r="C189" s="1967"/>
      <c r="D189" s="1967"/>
      <c r="E189" s="1967"/>
      <c r="F189" s="1967"/>
      <c r="G189" s="1967"/>
      <c r="H189" s="592">
        <f t="array" aca="1" ref="H189:S189" ca="1">B24:M24*Produccion!$H$12</f>
        <v>0</v>
      </c>
      <c r="I189" s="592">
        <f ca="1"/>
        <v>0</v>
      </c>
      <c r="J189" s="592">
        <f ca="1"/>
        <v>0</v>
      </c>
      <c r="K189" s="592">
        <f ca="1"/>
        <v>0</v>
      </c>
      <c r="L189" s="592">
        <f ca="1"/>
        <v>0</v>
      </c>
      <c r="M189" s="592">
        <f ca="1"/>
        <v>0</v>
      </c>
      <c r="N189" s="592">
        <f ca="1"/>
        <v>0</v>
      </c>
      <c r="O189" s="592">
        <f ca="1"/>
        <v>0</v>
      </c>
      <c r="P189" s="592">
        <f ca="1"/>
        <v>0</v>
      </c>
      <c r="Q189" s="592">
        <f ca="1"/>
        <v>0</v>
      </c>
      <c r="R189" s="592">
        <f ca="1"/>
        <v>0</v>
      </c>
      <c r="S189" s="592">
        <f ca="1"/>
        <v>0</v>
      </c>
      <c r="T189" s="1964">
        <f t="array" aca="1" ref="T189:T195" ca="1">'Distr CV 1'!H189:H195</f>
        <v>0</v>
      </c>
      <c r="U189" s="1964">
        <f ca="1"/>
        <v>0</v>
      </c>
      <c r="V189" s="1964">
        <f ca="1"/>
        <v>0</v>
      </c>
      <c r="W189" s="1964">
        <f ca="1"/>
        <v>0</v>
      </c>
      <c r="X189" s="1964">
        <f ca="1"/>
        <v>0</v>
      </c>
      <c r="Y189" s="1983">
        <f ca="1"/>
        <v>0</v>
      </c>
    </row>
    <row r="190" spans="1:26">
      <c r="A190" s="1971" t="str">
        <v>7 meses antes</v>
      </c>
      <c r="B190" s="1967"/>
      <c r="C190" s="1967"/>
      <c r="D190" s="1967"/>
      <c r="E190" s="1967"/>
      <c r="F190" s="1967"/>
      <c r="G190" s="592">
        <f t="array" aca="1" ref="G190:R190" ca="1">B24:M24*Produccion!$G$12</f>
        <v>0</v>
      </c>
      <c r="H190" s="592">
        <f ca="1"/>
        <v>0</v>
      </c>
      <c r="I190" s="592">
        <f ca="1"/>
        <v>0</v>
      </c>
      <c r="J190" s="592">
        <f ca="1"/>
        <v>0</v>
      </c>
      <c r="K190" s="592">
        <f ca="1"/>
        <v>0</v>
      </c>
      <c r="L190" s="592">
        <f ca="1"/>
        <v>0</v>
      </c>
      <c r="M190" s="592">
        <f ca="1"/>
        <v>0</v>
      </c>
      <c r="N190" s="592">
        <f ca="1"/>
        <v>0</v>
      </c>
      <c r="O190" s="592">
        <f ca="1"/>
        <v>0</v>
      </c>
      <c r="P190" s="592">
        <f ca="1"/>
        <v>0</v>
      </c>
      <c r="Q190" s="592">
        <f ca="1"/>
        <v>0</v>
      </c>
      <c r="R190" s="592">
        <f ca="1"/>
        <v>0</v>
      </c>
      <c r="S190" s="1968">
        <f t="array" aca="1" ref="S190:S195" ca="1">'Distr CV 1'!G190:G195</f>
        <v>0</v>
      </c>
      <c r="T190" s="1968">
        <f ca="1"/>
        <v>0</v>
      </c>
      <c r="U190" s="1968">
        <f ca="1"/>
        <v>0</v>
      </c>
      <c r="V190" s="1968">
        <f ca="1"/>
        <v>0</v>
      </c>
      <c r="W190" s="1968">
        <f ca="1"/>
        <v>0</v>
      </c>
      <c r="X190" s="1968">
        <f ca="1"/>
        <v>0</v>
      </c>
      <c r="Y190" s="1986">
        <f ca="1"/>
        <v>0</v>
      </c>
    </row>
    <row r="191" spans="1:26">
      <c r="A191" s="1971" t="str">
        <v>8 meses antes</v>
      </c>
      <c r="B191" s="1967"/>
      <c r="C191" s="1967"/>
      <c r="D191" s="1967"/>
      <c r="E191" s="1967"/>
      <c r="F191" s="592">
        <f t="array" aca="1" ref="F191:Q191" ca="1">B24:M24*Produccion!$F$12</f>
        <v>0</v>
      </c>
      <c r="G191" s="592">
        <f ca="1"/>
        <v>0</v>
      </c>
      <c r="H191" s="592">
        <f ca="1"/>
        <v>0</v>
      </c>
      <c r="I191" s="592">
        <f ca="1"/>
        <v>0</v>
      </c>
      <c r="J191" s="592">
        <f ca="1"/>
        <v>0</v>
      </c>
      <c r="K191" s="592">
        <f ca="1"/>
        <v>0</v>
      </c>
      <c r="L191" s="592">
        <f ca="1"/>
        <v>0</v>
      </c>
      <c r="M191" s="592">
        <f ca="1"/>
        <v>0</v>
      </c>
      <c r="N191" s="592">
        <f ca="1"/>
        <v>0</v>
      </c>
      <c r="O191" s="592">
        <f ca="1"/>
        <v>0</v>
      </c>
      <c r="P191" s="592">
        <f ca="1"/>
        <v>0</v>
      </c>
      <c r="Q191" s="592">
        <f ca="1"/>
        <v>0</v>
      </c>
      <c r="R191" s="1968">
        <f t="array" aca="1" ref="R191:R195" ca="1">'Distr CV 1'!F191:F195</f>
        <v>0</v>
      </c>
      <c r="S191" s="1968">
        <f ca="1"/>
        <v>0</v>
      </c>
      <c r="T191" s="1968">
        <f ca="1"/>
        <v>0</v>
      </c>
      <c r="U191" s="1968">
        <f ca="1"/>
        <v>0</v>
      </c>
      <c r="V191" s="1968">
        <f ca="1"/>
        <v>0</v>
      </c>
      <c r="W191" s="1968">
        <f ca="1"/>
        <v>0</v>
      </c>
      <c r="X191" s="1968">
        <f ca="1"/>
        <v>0</v>
      </c>
      <c r="Y191" s="1986">
        <f ca="1"/>
        <v>0</v>
      </c>
    </row>
    <row r="192" spans="1:26">
      <c r="A192" s="1971" t="str">
        <v>9 meses antes</v>
      </c>
      <c r="B192" s="1967"/>
      <c r="C192" s="1967"/>
      <c r="D192" s="1967"/>
      <c r="E192" s="592">
        <f t="array" aca="1" ref="E192:P192" ca="1">B24:M24*Produccion!$E$12</f>
        <v>0</v>
      </c>
      <c r="F192" s="592">
        <f ca="1"/>
        <v>0</v>
      </c>
      <c r="G192" s="592">
        <f ca="1"/>
        <v>0</v>
      </c>
      <c r="H192" s="592">
        <f ca="1"/>
        <v>0</v>
      </c>
      <c r="I192" s="592">
        <f ca="1"/>
        <v>0</v>
      </c>
      <c r="J192" s="592">
        <f ca="1"/>
        <v>0</v>
      </c>
      <c r="K192" s="592">
        <f ca="1"/>
        <v>0</v>
      </c>
      <c r="L192" s="592">
        <f ca="1"/>
        <v>0</v>
      </c>
      <c r="M192" s="592">
        <f ca="1"/>
        <v>0</v>
      </c>
      <c r="N192" s="592">
        <f ca="1"/>
        <v>0</v>
      </c>
      <c r="O192" s="592">
        <f ca="1"/>
        <v>0</v>
      </c>
      <c r="P192" s="592">
        <f ca="1"/>
        <v>0</v>
      </c>
      <c r="Q192" s="1968">
        <f t="array" aca="1" ref="Q192:Q195" ca="1">'Distr CV 1'!E192:F195</f>
        <v>0</v>
      </c>
      <c r="R192" s="1968">
        <f ca="1"/>
        <v>0</v>
      </c>
      <c r="S192" s="1968">
        <f ca="1"/>
        <v>0</v>
      </c>
      <c r="T192" s="1968">
        <f ca="1"/>
        <v>0</v>
      </c>
      <c r="U192" s="1968">
        <f ca="1"/>
        <v>0</v>
      </c>
      <c r="V192" s="1968">
        <f ca="1"/>
        <v>0</v>
      </c>
      <c r="W192" s="1968">
        <f ca="1"/>
        <v>0</v>
      </c>
      <c r="X192" s="1968">
        <f ca="1"/>
        <v>0</v>
      </c>
      <c r="Y192" s="1986">
        <f ca="1"/>
        <v>0</v>
      </c>
    </row>
    <row r="193" spans="1:26">
      <c r="A193" s="1971" t="str">
        <v>10 meses antes</v>
      </c>
      <c r="B193" s="1967"/>
      <c r="C193" s="1967"/>
      <c r="D193" s="592">
        <f t="array" aca="1" ref="D193:O193" ca="1">B24:M24*Produccion!$D$12</f>
        <v>0</v>
      </c>
      <c r="E193" s="592">
        <f ca="1"/>
        <v>0</v>
      </c>
      <c r="F193" s="592">
        <f ca="1"/>
        <v>0</v>
      </c>
      <c r="G193" s="592">
        <f ca="1"/>
        <v>0</v>
      </c>
      <c r="H193" s="592">
        <f ca="1"/>
        <v>0</v>
      </c>
      <c r="I193" s="592">
        <f ca="1"/>
        <v>0</v>
      </c>
      <c r="J193" s="592">
        <f ca="1"/>
        <v>0</v>
      </c>
      <c r="K193" s="592">
        <f ca="1"/>
        <v>0</v>
      </c>
      <c r="L193" s="592">
        <f ca="1"/>
        <v>0</v>
      </c>
      <c r="M193" s="592">
        <f ca="1"/>
        <v>0</v>
      </c>
      <c r="N193" s="592">
        <f ca="1"/>
        <v>0</v>
      </c>
      <c r="O193" s="592">
        <f ca="1"/>
        <v>0</v>
      </c>
      <c r="P193" s="1968">
        <f t="array" aca="1" ref="P193:P195" ca="1">'Distr CV 1'!D193:D195</f>
        <v>0</v>
      </c>
      <c r="Q193" s="1968">
        <f ca="1"/>
        <v>0</v>
      </c>
      <c r="R193" s="1968">
        <f ca="1"/>
        <v>0</v>
      </c>
      <c r="S193" s="1968">
        <f ca="1"/>
        <v>0</v>
      </c>
      <c r="T193" s="1968">
        <f ca="1"/>
        <v>0</v>
      </c>
      <c r="U193" s="1968">
        <f ca="1"/>
        <v>0</v>
      </c>
      <c r="V193" s="1968">
        <f ca="1"/>
        <v>0</v>
      </c>
      <c r="W193" s="1968">
        <f ca="1"/>
        <v>0</v>
      </c>
      <c r="X193" s="1968">
        <f ca="1"/>
        <v>0</v>
      </c>
      <c r="Y193" s="1986">
        <f ca="1"/>
        <v>0</v>
      </c>
    </row>
    <row r="194" spans="1:26">
      <c r="A194" s="1971" t="str">
        <v>11 meses antes</v>
      </c>
      <c r="B194" s="1967"/>
      <c r="C194" s="592">
        <f t="array" aca="1" ref="C194:N194" ca="1">B24:M24*Produccion!$C$12</f>
        <v>0</v>
      </c>
      <c r="D194" s="592">
        <f ca="1"/>
        <v>0</v>
      </c>
      <c r="E194" s="592">
        <f ca="1"/>
        <v>0</v>
      </c>
      <c r="F194" s="592">
        <f ca="1"/>
        <v>0</v>
      </c>
      <c r="G194" s="592">
        <f ca="1"/>
        <v>0</v>
      </c>
      <c r="H194" s="592">
        <f ca="1"/>
        <v>0</v>
      </c>
      <c r="I194" s="592">
        <f ca="1"/>
        <v>0</v>
      </c>
      <c r="J194" s="592">
        <f ca="1"/>
        <v>0</v>
      </c>
      <c r="K194" s="592">
        <f ca="1"/>
        <v>0</v>
      </c>
      <c r="L194" s="592">
        <f ca="1"/>
        <v>0</v>
      </c>
      <c r="M194" s="592">
        <f ca="1"/>
        <v>0</v>
      </c>
      <c r="N194" s="592">
        <f ca="1"/>
        <v>0</v>
      </c>
      <c r="O194" s="1968">
        <f t="array" aca="1" ref="O194:O195" ca="1">'Distr CV 1'!C194:C195</f>
        <v>0</v>
      </c>
      <c r="P194" s="1968">
        <f ca="1"/>
        <v>0</v>
      </c>
      <c r="Q194" s="1968">
        <f ca="1"/>
        <v>0</v>
      </c>
      <c r="R194" s="1968">
        <f ca="1"/>
        <v>0</v>
      </c>
      <c r="S194" s="1968">
        <f ca="1"/>
        <v>0</v>
      </c>
      <c r="T194" s="1968">
        <f ca="1"/>
        <v>0</v>
      </c>
      <c r="U194" s="1968">
        <f ca="1"/>
        <v>0</v>
      </c>
      <c r="V194" s="1968">
        <f ca="1"/>
        <v>0</v>
      </c>
      <c r="W194" s="1968">
        <f ca="1"/>
        <v>0</v>
      </c>
      <c r="X194" s="1968">
        <f ca="1"/>
        <v>0</v>
      </c>
      <c r="Y194" s="1986">
        <f ca="1"/>
        <v>0</v>
      </c>
    </row>
    <row r="195" spans="1:26" ht="13.5" thickBot="1">
      <c r="A195" s="1971" t="str">
        <v>12 meses antes</v>
      </c>
      <c r="B195" s="592">
        <f t="array" aca="1" ref="B195:M195" ca="1">B24:M24*Produccion!$B$12</f>
        <v>0</v>
      </c>
      <c r="C195" s="592">
        <f ca="1"/>
        <v>0</v>
      </c>
      <c r="D195" s="592">
        <f ca="1"/>
        <v>0</v>
      </c>
      <c r="E195" s="592">
        <f ca="1"/>
        <v>0</v>
      </c>
      <c r="F195" s="592">
        <f ca="1"/>
        <v>0</v>
      </c>
      <c r="G195" s="592">
        <f ca="1"/>
        <v>0</v>
      </c>
      <c r="H195" s="592">
        <f ca="1"/>
        <v>0</v>
      </c>
      <c r="I195" s="592">
        <f ca="1"/>
        <v>0</v>
      </c>
      <c r="J195" s="592">
        <f ca="1"/>
        <v>0</v>
      </c>
      <c r="K195" s="592">
        <f ca="1"/>
        <v>0</v>
      </c>
      <c r="L195" s="592">
        <f ca="1"/>
        <v>0</v>
      </c>
      <c r="M195" s="592">
        <f ca="1"/>
        <v>0</v>
      </c>
      <c r="N195" s="1967">
        <f ca="1">'Distr CV 1'!B195</f>
        <v>0</v>
      </c>
      <c r="O195" s="1968">
        <f ca="1"/>
        <v>0</v>
      </c>
      <c r="P195" s="1968">
        <f ca="1"/>
        <v>0</v>
      </c>
      <c r="Q195" s="1968">
        <f ca="1"/>
        <v>0</v>
      </c>
      <c r="R195" s="1968">
        <f ca="1"/>
        <v>0</v>
      </c>
      <c r="S195" s="1968">
        <f ca="1"/>
        <v>0</v>
      </c>
      <c r="T195" s="1968">
        <f ca="1"/>
        <v>0</v>
      </c>
      <c r="U195" s="1968">
        <f ca="1"/>
        <v>0</v>
      </c>
      <c r="V195" s="1968">
        <f ca="1"/>
        <v>0</v>
      </c>
      <c r="W195" s="1968">
        <f ca="1"/>
        <v>0</v>
      </c>
      <c r="X195" s="1968">
        <f ca="1"/>
        <v>0</v>
      </c>
      <c r="Y195" s="1986">
        <f ca="1"/>
        <v>0</v>
      </c>
    </row>
    <row r="196" spans="1:26" ht="15.75" customHeight="1" thickBot="1">
      <c r="A196" s="103" t="str">
        <f>"Totales CV "&amp;A$12</f>
        <v xml:space="preserve">Totales CV </v>
      </c>
      <c r="B196" s="596">
        <f t="shared" ref="B196:Y196" ca="1" si="14">SUM(B183:B195)</f>
        <v>0</v>
      </c>
      <c r="C196" s="596">
        <f t="shared" ca="1" si="14"/>
        <v>0</v>
      </c>
      <c r="D196" s="596">
        <f t="shared" ca="1" si="14"/>
        <v>0</v>
      </c>
      <c r="E196" s="596">
        <f t="shared" ca="1" si="14"/>
        <v>0</v>
      </c>
      <c r="F196" s="596">
        <f t="shared" ca="1" si="14"/>
        <v>0</v>
      </c>
      <c r="G196" s="596">
        <f t="shared" ca="1" si="14"/>
        <v>0</v>
      </c>
      <c r="H196" s="596">
        <f t="shared" ca="1" si="14"/>
        <v>0</v>
      </c>
      <c r="I196" s="596">
        <f t="shared" ca="1" si="14"/>
        <v>0</v>
      </c>
      <c r="J196" s="596">
        <f t="shared" ca="1" si="14"/>
        <v>0</v>
      </c>
      <c r="K196" s="596">
        <f t="shared" ca="1" si="14"/>
        <v>0</v>
      </c>
      <c r="L196" s="596">
        <f t="shared" ca="1" si="14"/>
        <v>0</v>
      </c>
      <c r="M196" s="596">
        <f t="shared" ca="1" si="14"/>
        <v>0</v>
      </c>
      <c r="N196" s="596">
        <f t="shared" ca="1" si="14"/>
        <v>0</v>
      </c>
      <c r="O196" s="596">
        <f t="shared" ca="1" si="14"/>
        <v>0</v>
      </c>
      <c r="P196" s="596">
        <f t="shared" ca="1" si="14"/>
        <v>0</v>
      </c>
      <c r="Q196" s="596">
        <f t="shared" ca="1" si="14"/>
        <v>0</v>
      </c>
      <c r="R196" s="596">
        <f t="shared" ca="1" si="14"/>
        <v>0</v>
      </c>
      <c r="S196" s="596">
        <f t="shared" ca="1" si="14"/>
        <v>0</v>
      </c>
      <c r="T196" s="596">
        <f t="shared" ca="1" si="14"/>
        <v>0</v>
      </c>
      <c r="U196" s="596">
        <f t="shared" ca="1" si="14"/>
        <v>0</v>
      </c>
      <c r="V196" s="596">
        <f t="shared" ca="1" si="14"/>
        <v>0</v>
      </c>
      <c r="W196" s="596">
        <f t="shared" ca="1" si="14"/>
        <v>0</v>
      </c>
      <c r="X196" s="596">
        <f t="shared" ca="1" si="14"/>
        <v>0</v>
      </c>
      <c r="Y196" s="1984">
        <f t="shared" ca="1" si="14"/>
        <v>0</v>
      </c>
    </row>
    <row r="197" spans="1:26" ht="15.75" customHeight="1" thickBot="1">
      <c r="A197" s="103" t="str">
        <f>'Datos Básicos'!A28&amp;" sop. CV "&amp;$A$12</f>
        <v xml:space="preserve">IVA sop. CV </v>
      </c>
      <c r="B197" s="596">
        <f t="array" aca="1" ref="B197:Y197" ca="1">$K$181*B196:Y196</f>
        <v>0</v>
      </c>
      <c r="C197" s="596">
        <f ca="1"/>
        <v>0</v>
      </c>
      <c r="D197" s="596">
        <f ca="1"/>
        <v>0</v>
      </c>
      <c r="E197" s="596">
        <f ca="1"/>
        <v>0</v>
      </c>
      <c r="F197" s="596">
        <f ca="1"/>
        <v>0</v>
      </c>
      <c r="G197" s="596">
        <f ca="1"/>
        <v>0</v>
      </c>
      <c r="H197" s="596">
        <f ca="1"/>
        <v>0</v>
      </c>
      <c r="I197" s="596">
        <f ca="1"/>
        <v>0</v>
      </c>
      <c r="J197" s="596">
        <f ca="1"/>
        <v>0</v>
      </c>
      <c r="K197" s="596">
        <f ca="1"/>
        <v>0</v>
      </c>
      <c r="L197" s="596">
        <f ca="1"/>
        <v>0</v>
      </c>
      <c r="M197" s="596">
        <f ca="1"/>
        <v>0</v>
      </c>
      <c r="N197" s="596">
        <f ca="1"/>
        <v>0</v>
      </c>
      <c r="O197" s="596">
        <f ca="1"/>
        <v>0</v>
      </c>
      <c r="P197" s="596">
        <f ca="1"/>
        <v>0</v>
      </c>
      <c r="Q197" s="596">
        <f ca="1"/>
        <v>0</v>
      </c>
      <c r="R197" s="596">
        <f ca="1"/>
        <v>0</v>
      </c>
      <c r="S197" s="596">
        <f ca="1"/>
        <v>0</v>
      </c>
      <c r="T197" s="596">
        <f ca="1"/>
        <v>0</v>
      </c>
      <c r="U197" s="596">
        <f ca="1"/>
        <v>0</v>
      </c>
      <c r="V197" s="596">
        <f ca="1"/>
        <v>0</v>
      </c>
      <c r="W197" s="596">
        <f ca="1"/>
        <v>0</v>
      </c>
      <c r="X197" s="596">
        <f ca="1"/>
        <v>0</v>
      </c>
      <c r="Y197" s="1984">
        <f ca="1"/>
        <v>0</v>
      </c>
    </row>
    <row r="199" spans="1:26" ht="18.75" thickBot="1">
      <c r="A199" s="1969" t="str">
        <f>"Compras / costes de producción por meses de "&amp;A$13</f>
        <v xml:space="preserve">Compras / costes de producción por meses de </v>
      </c>
      <c r="I199" s="1969" t="str">
        <f>I$44</f>
        <v>IVA NO incluido</v>
      </c>
      <c r="K199" s="1981">
        <f>Parametros!$F$29</f>
        <v>0.21</v>
      </c>
    </row>
    <row r="200" spans="1:26" s="445" customFormat="1" ht="33" customHeight="1" thickBot="1">
      <c r="A200" s="446" t="str">
        <f>A$110</f>
        <v>mes de compra / coste</v>
      </c>
      <c r="B200" s="1987" t="str">
        <f t="array" ref="B200:Y200">B$71:Y$71</f>
        <v>enero
2025</v>
      </c>
      <c r="C200" s="1987" t="str">
        <v>febrero
2025</v>
      </c>
      <c r="D200" s="1987" t="str">
        <v>marzo
2025</v>
      </c>
      <c r="E200" s="1987" t="str">
        <v>abril
2025</v>
      </c>
      <c r="F200" s="1987" t="str">
        <v>mayo
2025</v>
      </c>
      <c r="G200" s="1987" t="str">
        <v>junio
2025</v>
      </c>
      <c r="H200" s="1987" t="str">
        <v>julio
2025</v>
      </c>
      <c r="I200" s="1987" t="str">
        <v>agosto
2025</v>
      </c>
      <c r="J200" s="1987" t="str">
        <v>septiembre
2025</v>
      </c>
      <c r="K200" s="1987" t="str">
        <v>octubre
2025</v>
      </c>
      <c r="L200" s="1987" t="str">
        <v>noviembre
2025</v>
      </c>
      <c r="M200" s="1987" t="str">
        <v>diciembre
2025</v>
      </c>
      <c r="N200" s="2703" t="str">
        <v>enero 
2026</v>
      </c>
      <c r="O200" s="2704" t="str">
        <v>febrero 
2026</v>
      </c>
      <c r="P200" s="2704" t="str">
        <v>marzo 
2026</v>
      </c>
      <c r="Q200" s="2704" t="str">
        <v>abril 
2026</v>
      </c>
      <c r="R200" s="2704" t="str">
        <v>mayo 
2026</v>
      </c>
      <c r="S200" s="2704" t="str">
        <v>junio 
2026</v>
      </c>
      <c r="T200" s="2704" t="str">
        <v>julio 
2026</v>
      </c>
      <c r="U200" s="2704" t="str">
        <v>agosto 
2026</v>
      </c>
      <c r="V200" s="2704" t="str">
        <v>septiembre 
2026</v>
      </c>
      <c r="W200" s="2704" t="str">
        <v>octubre 
2026</v>
      </c>
      <c r="X200" s="2704" t="str">
        <v>noviembre 
2026</v>
      </c>
      <c r="Y200" s="2705" t="str">
        <v>diciembre 
2026</v>
      </c>
      <c r="Z200" s="61"/>
    </row>
    <row r="201" spans="1:26">
      <c r="A201" s="1970" t="str">
        <f t="array" ref="A201:A213">A$72:A$84</f>
        <v>mismo mes</v>
      </c>
      <c r="B201" s="1967"/>
      <c r="C201" s="1967"/>
      <c r="D201" s="1967"/>
      <c r="E201" s="1967"/>
      <c r="F201" s="1967"/>
      <c r="G201" s="1967"/>
      <c r="H201" s="1967"/>
      <c r="I201" s="1967"/>
      <c r="J201" s="1967"/>
      <c r="K201" s="1967"/>
      <c r="L201" s="1967"/>
      <c r="M201" s="1967"/>
      <c r="N201" s="592">
        <f t="array" aca="1" ref="N201:Y201" ca="1">B25:M25*Produccion!$N$13</f>
        <v>0</v>
      </c>
      <c r="O201" s="592">
        <f ca="1"/>
        <v>0</v>
      </c>
      <c r="P201" s="592">
        <f ca="1"/>
        <v>0</v>
      </c>
      <c r="Q201" s="592">
        <f ca="1"/>
        <v>0</v>
      </c>
      <c r="R201" s="592">
        <f ca="1"/>
        <v>0</v>
      </c>
      <c r="S201" s="592">
        <f ca="1"/>
        <v>0</v>
      </c>
      <c r="T201" s="592">
        <f ca="1"/>
        <v>0</v>
      </c>
      <c r="U201" s="592">
        <f ca="1"/>
        <v>0</v>
      </c>
      <c r="V201" s="592">
        <f ca="1"/>
        <v>0</v>
      </c>
      <c r="W201" s="592">
        <f ca="1"/>
        <v>0</v>
      </c>
      <c r="X201" s="592">
        <f ca="1"/>
        <v>0</v>
      </c>
      <c r="Y201" s="1982">
        <f ca="1"/>
        <v>0</v>
      </c>
    </row>
    <row r="202" spans="1:26">
      <c r="A202" s="1971" t="str">
        <v>1 mes antes</v>
      </c>
      <c r="B202" s="1967"/>
      <c r="C202" s="1967"/>
      <c r="D202" s="1967"/>
      <c r="E202" s="1967"/>
      <c r="F202" s="1967"/>
      <c r="G202" s="1967"/>
      <c r="H202" s="1967"/>
      <c r="I202" s="1967"/>
      <c r="J202" s="1967"/>
      <c r="K202" s="1967"/>
      <c r="L202" s="1967"/>
      <c r="M202" s="592">
        <f t="array" aca="1" ref="M202:X202" ca="1">B25:M25*Produccion!$M$13</f>
        <v>0</v>
      </c>
      <c r="N202" s="592">
        <f ca="1"/>
        <v>0</v>
      </c>
      <c r="O202" s="592">
        <f ca="1"/>
        <v>0</v>
      </c>
      <c r="P202" s="592">
        <f ca="1"/>
        <v>0</v>
      </c>
      <c r="Q202" s="592">
        <f ca="1"/>
        <v>0</v>
      </c>
      <c r="R202" s="592">
        <f ca="1"/>
        <v>0</v>
      </c>
      <c r="S202" s="592">
        <f ca="1"/>
        <v>0</v>
      </c>
      <c r="T202" s="592">
        <f ca="1"/>
        <v>0</v>
      </c>
      <c r="U202" s="592">
        <f ca="1"/>
        <v>0</v>
      </c>
      <c r="V202" s="592">
        <f ca="1"/>
        <v>0</v>
      </c>
      <c r="W202" s="592">
        <f ca="1"/>
        <v>0</v>
      </c>
      <c r="X202" s="592">
        <f ca="1"/>
        <v>0</v>
      </c>
      <c r="Y202" s="1983">
        <f t="array" aca="1" ref="Y202:Y213" ca="1">'Distr CV 1'!M202:M213</f>
        <v>0</v>
      </c>
    </row>
    <row r="203" spans="1:26">
      <c r="A203" s="1971" t="str">
        <v>2 meses antes</v>
      </c>
      <c r="B203" s="1967"/>
      <c r="C203" s="1967"/>
      <c r="D203" s="1967"/>
      <c r="E203" s="1967"/>
      <c r="F203" s="1967"/>
      <c r="G203" s="1967"/>
      <c r="H203" s="1967"/>
      <c r="I203" s="1967"/>
      <c r="J203" s="1967"/>
      <c r="K203" s="1967"/>
      <c r="L203" s="592">
        <f t="array" aca="1" ref="L203:W203" ca="1">B25:M25*Produccion!$L$13</f>
        <v>0</v>
      </c>
      <c r="M203" s="592">
        <f ca="1"/>
        <v>0</v>
      </c>
      <c r="N203" s="592">
        <f ca="1"/>
        <v>0</v>
      </c>
      <c r="O203" s="592">
        <f ca="1"/>
        <v>0</v>
      </c>
      <c r="P203" s="592">
        <f ca="1"/>
        <v>0</v>
      </c>
      <c r="Q203" s="592">
        <f ca="1"/>
        <v>0</v>
      </c>
      <c r="R203" s="592">
        <f ca="1"/>
        <v>0</v>
      </c>
      <c r="S203" s="592">
        <f ca="1"/>
        <v>0</v>
      </c>
      <c r="T203" s="592">
        <f ca="1"/>
        <v>0</v>
      </c>
      <c r="U203" s="592">
        <f ca="1"/>
        <v>0</v>
      </c>
      <c r="V203" s="592">
        <f ca="1"/>
        <v>0</v>
      </c>
      <c r="W203" s="592">
        <f ca="1"/>
        <v>0</v>
      </c>
      <c r="X203" s="1964">
        <f t="array" aca="1" ref="X203:X213" ca="1">'Distr CV 1'!L203:L213</f>
        <v>0</v>
      </c>
      <c r="Y203" s="1983">
        <f ca="1"/>
        <v>0</v>
      </c>
    </row>
    <row r="204" spans="1:26">
      <c r="A204" s="1971" t="str">
        <v>3 meses antes</v>
      </c>
      <c r="B204" s="1967"/>
      <c r="C204" s="1967"/>
      <c r="D204" s="1967"/>
      <c r="E204" s="1967"/>
      <c r="F204" s="1967"/>
      <c r="G204" s="1967"/>
      <c r="H204" s="1967"/>
      <c r="I204" s="1967"/>
      <c r="J204" s="1967"/>
      <c r="K204" s="592">
        <f t="array" aca="1" ref="K204:V204" ca="1">B25:M25*Produccion!$K$13</f>
        <v>0</v>
      </c>
      <c r="L204" s="592">
        <f ca="1"/>
        <v>0</v>
      </c>
      <c r="M204" s="592">
        <f ca="1"/>
        <v>0</v>
      </c>
      <c r="N204" s="592">
        <f ca="1"/>
        <v>0</v>
      </c>
      <c r="O204" s="592">
        <f ca="1"/>
        <v>0</v>
      </c>
      <c r="P204" s="592">
        <f ca="1"/>
        <v>0</v>
      </c>
      <c r="Q204" s="592">
        <f ca="1"/>
        <v>0</v>
      </c>
      <c r="R204" s="592">
        <f ca="1"/>
        <v>0</v>
      </c>
      <c r="S204" s="592">
        <f ca="1"/>
        <v>0</v>
      </c>
      <c r="T204" s="592">
        <f ca="1"/>
        <v>0</v>
      </c>
      <c r="U204" s="592">
        <f ca="1"/>
        <v>0</v>
      </c>
      <c r="V204" s="592">
        <f ca="1"/>
        <v>0</v>
      </c>
      <c r="W204" s="1964">
        <f t="array" aca="1" ref="W204:W213" ca="1">'Distr CV 1'!K204:K213</f>
        <v>0</v>
      </c>
      <c r="X204" s="1964">
        <f ca="1"/>
        <v>0</v>
      </c>
      <c r="Y204" s="1983">
        <f ca="1"/>
        <v>0</v>
      </c>
    </row>
    <row r="205" spans="1:26">
      <c r="A205" s="1971" t="str">
        <v>4 meses antes</v>
      </c>
      <c r="B205" s="1967"/>
      <c r="C205" s="1967"/>
      <c r="D205" s="1967"/>
      <c r="E205" s="1967"/>
      <c r="F205" s="1967"/>
      <c r="G205" s="1967"/>
      <c r="H205" s="1967"/>
      <c r="I205" s="1967"/>
      <c r="J205" s="592">
        <f t="array" aca="1" ref="J205:U205" ca="1">B25:M25*Produccion!$J$13</f>
        <v>0</v>
      </c>
      <c r="K205" s="592">
        <f ca="1"/>
        <v>0</v>
      </c>
      <c r="L205" s="592">
        <f ca="1"/>
        <v>0</v>
      </c>
      <c r="M205" s="592">
        <f ca="1"/>
        <v>0</v>
      </c>
      <c r="N205" s="592">
        <f ca="1"/>
        <v>0</v>
      </c>
      <c r="O205" s="592">
        <f ca="1"/>
        <v>0</v>
      </c>
      <c r="P205" s="592">
        <f ca="1"/>
        <v>0</v>
      </c>
      <c r="Q205" s="592">
        <f ca="1"/>
        <v>0</v>
      </c>
      <c r="R205" s="592">
        <f ca="1"/>
        <v>0</v>
      </c>
      <c r="S205" s="592">
        <f ca="1"/>
        <v>0</v>
      </c>
      <c r="T205" s="592">
        <f ca="1"/>
        <v>0</v>
      </c>
      <c r="U205" s="592">
        <f ca="1"/>
        <v>0</v>
      </c>
      <c r="V205" s="1964">
        <f t="array" aca="1" ref="V205:V213" ca="1">'Distr CV 1'!J205:J213</f>
        <v>0</v>
      </c>
      <c r="W205" s="1964">
        <f ca="1"/>
        <v>0</v>
      </c>
      <c r="X205" s="1964">
        <f ca="1"/>
        <v>0</v>
      </c>
      <c r="Y205" s="1983">
        <f ca="1"/>
        <v>0</v>
      </c>
    </row>
    <row r="206" spans="1:26">
      <c r="A206" s="1971" t="str">
        <v>5 meses antes</v>
      </c>
      <c r="B206" s="1967"/>
      <c r="C206" s="1967"/>
      <c r="D206" s="1967"/>
      <c r="E206" s="1967"/>
      <c r="F206" s="1967"/>
      <c r="G206" s="1967"/>
      <c r="H206" s="1967"/>
      <c r="I206" s="592">
        <f t="array" aca="1" ref="I206:T206" ca="1">B25:M25*Produccion!$I$13</f>
        <v>0</v>
      </c>
      <c r="J206" s="592">
        <f ca="1"/>
        <v>0</v>
      </c>
      <c r="K206" s="592">
        <f ca="1"/>
        <v>0</v>
      </c>
      <c r="L206" s="592">
        <f ca="1"/>
        <v>0</v>
      </c>
      <c r="M206" s="592">
        <f ca="1"/>
        <v>0</v>
      </c>
      <c r="N206" s="592">
        <f ca="1"/>
        <v>0</v>
      </c>
      <c r="O206" s="592">
        <f ca="1"/>
        <v>0</v>
      </c>
      <c r="P206" s="592">
        <f ca="1"/>
        <v>0</v>
      </c>
      <c r="Q206" s="592">
        <f ca="1"/>
        <v>0</v>
      </c>
      <c r="R206" s="592">
        <f ca="1"/>
        <v>0</v>
      </c>
      <c r="S206" s="592">
        <f ca="1"/>
        <v>0</v>
      </c>
      <c r="T206" s="592">
        <f ca="1"/>
        <v>0</v>
      </c>
      <c r="U206" s="1964">
        <f t="array" aca="1" ref="U206:U213" ca="1">'Distr CV 1'!I206:I213</f>
        <v>0</v>
      </c>
      <c r="V206" s="1964">
        <f ca="1"/>
        <v>0</v>
      </c>
      <c r="W206" s="1964">
        <f ca="1"/>
        <v>0</v>
      </c>
      <c r="X206" s="1964">
        <f ca="1"/>
        <v>0</v>
      </c>
      <c r="Y206" s="1983">
        <f ca="1"/>
        <v>0</v>
      </c>
    </row>
    <row r="207" spans="1:26">
      <c r="A207" s="1971" t="str">
        <v>6 meses antes</v>
      </c>
      <c r="B207" s="1967"/>
      <c r="C207" s="1967"/>
      <c r="D207" s="1967"/>
      <c r="E207" s="1967"/>
      <c r="F207" s="1967"/>
      <c r="G207" s="1967"/>
      <c r="H207" s="592">
        <f t="array" aca="1" ref="H207:S207" ca="1">B25:M25*Produccion!$H$13</f>
        <v>0</v>
      </c>
      <c r="I207" s="592">
        <f ca="1"/>
        <v>0</v>
      </c>
      <c r="J207" s="592">
        <f ca="1"/>
        <v>0</v>
      </c>
      <c r="K207" s="592">
        <f ca="1"/>
        <v>0</v>
      </c>
      <c r="L207" s="592">
        <f ca="1"/>
        <v>0</v>
      </c>
      <c r="M207" s="592">
        <f ca="1"/>
        <v>0</v>
      </c>
      <c r="N207" s="592">
        <f ca="1"/>
        <v>0</v>
      </c>
      <c r="O207" s="592">
        <f ca="1"/>
        <v>0</v>
      </c>
      <c r="P207" s="592">
        <f ca="1"/>
        <v>0</v>
      </c>
      <c r="Q207" s="592">
        <f ca="1"/>
        <v>0</v>
      </c>
      <c r="R207" s="592">
        <f ca="1"/>
        <v>0</v>
      </c>
      <c r="S207" s="592">
        <f ca="1"/>
        <v>0</v>
      </c>
      <c r="T207" s="1964">
        <f t="array" aca="1" ref="T207:T213" ca="1">'Distr CV 1'!H207:H213</f>
        <v>0</v>
      </c>
      <c r="U207" s="1964">
        <f ca="1"/>
        <v>0</v>
      </c>
      <c r="V207" s="1964">
        <f ca="1"/>
        <v>0</v>
      </c>
      <c r="W207" s="1964">
        <f ca="1"/>
        <v>0</v>
      </c>
      <c r="X207" s="1964">
        <f ca="1"/>
        <v>0</v>
      </c>
      <c r="Y207" s="1983">
        <f ca="1"/>
        <v>0</v>
      </c>
    </row>
    <row r="208" spans="1:26">
      <c r="A208" s="1971" t="str">
        <v>7 meses antes</v>
      </c>
      <c r="B208" s="1967"/>
      <c r="C208" s="1967"/>
      <c r="D208" s="1967"/>
      <c r="E208" s="1967"/>
      <c r="F208" s="1967"/>
      <c r="G208" s="592">
        <f t="array" aca="1" ref="G208:R208" ca="1">B25:M25*Produccion!$G$13</f>
        <v>0</v>
      </c>
      <c r="H208" s="592">
        <f ca="1"/>
        <v>0</v>
      </c>
      <c r="I208" s="592">
        <f ca="1"/>
        <v>0</v>
      </c>
      <c r="J208" s="592">
        <f ca="1"/>
        <v>0</v>
      </c>
      <c r="K208" s="592">
        <f ca="1"/>
        <v>0</v>
      </c>
      <c r="L208" s="592">
        <f ca="1"/>
        <v>0</v>
      </c>
      <c r="M208" s="592">
        <f ca="1"/>
        <v>0</v>
      </c>
      <c r="N208" s="592">
        <f ca="1"/>
        <v>0</v>
      </c>
      <c r="O208" s="592">
        <f ca="1"/>
        <v>0</v>
      </c>
      <c r="P208" s="592">
        <f ca="1"/>
        <v>0</v>
      </c>
      <c r="Q208" s="592">
        <f ca="1"/>
        <v>0</v>
      </c>
      <c r="R208" s="592">
        <f ca="1"/>
        <v>0</v>
      </c>
      <c r="S208" s="1968">
        <f t="array" aca="1" ref="S208:S213" ca="1">'Distr CV 1'!G208:G213</f>
        <v>0</v>
      </c>
      <c r="T208" s="1968">
        <f ca="1"/>
        <v>0</v>
      </c>
      <c r="U208" s="1968">
        <f ca="1"/>
        <v>0</v>
      </c>
      <c r="V208" s="1968">
        <f ca="1"/>
        <v>0</v>
      </c>
      <c r="W208" s="1968">
        <f ca="1"/>
        <v>0</v>
      </c>
      <c r="X208" s="1968">
        <f ca="1"/>
        <v>0</v>
      </c>
      <c r="Y208" s="1986">
        <f ca="1"/>
        <v>0</v>
      </c>
    </row>
    <row r="209" spans="1:26">
      <c r="A209" s="1971" t="str">
        <v>8 meses antes</v>
      </c>
      <c r="B209" s="1967"/>
      <c r="C209" s="1967"/>
      <c r="D209" s="1967"/>
      <c r="E209" s="1967"/>
      <c r="F209" s="592">
        <f t="array" aca="1" ref="F209:Q209" ca="1">B25:M25*Produccion!$F$13</f>
        <v>0</v>
      </c>
      <c r="G209" s="592">
        <f ca="1"/>
        <v>0</v>
      </c>
      <c r="H209" s="592">
        <f ca="1"/>
        <v>0</v>
      </c>
      <c r="I209" s="592">
        <f ca="1"/>
        <v>0</v>
      </c>
      <c r="J209" s="592">
        <f ca="1"/>
        <v>0</v>
      </c>
      <c r="K209" s="592">
        <f ca="1"/>
        <v>0</v>
      </c>
      <c r="L209" s="592">
        <f ca="1"/>
        <v>0</v>
      </c>
      <c r="M209" s="592">
        <f ca="1"/>
        <v>0</v>
      </c>
      <c r="N209" s="592">
        <f ca="1"/>
        <v>0</v>
      </c>
      <c r="O209" s="592">
        <f ca="1"/>
        <v>0</v>
      </c>
      <c r="P209" s="592">
        <f ca="1"/>
        <v>0</v>
      </c>
      <c r="Q209" s="592">
        <f ca="1"/>
        <v>0</v>
      </c>
      <c r="R209" s="1968">
        <f t="array" aca="1" ref="R209:R213" ca="1">'Distr CV 1'!F209:F213</f>
        <v>0</v>
      </c>
      <c r="S209" s="1968">
        <f ca="1"/>
        <v>0</v>
      </c>
      <c r="T209" s="1968">
        <f ca="1"/>
        <v>0</v>
      </c>
      <c r="U209" s="1968">
        <f ca="1"/>
        <v>0</v>
      </c>
      <c r="V209" s="1968">
        <f ca="1"/>
        <v>0</v>
      </c>
      <c r="W209" s="1968">
        <f ca="1"/>
        <v>0</v>
      </c>
      <c r="X209" s="1968">
        <f ca="1"/>
        <v>0</v>
      </c>
      <c r="Y209" s="1986">
        <f ca="1"/>
        <v>0</v>
      </c>
    </row>
    <row r="210" spans="1:26">
      <c r="A210" s="1971" t="str">
        <v>9 meses antes</v>
      </c>
      <c r="B210" s="1967"/>
      <c r="C210" s="1967"/>
      <c r="D210" s="1967"/>
      <c r="E210" s="592">
        <f t="array" aca="1" ref="E210:P210" ca="1">B25:M25*Produccion!$E$13</f>
        <v>0</v>
      </c>
      <c r="F210" s="592">
        <f ca="1"/>
        <v>0</v>
      </c>
      <c r="G210" s="592">
        <f ca="1"/>
        <v>0</v>
      </c>
      <c r="H210" s="592">
        <f ca="1"/>
        <v>0</v>
      </c>
      <c r="I210" s="592">
        <f ca="1"/>
        <v>0</v>
      </c>
      <c r="J210" s="592">
        <f ca="1"/>
        <v>0</v>
      </c>
      <c r="K210" s="592">
        <f ca="1"/>
        <v>0</v>
      </c>
      <c r="L210" s="592">
        <f ca="1"/>
        <v>0</v>
      </c>
      <c r="M210" s="592">
        <f ca="1"/>
        <v>0</v>
      </c>
      <c r="N210" s="592">
        <f ca="1"/>
        <v>0</v>
      </c>
      <c r="O210" s="592">
        <f ca="1"/>
        <v>0</v>
      </c>
      <c r="P210" s="592">
        <f ca="1"/>
        <v>0</v>
      </c>
      <c r="Q210" s="1968">
        <f t="array" aca="1" ref="Q210:Q213" ca="1">'Distr CV 1'!E210:F213</f>
        <v>0</v>
      </c>
      <c r="R210" s="1968">
        <f ca="1"/>
        <v>0</v>
      </c>
      <c r="S210" s="1968">
        <f ca="1"/>
        <v>0</v>
      </c>
      <c r="T210" s="1968">
        <f ca="1"/>
        <v>0</v>
      </c>
      <c r="U210" s="1968">
        <f ca="1"/>
        <v>0</v>
      </c>
      <c r="V210" s="1968">
        <f ca="1"/>
        <v>0</v>
      </c>
      <c r="W210" s="1968">
        <f ca="1"/>
        <v>0</v>
      </c>
      <c r="X210" s="1968">
        <f ca="1"/>
        <v>0</v>
      </c>
      <c r="Y210" s="1986">
        <f ca="1"/>
        <v>0</v>
      </c>
    </row>
    <row r="211" spans="1:26">
      <c r="A211" s="1971" t="str">
        <v>10 meses antes</v>
      </c>
      <c r="B211" s="1967"/>
      <c r="C211" s="1967"/>
      <c r="D211" s="592">
        <f t="array" aca="1" ref="D211:O211" ca="1">B25:M25*Produccion!$D$13</f>
        <v>0</v>
      </c>
      <c r="E211" s="592">
        <f ca="1"/>
        <v>0</v>
      </c>
      <c r="F211" s="592">
        <f ca="1"/>
        <v>0</v>
      </c>
      <c r="G211" s="592">
        <f ca="1"/>
        <v>0</v>
      </c>
      <c r="H211" s="592">
        <f ca="1"/>
        <v>0</v>
      </c>
      <c r="I211" s="592">
        <f ca="1"/>
        <v>0</v>
      </c>
      <c r="J211" s="592">
        <f ca="1"/>
        <v>0</v>
      </c>
      <c r="K211" s="592">
        <f ca="1"/>
        <v>0</v>
      </c>
      <c r="L211" s="592">
        <f ca="1"/>
        <v>0</v>
      </c>
      <c r="M211" s="592">
        <f ca="1"/>
        <v>0</v>
      </c>
      <c r="N211" s="592">
        <f ca="1"/>
        <v>0</v>
      </c>
      <c r="O211" s="592">
        <f ca="1"/>
        <v>0</v>
      </c>
      <c r="P211" s="1968">
        <f t="array" aca="1" ref="P211:P213" ca="1">'Distr CV 1'!D211:D213</f>
        <v>0</v>
      </c>
      <c r="Q211" s="1968">
        <f ca="1"/>
        <v>0</v>
      </c>
      <c r="R211" s="1968">
        <f ca="1"/>
        <v>0</v>
      </c>
      <c r="S211" s="1968">
        <f ca="1"/>
        <v>0</v>
      </c>
      <c r="T211" s="1968">
        <f ca="1"/>
        <v>0</v>
      </c>
      <c r="U211" s="1968">
        <f ca="1"/>
        <v>0</v>
      </c>
      <c r="V211" s="1968">
        <f ca="1"/>
        <v>0</v>
      </c>
      <c r="W211" s="1968">
        <f ca="1"/>
        <v>0</v>
      </c>
      <c r="X211" s="1968">
        <f ca="1"/>
        <v>0</v>
      </c>
      <c r="Y211" s="1986">
        <f ca="1"/>
        <v>0</v>
      </c>
    </row>
    <row r="212" spans="1:26">
      <c r="A212" s="1971" t="str">
        <v>11 meses antes</v>
      </c>
      <c r="B212" s="1967"/>
      <c r="C212" s="592">
        <f t="array" aca="1" ref="C212:N212" ca="1">B25:M25*Produccion!$C$13</f>
        <v>0</v>
      </c>
      <c r="D212" s="592">
        <f ca="1"/>
        <v>0</v>
      </c>
      <c r="E212" s="592">
        <f ca="1"/>
        <v>0</v>
      </c>
      <c r="F212" s="592">
        <f ca="1"/>
        <v>0</v>
      </c>
      <c r="G212" s="592">
        <f ca="1"/>
        <v>0</v>
      </c>
      <c r="H212" s="592">
        <f ca="1"/>
        <v>0</v>
      </c>
      <c r="I212" s="592">
        <f ca="1"/>
        <v>0</v>
      </c>
      <c r="J212" s="592">
        <f ca="1"/>
        <v>0</v>
      </c>
      <c r="K212" s="592">
        <f ca="1"/>
        <v>0</v>
      </c>
      <c r="L212" s="592">
        <f ca="1"/>
        <v>0</v>
      </c>
      <c r="M212" s="592">
        <f ca="1"/>
        <v>0</v>
      </c>
      <c r="N212" s="592">
        <f ca="1"/>
        <v>0</v>
      </c>
      <c r="O212" s="1968">
        <f t="array" aca="1" ref="O212:O213" ca="1">'Distr CV 1'!C212:C213</f>
        <v>0</v>
      </c>
      <c r="P212" s="1968">
        <f ca="1"/>
        <v>0</v>
      </c>
      <c r="Q212" s="1968">
        <f ca="1"/>
        <v>0</v>
      </c>
      <c r="R212" s="1968">
        <f ca="1"/>
        <v>0</v>
      </c>
      <c r="S212" s="1968">
        <f ca="1"/>
        <v>0</v>
      </c>
      <c r="T212" s="1968">
        <f ca="1"/>
        <v>0</v>
      </c>
      <c r="U212" s="1968">
        <f ca="1"/>
        <v>0</v>
      </c>
      <c r="V212" s="1968">
        <f ca="1"/>
        <v>0</v>
      </c>
      <c r="W212" s="1968">
        <f ca="1"/>
        <v>0</v>
      </c>
      <c r="X212" s="1968">
        <f ca="1"/>
        <v>0</v>
      </c>
      <c r="Y212" s="1986">
        <f ca="1"/>
        <v>0</v>
      </c>
    </row>
    <row r="213" spans="1:26" ht="13.5" thickBot="1">
      <c r="A213" s="1971" t="str">
        <v>12 meses antes</v>
      </c>
      <c r="B213" s="592">
        <f t="array" aca="1" ref="B213:M213" ca="1">B25:M25*Produccion!$B$13</f>
        <v>0</v>
      </c>
      <c r="C213" s="592">
        <f ca="1"/>
        <v>0</v>
      </c>
      <c r="D213" s="592">
        <f ca="1"/>
        <v>0</v>
      </c>
      <c r="E213" s="592">
        <f ca="1"/>
        <v>0</v>
      </c>
      <c r="F213" s="592">
        <f ca="1"/>
        <v>0</v>
      </c>
      <c r="G213" s="592">
        <f ca="1"/>
        <v>0</v>
      </c>
      <c r="H213" s="592">
        <f ca="1"/>
        <v>0</v>
      </c>
      <c r="I213" s="592">
        <f ca="1"/>
        <v>0</v>
      </c>
      <c r="J213" s="592">
        <f ca="1"/>
        <v>0</v>
      </c>
      <c r="K213" s="592">
        <f ca="1"/>
        <v>0</v>
      </c>
      <c r="L213" s="592">
        <f ca="1"/>
        <v>0</v>
      </c>
      <c r="M213" s="592">
        <f ca="1"/>
        <v>0</v>
      </c>
      <c r="N213" s="1967">
        <f ca="1">'Distr CV 1'!B213</f>
        <v>0</v>
      </c>
      <c r="O213" s="1968">
        <f ca="1"/>
        <v>0</v>
      </c>
      <c r="P213" s="1968">
        <f ca="1"/>
        <v>0</v>
      </c>
      <c r="Q213" s="1968">
        <f ca="1"/>
        <v>0</v>
      </c>
      <c r="R213" s="1968">
        <f ca="1"/>
        <v>0</v>
      </c>
      <c r="S213" s="1968">
        <f ca="1"/>
        <v>0</v>
      </c>
      <c r="T213" s="1968">
        <f ca="1"/>
        <v>0</v>
      </c>
      <c r="U213" s="1968">
        <f ca="1"/>
        <v>0</v>
      </c>
      <c r="V213" s="1968">
        <f ca="1"/>
        <v>0</v>
      </c>
      <c r="W213" s="1968">
        <f ca="1"/>
        <v>0</v>
      </c>
      <c r="X213" s="1968">
        <f ca="1"/>
        <v>0</v>
      </c>
      <c r="Y213" s="1986">
        <f ca="1"/>
        <v>0</v>
      </c>
    </row>
    <row r="214" spans="1:26" ht="15.75" customHeight="1" thickBot="1">
      <c r="A214" s="103" t="str">
        <f>"Totales CV "&amp;A$13</f>
        <v xml:space="preserve">Totales CV </v>
      </c>
      <c r="B214" s="596">
        <f t="shared" ref="B214:Y214" ca="1" si="15">SUM(B201:B213)</f>
        <v>0</v>
      </c>
      <c r="C214" s="596">
        <f t="shared" ca="1" si="15"/>
        <v>0</v>
      </c>
      <c r="D214" s="596">
        <f t="shared" ca="1" si="15"/>
        <v>0</v>
      </c>
      <c r="E214" s="596">
        <f t="shared" ca="1" si="15"/>
        <v>0</v>
      </c>
      <c r="F214" s="596">
        <f t="shared" ca="1" si="15"/>
        <v>0</v>
      </c>
      <c r="G214" s="596">
        <f t="shared" ca="1" si="15"/>
        <v>0</v>
      </c>
      <c r="H214" s="596">
        <f t="shared" ca="1" si="15"/>
        <v>0</v>
      </c>
      <c r="I214" s="596">
        <f t="shared" ca="1" si="15"/>
        <v>0</v>
      </c>
      <c r="J214" s="596">
        <f t="shared" ca="1" si="15"/>
        <v>0</v>
      </c>
      <c r="K214" s="596">
        <f t="shared" ca="1" si="15"/>
        <v>0</v>
      </c>
      <c r="L214" s="596">
        <f t="shared" ca="1" si="15"/>
        <v>0</v>
      </c>
      <c r="M214" s="596">
        <f t="shared" ca="1" si="15"/>
        <v>0</v>
      </c>
      <c r="N214" s="596">
        <f t="shared" ca="1" si="15"/>
        <v>0</v>
      </c>
      <c r="O214" s="596">
        <f t="shared" ca="1" si="15"/>
        <v>0</v>
      </c>
      <c r="P214" s="596">
        <f t="shared" ca="1" si="15"/>
        <v>0</v>
      </c>
      <c r="Q214" s="596">
        <f t="shared" ca="1" si="15"/>
        <v>0</v>
      </c>
      <c r="R214" s="596">
        <f t="shared" ca="1" si="15"/>
        <v>0</v>
      </c>
      <c r="S214" s="596">
        <f t="shared" ca="1" si="15"/>
        <v>0</v>
      </c>
      <c r="T214" s="596">
        <f t="shared" ca="1" si="15"/>
        <v>0</v>
      </c>
      <c r="U214" s="596">
        <f t="shared" ca="1" si="15"/>
        <v>0</v>
      </c>
      <c r="V214" s="596">
        <f t="shared" ca="1" si="15"/>
        <v>0</v>
      </c>
      <c r="W214" s="596">
        <f t="shared" ca="1" si="15"/>
        <v>0</v>
      </c>
      <c r="X214" s="596">
        <f t="shared" ca="1" si="15"/>
        <v>0</v>
      </c>
      <c r="Y214" s="1984">
        <f t="shared" ca="1" si="15"/>
        <v>0</v>
      </c>
    </row>
    <row r="215" spans="1:26" ht="15.75" customHeight="1" thickBot="1">
      <c r="A215" s="103" t="str">
        <f>'Datos Básicos'!A28&amp;" sop. CV "&amp;$A$13</f>
        <v xml:space="preserve">IVA sop. CV </v>
      </c>
      <c r="B215" s="596">
        <f t="array" aca="1" ref="B215:Y215" ca="1">$K$199*B214:Y214</f>
        <v>0</v>
      </c>
      <c r="C215" s="596">
        <f ca="1"/>
        <v>0</v>
      </c>
      <c r="D215" s="596">
        <f ca="1"/>
        <v>0</v>
      </c>
      <c r="E215" s="596">
        <f ca="1"/>
        <v>0</v>
      </c>
      <c r="F215" s="596">
        <f ca="1"/>
        <v>0</v>
      </c>
      <c r="G215" s="596">
        <f ca="1"/>
        <v>0</v>
      </c>
      <c r="H215" s="596">
        <f ca="1"/>
        <v>0</v>
      </c>
      <c r="I215" s="596">
        <f ca="1"/>
        <v>0</v>
      </c>
      <c r="J215" s="596">
        <f ca="1"/>
        <v>0</v>
      </c>
      <c r="K215" s="596">
        <f ca="1"/>
        <v>0</v>
      </c>
      <c r="L215" s="596">
        <f ca="1"/>
        <v>0</v>
      </c>
      <c r="M215" s="596">
        <f ca="1"/>
        <v>0</v>
      </c>
      <c r="N215" s="596">
        <f ca="1"/>
        <v>0</v>
      </c>
      <c r="O215" s="596">
        <f ca="1"/>
        <v>0</v>
      </c>
      <c r="P215" s="596">
        <f ca="1"/>
        <v>0</v>
      </c>
      <c r="Q215" s="596">
        <f ca="1"/>
        <v>0</v>
      </c>
      <c r="R215" s="596">
        <f ca="1"/>
        <v>0</v>
      </c>
      <c r="S215" s="596">
        <f ca="1"/>
        <v>0</v>
      </c>
      <c r="T215" s="596">
        <f ca="1"/>
        <v>0</v>
      </c>
      <c r="U215" s="596">
        <f ca="1"/>
        <v>0</v>
      </c>
      <c r="V215" s="596">
        <f ca="1"/>
        <v>0</v>
      </c>
      <c r="W215" s="596">
        <f ca="1"/>
        <v>0</v>
      </c>
      <c r="X215" s="596">
        <f ca="1"/>
        <v>0</v>
      </c>
      <c r="Y215" s="1984">
        <f ca="1"/>
        <v>0</v>
      </c>
    </row>
    <row r="217" spans="1:26" ht="18.75" thickBot="1">
      <c r="A217" s="1969" t="str">
        <f>"Compras / costes de producción por meses de "&amp;A$14</f>
        <v xml:space="preserve">Compras / costes de producción por meses de </v>
      </c>
      <c r="I217" s="1969" t="str">
        <f>I$44</f>
        <v>IVA NO incluido</v>
      </c>
      <c r="K217" s="1981">
        <f>Parametros!$F$30</f>
        <v>0.21</v>
      </c>
    </row>
    <row r="218" spans="1:26" s="445" customFormat="1" ht="33" customHeight="1" thickBot="1">
      <c r="A218" s="446" t="str">
        <f>A$110</f>
        <v>mes de compra / coste</v>
      </c>
      <c r="B218" s="1987" t="str">
        <f t="array" ref="B218:Y218">B$71:Y$71</f>
        <v>enero
2025</v>
      </c>
      <c r="C218" s="1987" t="str">
        <v>febrero
2025</v>
      </c>
      <c r="D218" s="1987" t="str">
        <v>marzo
2025</v>
      </c>
      <c r="E218" s="1987" t="str">
        <v>abril
2025</v>
      </c>
      <c r="F218" s="1987" t="str">
        <v>mayo
2025</v>
      </c>
      <c r="G218" s="1987" t="str">
        <v>junio
2025</v>
      </c>
      <c r="H218" s="1987" t="str">
        <v>julio
2025</v>
      </c>
      <c r="I218" s="1987" t="str">
        <v>agosto
2025</v>
      </c>
      <c r="J218" s="1987" t="str">
        <v>septiembre
2025</v>
      </c>
      <c r="K218" s="1987" t="str">
        <v>octubre
2025</v>
      </c>
      <c r="L218" s="1987" t="str">
        <v>noviembre
2025</v>
      </c>
      <c r="M218" s="1987" t="str">
        <v>diciembre
2025</v>
      </c>
      <c r="N218" s="2703" t="str">
        <v>enero 
2026</v>
      </c>
      <c r="O218" s="2704" t="str">
        <v>febrero 
2026</v>
      </c>
      <c r="P218" s="2704" t="str">
        <v>marzo 
2026</v>
      </c>
      <c r="Q218" s="2704" t="str">
        <v>abril 
2026</v>
      </c>
      <c r="R218" s="2704" t="str">
        <v>mayo 
2026</v>
      </c>
      <c r="S218" s="2704" t="str">
        <v>junio 
2026</v>
      </c>
      <c r="T218" s="2704" t="str">
        <v>julio 
2026</v>
      </c>
      <c r="U218" s="2704" t="str">
        <v>agosto 
2026</v>
      </c>
      <c r="V218" s="2704" t="str">
        <v>septiembre 
2026</v>
      </c>
      <c r="W218" s="2704" t="str">
        <v>octubre 
2026</v>
      </c>
      <c r="X218" s="2704" t="str">
        <v>noviembre 
2026</v>
      </c>
      <c r="Y218" s="2705" t="str">
        <v>diciembre 
2026</v>
      </c>
      <c r="Z218" s="61"/>
    </row>
    <row r="219" spans="1:26">
      <c r="A219" s="1970" t="str">
        <f t="array" ref="A219:A231">A$72:A$84</f>
        <v>mismo mes</v>
      </c>
      <c r="B219" s="1967"/>
      <c r="C219" s="1967"/>
      <c r="D219" s="1967"/>
      <c r="E219" s="1967"/>
      <c r="F219" s="1967"/>
      <c r="G219" s="1967"/>
      <c r="H219" s="1967"/>
      <c r="I219" s="1967"/>
      <c r="J219" s="1967"/>
      <c r="K219" s="1967"/>
      <c r="L219" s="1967"/>
      <c r="M219" s="1967"/>
      <c r="N219" s="592">
        <f t="array" aca="1" ref="N219:Y219" ca="1">B26:M26*Produccion!$N$14</f>
        <v>0</v>
      </c>
      <c r="O219" s="592">
        <f ca="1"/>
        <v>0</v>
      </c>
      <c r="P219" s="592">
        <f ca="1"/>
        <v>0</v>
      </c>
      <c r="Q219" s="592">
        <f ca="1"/>
        <v>0</v>
      </c>
      <c r="R219" s="592">
        <f ca="1"/>
        <v>0</v>
      </c>
      <c r="S219" s="592">
        <f ca="1"/>
        <v>0</v>
      </c>
      <c r="T219" s="592">
        <f ca="1"/>
        <v>0</v>
      </c>
      <c r="U219" s="592">
        <f ca="1"/>
        <v>0</v>
      </c>
      <c r="V219" s="592">
        <f ca="1"/>
        <v>0</v>
      </c>
      <c r="W219" s="592">
        <f ca="1"/>
        <v>0</v>
      </c>
      <c r="X219" s="592">
        <f ca="1"/>
        <v>0</v>
      </c>
      <c r="Y219" s="1982">
        <f ca="1"/>
        <v>0</v>
      </c>
    </row>
    <row r="220" spans="1:26">
      <c r="A220" s="1971" t="str">
        <v>1 mes antes</v>
      </c>
      <c r="B220" s="1967"/>
      <c r="C220" s="1967"/>
      <c r="D220" s="1967"/>
      <c r="E220" s="1967"/>
      <c r="F220" s="1967"/>
      <c r="G220" s="1967"/>
      <c r="H220" s="1967"/>
      <c r="I220" s="1967"/>
      <c r="J220" s="1967"/>
      <c r="K220" s="1967"/>
      <c r="L220" s="1967"/>
      <c r="M220" s="592">
        <f t="array" aca="1" ref="M220:X220" ca="1">B26:M26*Produccion!$M$14</f>
        <v>0</v>
      </c>
      <c r="N220" s="592">
        <f ca="1"/>
        <v>0</v>
      </c>
      <c r="O220" s="592">
        <f ca="1"/>
        <v>0</v>
      </c>
      <c r="P220" s="592">
        <f ca="1"/>
        <v>0</v>
      </c>
      <c r="Q220" s="592">
        <f ca="1"/>
        <v>0</v>
      </c>
      <c r="R220" s="592">
        <f ca="1"/>
        <v>0</v>
      </c>
      <c r="S220" s="592">
        <f ca="1"/>
        <v>0</v>
      </c>
      <c r="T220" s="592">
        <f ca="1"/>
        <v>0</v>
      </c>
      <c r="U220" s="592">
        <f ca="1"/>
        <v>0</v>
      </c>
      <c r="V220" s="592">
        <f ca="1"/>
        <v>0</v>
      </c>
      <c r="W220" s="592">
        <f ca="1"/>
        <v>0</v>
      </c>
      <c r="X220" s="592">
        <f ca="1"/>
        <v>0</v>
      </c>
      <c r="Y220" s="1983">
        <f t="array" aca="1" ref="Y220:Y231" ca="1">'Distr CV 1'!M220:M231</f>
        <v>0</v>
      </c>
    </row>
    <row r="221" spans="1:26">
      <c r="A221" s="1971" t="str">
        <v>2 meses antes</v>
      </c>
      <c r="B221" s="1967"/>
      <c r="C221" s="1967"/>
      <c r="D221" s="1967"/>
      <c r="E221" s="1967"/>
      <c r="F221" s="1967"/>
      <c r="G221" s="1967"/>
      <c r="H221" s="1967"/>
      <c r="I221" s="1967"/>
      <c r="J221" s="1967"/>
      <c r="K221" s="1967"/>
      <c r="L221" s="592">
        <f t="array" aca="1" ref="L221:W221" ca="1">B26:M26*Produccion!$L$14</f>
        <v>0</v>
      </c>
      <c r="M221" s="592">
        <f ca="1"/>
        <v>0</v>
      </c>
      <c r="N221" s="592">
        <f ca="1"/>
        <v>0</v>
      </c>
      <c r="O221" s="592">
        <f ca="1"/>
        <v>0</v>
      </c>
      <c r="P221" s="592">
        <f ca="1"/>
        <v>0</v>
      </c>
      <c r="Q221" s="592">
        <f ca="1"/>
        <v>0</v>
      </c>
      <c r="R221" s="592">
        <f ca="1"/>
        <v>0</v>
      </c>
      <c r="S221" s="592">
        <f ca="1"/>
        <v>0</v>
      </c>
      <c r="T221" s="592">
        <f ca="1"/>
        <v>0</v>
      </c>
      <c r="U221" s="592">
        <f ca="1"/>
        <v>0</v>
      </c>
      <c r="V221" s="592">
        <f ca="1"/>
        <v>0</v>
      </c>
      <c r="W221" s="592">
        <f ca="1"/>
        <v>0</v>
      </c>
      <c r="X221" s="1964">
        <f t="array" aca="1" ref="X221:X231" ca="1">'Distr CV 1'!L221:L231</f>
        <v>0</v>
      </c>
      <c r="Y221" s="1983">
        <f ca="1"/>
        <v>0</v>
      </c>
    </row>
    <row r="222" spans="1:26">
      <c r="A222" s="1971" t="str">
        <v>3 meses antes</v>
      </c>
      <c r="B222" s="1967"/>
      <c r="C222" s="1967"/>
      <c r="D222" s="1967"/>
      <c r="E222" s="1967"/>
      <c r="F222" s="1967"/>
      <c r="G222" s="1967"/>
      <c r="H222" s="1967"/>
      <c r="I222" s="1967"/>
      <c r="J222" s="1967"/>
      <c r="K222" s="592">
        <f t="array" aca="1" ref="K222:V222" ca="1">B26:M26*Produccion!$K$14</f>
        <v>0</v>
      </c>
      <c r="L222" s="592">
        <f ca="1"/>
        <v>0</v>
      </c>
      <c r="M222" s="592">
        <f ca="1"/>
        <v>0</v>
      </c>
      <c r="N222" s="592">
        <f ca="1"/>
        <v>0</v>
      </c>
      <c r="O222" s="592">
        <f ca="1"/>
        <v>0</v>
      </c>
      <c r="P222" s="592">
        <f ca="1"/>
        <v>0</v>
      </c>
      <c r="Q222" s="592">
        <f ca="1"/>
        <v>0</v>
      </c>
      <c r="R222" s="592">
        <f ca="1"/>
        <v>0</v>
      </c>
      <c r="S222" s="592">
        <f ca="1"/>
        <v>0</v>
      </c>
      <c r="T222" s="592">
        <f ca="1"/>
        <v>0</v>
      </c>
      <c r="U222" s="592">
        <f ca="1"/>
        <v>0</v>
      </c>
      <c r="V222" s="592">
        <f ca="1"/>
        <v>0</v>
      </c>
      <c r="W222" s="1964">
        <f t="array" aca="1" ref="W222:W231" ca="1">'Distr CV 1'!K222:K231</f>
        <v>0</v>
      </c>
      <c r="X222" s="1964">
        <f ca="1"/>
        <v>0</v>
      </c>
      <c r="Y222" s="1983">
        <f ca="1"/>
        <v>0</v>
      </c>
    </row>
    <row r="223" spans="1:26">
      <c r="A223" s="1971" t="str">
        <v>4 meses antes</v>
      </c>
      <c r="B223" s="1967"/>
      <c r="C223" s="1967"/>
      <c r="D223" s="1967"/>
      <c r="E223" s="1967"/>
      <c r="F223" s="1967"/>
      <c r="G223" s="1967"/>
      <c r="H223" s="1967"/>
      <c r="I223" s="1967"/>
      <c r="J223" s="592">
        <f t="array" aca="1" ref="J223:U223" ca="1">B26:M26*Produccion!$J$14</f>
        <v>0</v>
      </c>
      <c r="K223" s="592">
        <f ca="1"/>
        <v>0</v>
      </c>
      <c r="L223" s="592">
        <f ca="1"/>
        <v>0</v>
      </c>
      <c r="M223" s="592">
        <f ca="1"/>
        <v>0</v>
      </c>
      <c r="N223" s="592">
        <f ca="1"/>
        <v>0</v>
      </c>
      <c r="O223" s="592">
        <f ca="1"/>
        <v>0</v>
      </c>
      <c r="P223" s="592">
        <f ca="1"/>
        <v>0</v>
      </c>
      <c r="Q223" s="592">
        <f ca="1"/>
        <v>0</v>
      </c>
      <c r="R223" s="592">
        <f ca="1"/>
        <v>0</v>
      </c>
      <c r="S223" s="592">
        <f ca="1"/>
        <v>0</v>
      </c>
      <c r="T223" s="592">
        <f ca="1"/>
        <v>0</v>
      </c>
      <c r="U223" s="592">
        <f ca="1"/>
        <v>0</v>
      </c>
      <c r="V223" s="1964">
        <f t="array" aca="1" ref="V223:V231" ca="1">'Distr CV 1'!J223:J231</f>
        <v>0</v>
      </c>
      <c r="W223" s="1964">
        <f ca="1"/>
        <v>0</v>
      </c>
      <c r="X223" s="1964">
        <f ca="1"/>
        <v>0</v>
      </c>
      <c r="Y223" s="1983">
        <f ca="1"/>
        <v>0</v>
      </c>
    </row>
    <row r="224" spans="1:26">
      <c r="A224" s="1971" t="str">
        <v>5 meses antes</v>
      </c>
      <c r="B224" s="1967"/>
      <c r="C224" s="1967"/>
      <c r="D224" s="1967"/>
      <c r="E224" s="1967"/>
      <c r="F224" s="1967"/>
      <c r="G224" s="1967"/>
      <c r="H224" s="1967"/>
      <c r="I224" s="592">
        <f t="array" aca="1" ref="I224:T224" ca="1">B26:M26*Produccion!$I$14</f>
        <v>0</v>
      </c>
      <c r="J224" s="592">
        <f ca="1"/>
        <v>0</v>
      </c>
      <c r="K224" s="592">
        <f ca="1"/>
        <v>0</v>
      </c>
      <c r="L224" s="592">
        <f ca="1"/>
        <v>0</v>
      </c>
      <c r="M224" s="592">
        <f ca="1"/>
        <v>0</v>
      </c>
      <c r="N224" s="592">
        <f ca="1"/>
        <v>0</v>
      </c>
      <c r="O224" s="592">
        <f ca="1"/>
        <v>0</v>
      </c>
      <c r="P224" s="592">
        <f ca="1"/>
        <v>0</v>
      </c>
      <c r="Q224" s="592">
        <f ca="1"/>
        <v>0</v>
      </c>
      <c r="R224" s="592">
        <f ca="1"/>
        <v>0</v>
      </c>
      <c r="S224" s="592">
        <f ca="1"/>
        <v>0</v>
      </c>
      <c r="T224" s="592">
        <f ca="1"/>
        <v>0</v>
      </c>
      <c r="U224" s="1964">
        <f t="array" aca="1" ref="U224:U231" ca="1">'Distr CV 1'!I224:I231</f>
        <v>0</v>
      </c>
      <c r="V224" s="1964">
        <f ca="1"/>
        <v>0</v>
      </c>
      <c r="W224" s="1964">
        <f ca="1"/>
        <v>0</v>
      </c>
      <c r="X224" s="1964">
        <f ca="1"/>
        <v>0</v>
      </c>
      <c r="Y224" s="1983">
        <f ca="1"/>
        <v>0</v>
      </c>
    </row>
    <row r="225" spans="1:26">
      <c r="A225" s="1971" t="str">
        <v>6 meses antes</v>
      </c>
      <c r="B225" s="1967"/>
      <c r="C225" s="1967"/>
      <c r="D225" s="1967"/>
      <c r="E225" s="1967"/>
      <c r="F225" s="1967"/>
      <c r="G225" s="1967"/>
      <c r="H225" s="592">
        <f t="array" aca="1" ref="H225:S225" ca="1">B26:M26*Produccion!$H$14</f>
        <v>0</v>
      </c>
      <c r="I225" s="592">
        <f ca="1"/>
        <v>0</v>
      </c>
      <c r="J225" s="592">
        <f ca="1"/>
        <v>0</v>
      </c>
      <c r="K225" s="592">
        <f ca="1"/>
        <v>0</v>
      </c>
      <c r="L225" s="592">
        <f ca="1"/>
        <v>0</v>
      </c>
      <c r="M225" s="592">
        <f ca="1"/>
        <v>0</v>
      </c>
      <c r="N225" s="592">
        <f ca="1"/>
        <v>0</v>
      </c>
      <c r="O225" s="592">
        <f ca="1"/>
        <v>0</v>
      </c>
      <c r="P225" s="592">
        <f ca="1"/>
        <v>0</v>
      </c>
      <c r="Q225" s="592">
        <f ca="1"/>
        <v>0</v>
      </c>
      <c r="R225" s="592">
        <f ca="1"/>
        <v>0</v>
      </c>
      <c r="S225" s="592">
        <f ca="1"/>
        <v>0</v>
      </c>
      <c r="T225" s="1964">
        <f t="array" aca="1" ref="T225:T231" ca="1">'Distr CV 1'!H225:H231</f>
        <v>0</v>
      </c>
      <c r="U225" s="1964">
        <f ca="1"/>
        <v>0</v>
      </c>
      <c r="V225" s="1964">
        <f ca="1"/>
        <v>0</v>
      </c>
      <c r="W225" s="1964">
        <f ca="1"/>
        <v>0</v>
      </c>
      <c r="X225" s="1964">
        <f ca="1"/>
        <v>0</v>
      </c>
      <c r="Y225" s="1983">
        <f ca="1"/>
        <v>0</v>
      </c>
    </row>
    <row r="226" spans="1:26">
      <c r="A226" s="1971" t="str">
        <v>7 meses antes</v>
      </c>
      <c r="B226" s="1967"/>
      <c r="C226" s="1967"/>
      <c r="D226" s="1967"/>
      <c r="E226" s="1967"/>
      <c r="F226" s="1967"/>
      <c r="G226" s="592">
        <f t="array" aca="1" ref="G226:R226" ca="1">B26:M26*Produccion!$G$14</f>
        <v>0</v>
      </c>
      <c r="H226" s="592">
        <f ca="1"/>
        <v>0</v>
      </c>
      <c r="I226" s="592">
        <f ca="1"/>
        <v>0</v>
      </c>
      <c r="J226" s="592">
        <f ca="1"/>
        <v>0</v>
      </c>
      <c r="K226" s="592">
        <f ca="1"/>
        <v>0</v>
      </c>
      <c r="L226" s="592">
        <f ca="1"/>
        <v>0</v>
      </c>
      <c r="M226" s="592">
        <f ca="1"/>
        <v>0</v>
      </c>
      <c r="N226" s="592">
        <f ca="1"/>
        <v>0</v>
      </c>
      <c r="O226" s="592">
        <f ca="1"/>
        <v>0</v>
      </c>
      <c r="P226" s="592">
        <f ca="1"/>
        <v>0</v>
      </c>
      <c r="Q226" s="592">
        <f ca="1"/>
        <v>0</v>
      </c>
      <c r="R226" s="592">
        <f ca="1"/>
        <v>0</v>
      </c>
      <c r="S226" s="1968">
        <f t="array" aca="1" ref="S226:S231" ca="1">'Distr CV 1'!G226:G231</f>
        <v>0</v>
      </c>
      <c r="T226" s="1968">
        <f ca="1"/>
        <v>0</v>
      </c>
      <c r="U226" s="1968">
        <f ca="1"/>
        <v>0</v>
      </c>
      <c r="V226" s="1968">
        <f ca="1"/>
        <v>0</v>
      </c>
      <c r="W226" s="1968">
        <f ca="1"/>
        <v>0</v>
      </c>
      <c r="X226" s="1968">
        <f ca="1"/>
        <v>0</v>
      </c>
      <c r="Y226" s="1986">
        <f ca="1"/>
        <v>0</v>
      </c>
    </row>
    <row r="227" spans="1:26">
      <c r="A227" s="1971" t="str">
        <v>8 meses antes</v>
      </c>
      <c r="B227" s="1967"/>
      <c r="C227" s="1967"/>
      <c r="D227" s="1967"/>
      <c r="E227" s="1967"/>
      <c r="F227" s="592">
        <f t="array" aca="1" ref="F227:Q227" ca="1">B26:M26*Produccion!$F$14</f>
        <v>0</v>
      </c>
      <c r="G227" s="592">
        <f ca="1"/>
        <v>0</v>
      </c>
      <c r="H227" s="592">
        <f ca="1"/>
        <v>0</v>
      </c>
      <c r="I227" s="592">
        <f ca="1"/>
        <v>0</v>
      </c>
      <c r="J227" s="592">
        <f ca="1"/>
        <v>0</v>
      </c>
      <c r="K227" s="592">
        <f ca="1"/>
        <v>0</v>
      </c>
      <c r="L227" s="592">
        <f ca="1"/>
        <v>0</v>
      </c>
      <c r="M227" s="592">
        <f ca="1"/>
        <v>0</v>
      </c>
      <c r="N227" s="592">
        <f ca="1"/>
        <v>0</v>
      </c>
      <c r="O227" s="592">
        <f ca="1"/>
        <v>0</v>
      </c>
      <c r="P227" s="592">
        <f ca="1"/>
        <v>0</v>
      </c>
      <c r="Q227" s="592">
        <f ca="1"/>
        <v>0</v>
      </c>
      <c r="R227" s="1968">
        <f t="array" aca="1" ref="R227:R231" ca="1">'Distr CV 1'!F227:F231</f>
        <v>0</v>
      </c>
      <c r="S227" s="1968">
        <f ca="1"/>
        <v>0</v>
      </c>
      <c r="T227" s="1968">
        <f ca="1"/>
        <v>0</v>
      </c>
      <c r="U227" s="1968">
        <f ca="1"/>
        <v>0</v>
      </c>
      <c r="V227" s="1968">
        <f ca="1"/>
        <v>0</v>
      </c>
      <c r="W227" s="1968">
        <f ca="1"/>
        <v>0</v>
      </c>
      <c r="X227" s="1968">
        <f ca="1"/>
        <v>0</v>
      </c>
      <c r="Y227" s="1986">
        <f ca="1"/>
        <v>0</v>
      </c>
    </row>
    <row r="228" spans="1:26">
      <c r="A228" s="1971" t="str">
        <v>9 meses antes</v>
      </c>
      <c r="B228" s="1967"/>
      <c r="C228" s="1967"/>
      <c r="D228" s="1967"/>
      <c r="E228" s="592">
        <f t="array" aca="1" ref="E228:P228" ca="1">B26:M26*Produccion!$E$14</f>
        <v>0</v>
      </c>
      <c r="F228" s="592">
        <f ca="1"/>
        <v>0</v>
      </c>
      <c r="G228" s="592">
        <f ca="1"/>
        <v>0</v>
      </c>
      <c r="H228" s="592">
        <f ca="1"/>
        <v>0</v>
      </c>
      <c r="I228" s="592">
        <f ca="1"/>
        <v>0</v>
      </c>
      <c r="J228" s="592">
        <f ca="1"/>
        <v>0</v>
      </c>
      <c r="K228" s="592">
        <f ca="1"/>
        <v>0</v>
      </c>
      <c r="L228" s="592">
        <f ca="1"/>
        <v>0</v>
      </c>
      <c r="M228" s="592">
        <f ca="1"/>
        <v>0</v>
      </c>
      <c r="N228" s="592">
        <f ca="1"/>
        <v>0</v>
      </c>
      <c r="O228" s="592">
        <f ca="1"/>
        <v>0</v>
      </c>
      <c r="P228" s="592">
        <f ca="1"/>
        <v>0</v>
      </c>
      <c r="Q228" s="1968">
        <f t="array" aca="1" ref="Q228:Q231" ca="1">'Distr CV 1'!E228:F231</f>
        <v>0</v>
      </c>
      <c r="R228" s="1968">
        <f ca="1"/>
        <v>0</v>
      </c>
      <c r="S228" s="1968">
        <f ca="1"/>
        <v>0</v>
      </c>
      <c r="T228" s="1968">
        <f ca="1"/>
        <v>0</v>
      </c>
      <c r="U228" s="1968">
        <f ca="1"/>
        <v>0</v>
      </c>
      <c r="V228" s="1968">
        <f ca="1"/>
        <v>0</v>
      </c>
      <c r="W228" s="1968">
        <f ca="1"/>
        <v>0</v>
      </c>
      <c r="X228" s="1968">
        <f ca="1"/>
        <v>0</v>
      </c>
      <c r="Y228" s="1986">
        <f ca="1"/>
        <v>0</v>
      </c>
    </row>
    <row r="229" spans="1:26">
      <c r="A229" s="1971" t="str">
        <v>10 meses antes</v>
      </c>
      <c r="B229" s="1967"/>
      <c r="C229" s="1967"/>
      <c r="D229" s="592">
        <f t="array" aca="1" ref="D229:O229" ca="1">B26:M26*Produccion!$D$14</f>
        <v>0</v>
      </c>
      <c r="E229" s="592">
        <f ca="1"/>
        <v>0</v>
      </c>
      <c r="F229" s="592">
        <f ca="1"/>
        <v>0</v>
      </c>
      <c r="G229" s="592">
        <f ca="1"/>
        <v>0</v>
      </c>
      <c r="H229" s="592">
        <f ca="1"/>
        <v>0</v>
      </c>
      <c r="I229" s="592">
        <f ca="1"/>
        <v>0</v>
      </c>
      <c r="J229" s="592">
        <f ca="1"/>
        <v>0</v>
      </c>
      <c r="K229" s="592">
        <f ca="1"/>
        <v>0</v>
      </c>
      <c r="L229" s="592">
        <f ca="1"/>
        <v>0</v>
      </c>
      <c r="M229" s="592">
        <f ca="1"/>
        <v>0</v>
      </c>
      <c r="N229" s="592">
        <f ca="1"/>
        <v>0</v>
      </c>
      <c r="O229" s="592">
        <f ca="1"/>
        <v>0</v>
      </c>
      <c r="P229" s="1968">
        <f t="array" aca="1" ref="P229:P231" ca="1">'Distr CV 1'!D229:D231</f>
        <v>0</v>
      </c>
      <c r="Q229" s="1968">
        <f ca="1"/>
        <v>0</v>
      </c>
      <c r="R229" s="1968">
        <f ca="1"/>
        <v>0</v>
      </c>
      <c r="S229" s="1968">
        <f ca="1"/>
        <v>0</v>
      </c>
      <c r="T229" s="1968">
        <f ca="1"/>
        <v>0</v>
      </c>
      <c r="U229" s="1968">
        <f ca="1"/>
        <v>0</v>
      </c>
      <c r="V229" s="1968">
        <f ca="1"/>
        <v>0</v>
      </c>
      <c r="W229" s="1968">
        <f ca="1"/>
        <v>0</v>
      </c>
      <c r="X229" s="1968">
        <f ca="1"/>
        <v>0</v>
      </c>
      <c r="Y229" s="1986">
        <f ca="1"/>
        <v>0</v>
      </c>
    </row>
    <row r="230" spans="1:26">
      <c r="A230" s="1971" t="str">
        <v>11 meses antes</v>
      </c>
      <c r="B230" s="1967"/>
      <c r="C230" s="592">
        <f t="array" aca="1" ref="C230:N230" ca="1">B26:M26*Produccion!$C$14</f>
        <v>0</v>
      </c>
      <c r="D230" s="592">
        <f ca="1"/>
        <v>0</v>
      </c>
      <c r="E230" s="592">
        <f ca="1"/>
        <v>0</v>
      </c>
      <c r="F230" s="592">
        <f ca="1"/>
        <v>0</v>
      </c>
      <c r="G230" s="592">
        <f ca="1"/>
        <v>0</v>
      </c>
      <c r="H230" s="592">
        <f ca="1"/>
        <v>0</v>
      </c>
      <c r="I230" s="592">
        <f ca="1"/>
        <v>0</v>
      </c>
      <c r="J230" s="592">
        <f ca="1"/>
        <v>0</v>
      </c>
      <c r="K230" s="592">
        <f ca="1"/>
        <v>0</v>
      </c>
      <c r="L230" s="592">
        <f ca="1"/>
        <v>0</v>
      </c>
      <c r="M230" s="592">
        <f ca="1"/>
        <v>0</v>
      </c>
      <c r="N230" s="592">
        <f ca="1"/>
        <v>0</v>
      </c>
      <c r="O230" s="1968">
        <f t="array" aca="1" ref="O230:O231" ca="1">'Distr CV 1'!C230:C231</f>
        <v>0</v>
      </c>
      <c r="P230" s="1968">
        <f ca="1"/>
        <v>0</v>
      </c>
      <c r="Q230" s="1968">
        <f ca="1"/>
        <v>0</v>
      </c>
      <c r="R230" s="1968">
        <f ca="1"/>
        <v>0</v>
      </c>
      <c r="S230" s="1968">
        <f ca="1"/>
        <v>0</v>
      </c>
      <c r="T230" s="1968">
        <f ca="1"/>
        <v>0</v>
      </c>
      <c r="U230" s="1968">
        <f ca="1"/>
        <v>0</v>
      </c>
      <c r="V230" s="1968">
        <f ca="1"/>
        <v>0</v>
      </c>
      <c r="W230" s="1968">
        <f ca="1"/>
        <v>0</v>
      </c>
      <c r="X230" s="1968">
        <f ca="1"/>
        <v>0</v>
      </c>
      <c r="Y230" s="1986">
        <f ca="1"/>
        <v>0</v>
      </c>
    </row>
    <row r="231" spans="1:26" ht="13.5" thickBot="1">
      <c r="A231" s="1971" t="str">
        <v>12 meses antes</v>
      </c>
      <c r="B231" s="592">
        <f t="array" aca="1" ref="B231:M231" ca="1">B26:M26*Produccion!$B$14</f>
        <v>0</v>
      </c>
      <c r="C231" s="592">
        <f ca="1"/>
        <v>0</v>
      </c>
      <c r="D231" s="592">
        <f ca="1"/>
        <v>0</v>
      </c>
      <c r="E231" s="592">
        <f ca="1"/>
        <v>0</v>
      </c>
      <c r="F231" s="592">
        <f ca="1"/>
        <v>0</v>
      </c>
      <c r="G231" s="592">
        <f ca="1"/>
        <v>0</v>
      </c>
      <c r="H231" s="592">
        <f ca="1"/>
        <v>0</v>
      </c>
      <c r="I231" s="592">
        <f ca="1"/>
        <v>0</v>
      </c>
      <c r="J231" s="592">
        <f ca="1"/>
        <v>0</v>
      </c>
      <c r="K231" s="592">
        <f ca="1"/>
        <v>0</v>
      </c>
      <c r="L231" s="592">
        <f ca="1"/>
        <v>0</v>
      </c>
      <c r="M231" s="592">
        <f ca="1"/>
        <v>0</v>
      </c>
      <c r="N231" s="1967">
        <f ca="1">'Distr CV 1'!B231</f>
        <v>0</v>
      </c>
      <c r="O231" s="1968">
        <f ca="1"/>
        <v>0</v>
      </c>
      <c r="P231" s="1968">
        <f ca="1"/>
        <v>0</v>
      </c>
      <c r="Q231" s="1968">
        <f ca="1"/>
        <v>0</v>
      </c>
      <c r="R231" s="1968">
        <f ca="1"/>
        <v>0</v>
      </c>
      <c r="S231" s="1968">
        <f ca="1"/>
        <v>0</v>
      </c>
      <c r="T231" s="1968">
        <f ca="1"/>
        <v>0</v>
      </c>
      <c r="U231" s="1968">
        <f ca="1"/>
        <v>0</v>
      </c>
      <c r="V231" s="1968">
        <f ca="1"/>
        <v>0</v>
      </c>
      <c r="W231" s="1968">
        <f ca="1"/>
        <v>0</v>
      </c>
      <c r="X231" s="1968">
        <f ca="1"/>
        <v>0</v>
      </c>
      <c r="Y231" s="1986">
        <f ca="1"/>
        <v>0</v>
      </c>
    </row>
    <row r="232" spans="1:26" ht="15.75" customHeight="1" thickBot="1">
      <c r="A232" s="103" t="str">
        <f>"Totales CV "&amp;A$14</f>
        <v xml:space="preserve">Totales CV </v>
      </c>
      <c r="B232" s="596">
        <f t="shared" ref="B232:Y232" ca="1" si="16">SUM(B219:B231)</f>
        <v>0</v>
      </c>
      <c r="C232" s="596">
        <f t="shared" ca="1" si="16"/>
        <v>0</v>
      </c>
      <c r="D232" s="596">
        <f t="shared" ca="1" si="16"/>
        <v>0</v>
      </c>
      <c r="E232" s="596">
        <f t="shared" ca="1" si="16"/>
        <v>0</v>
      </c>
      <c r="F232" s="596">
        <f t="shared" ca="1" si="16"/>
        <v>0</v>
      </c>
      <c r="G232" s="596">
        <f t="shared" ca="1" si="16"/>
        <v>0</v>
      </c>
      <c r="H232" s="596">
        <f t="shared" ca="1" si="16"/>
        <v>0</v>
      </c>
      <c r="I232" s="596">
        <f t="shared" ca="1" si="16"/>
        <v>0</v>
      </c>
      <c r="J232" s="596">
        <f t="shared" ca="1" si="16"/>
        <v>0</v>
      </c>
      <c r="K232" s="596">
        <f t="shared" ca="1" si="16"/>
        <v>0</v>
      </c>
      <c r="L232" s="596">
        <f t="shared" ca="1" si="16"/>
        <v>0</v>
      </c>
      <c r="M232" s="596">
        <f t="shared" ca="1" si="16"/>
        <v>0</v>
      </c>
      <c r="N232" s="596">
        <f t="shared" ca="1" si="16"/>
        <v>0</v>
      </c>
      <c r="O232" s="596">
        <f t="shared" ca="1" si="16"/>
        <v>0</v>
      </c>
      <c r="P232" s="596">
        <f t="shared" ca="1" si="16"/>
        <v>0</v>
      </c>
      <c r="Q232" s="596">
        <f t="shared" ca="1" si="16"/>
        <v>0</v>
      </c>
      <c r="R232" s="596">
        <f t="shared" ca="1" si="16"/>
        <v>0</v>
      </c>
      <c r="S232" s="596">
        <f t="shared" ca="1" si="16"/>
        <v>0</v>
      </c>
      <c r="T232" s="596">
        <f t="shared" ca="1" si="16"/>
        <v>0</v>
      </c>
      <c r="U232" s="596">
        <f t="shared" ca="1" si="16"/>
        <v>0</v>
      </c>
      <c r="V232" s="596">
        <f t="shared" ca="1" si="16"/>
        <v>0</v>
      </c>
      <c r="W232" s="596">
        <f t="shared" ca="1" si="16"/>
        <v>0</v>
      </c>
      <c r="X232" s="596">
        <f t="shared" ca="1" si="16"/>
        <v>0</v>
      </c>
      <c r="Y232" s="1984">
        <f t="shared" ca="1" si="16"/>
        <v>0</v>
      </c>
    </row>
    <row r="233" spans="1:26" ht="15.75" customHeight="1" thickBot="1">
      <c r="A233" s="103" t="str">
        <f>'Datos Básicos'!A28&amp;" sop. CV "&amp;$A$14</f>
        <v xml:space="preserve">IVA sop. CV </v>
      </c>
      <c r="B233" s="596">
        <f t="array" aca="1" ref="B233:Y233" ca="1">$K$217*B232:Y232</f>
        <v>0</v>
      </c>
      <c r="C233" s="596">
        <f ca="1"/>
        <v>0</v>
      </c>
      <c r="D233" s="596">
        <f ca="1"/>
        <v>0</v>
      </c>
      <c r="E233" s="596">
        <f ca="1"/>
        <v>0</v>
      </c>
      <c r="F233" s="596">
        <f ca="1"/>
        <v>0</v>
      </c>
      <c r="G233" s="596">
        <f ca="1"/>
        <v>0</v>
      </c>
      <c r="H233" s="596">
        <f ca="1"/>
        <v>0</v>
      </c>
      <c r="I233" s="596">
        <f ca="1"/>
        <v>0</v>
      </c>
      <c r="J233" s="596">
        <f ca="1"/>
        <v>0</v>
      </c>
      <c r="K233" s="596">
        <f ca="1"/>
        <v>0</v>
      </c>
      <c r="L233" s="596">
        <f ca="1"/>
        <v>0</v>
      </c>
      <c r="M233" s="596">
        <f ca="1"/>
        <v>0</v>
      </c>
      <c r="N233" s="596">
        <f ca="1"/>
        <v>0</v>
      </c>
      <c r="O233" s="596">
        <f ca="1"/>
        <v>0</v>
      </c>
      <c r="P233" s="596">
        <f ca="1"/>
        <v>0</v>
      </c>
      <c r="Q233" s="596">
        <f ca="1"/>
        <v>0</v>
      </c>
      <c r="R233" s="596">
        <f ca="1"/>
        <v>0</v>
      </c>
      <c r="S233" s="596">
        <f ca="1"/>
        <v>0</v>
      </c>
      <c r="T233" s="596">
        <f ca="1"/>
        <v>0</v>
      </c>
      <c r="U233" s="596">
        <f ca="1"/>
        <v>0</v>
      </c>
      <c r="V233" s="596">
        <f ca="1"/>
        <v>0</v>
      </c>
      <c r="W233" s="596">
        <f ca="1"/>
        <v>0</v>
      </c>
      <c r="X233" s="596">
        <f ca="1"/>
        <v>0</v>
      </c>
      <c r="Y233" s="1984">
        <f ca="1"/>
        <v>0</v>
      </c>
    </row>
    <row r="235" spans="1:26" ht="18.75" thickBot="1">
      <c r="A235" s="1969" t="str">
        <f>"Compras / costes de producción por meses de "&amp;A$15</f>
        <v xml:space="preserve">Compras / costes de producción por meses de </v>
      </c>
      <c r="I235" s="1969" t="str">
        <f>I$44</f>
        <v>IVA NO incluido</v>
      </c>
      <c r="K235" s="1981">
        <f>Parametros!$F$31</f>
        <v>0.21</v>
      </c>
    </row>
    <row r="236" spans="1:26" s="445" customFormat="1" ht="30" customHeight="1" thickBot="1">
      <c r="A236" s="446" t="str">
        <f>A$110</f>
        <v>mes de compra / coste</v>
      </c>
      <c r="B236" s="1987" t="str">
        <f t="array" ref="B236:Y236">B$71:Y$71</f>
        <v>enero
2025</v>
      </c>
      <c r="C236" s="1987" t="str">
        <v>febrero
2025</v>
      </c>
      <c r="D236" s="1987" t="str">
        <v>marzo
2025</v>
      </c>
      <c r="E236" s="1987" t="str">
        <v>abril
2025</v>
      </c>
      <c r="F236" s="1987" t="str">
        <v>mayo
2025</v>
      </c>
      <c r="G236" s="1987" t="str">
        <v>junio
2025</v>
      </c>
      <c r="H236" s="1987" t="str">
        <v>julio
2025</v>
      </c>
      <c r="I236" s="1987" t="str">
        <v>agosto
2025</v>
      </c>
      <c r="J236" s="1987" t="str">
        <v>septiembre
2025</v>
      </c>
      <c r="K236" s="1987" t="str">
        <v>octubre
2025</v>
      </c>
      <c r="L236" s="1987" t="str">
        <v>noviembre
2025</v>
      </c>
      <c r="M236" s="1987" t="str">
        <v>diciembre
2025</v>
      </c>
      <c r="N236" s="2703" t="str">
        <v>enero 
2026</v>
      </c>
      <c r="O236" s="2704" t="str">
        <v>febrero 
2026</v>
      </c>
      <c r="P236" s="2704" t="str">
        <v>marzo 
2026</v>
      </c>
      <c r="Q236" s="2704" t="str">
        <v>abril 
2026</v>
      </c>
      <c r="R236" s="2704" t="str">
        <v>mayo 
2026</v>
      </c>
      <c r="S236" s="2704" t="str">
        <v>junio 
2026</v>
      </c>
      <c r="T236" s="2704" t="str">
        <v>julio 
2026</v>
      </c>
      <c r="U236" s="2704" t="str">
        <v>agosto 
2026</v>
      </c>
      <c r="V236" s="2704" t="str">
        <v>septiembre 
2026</v>
      </c>
      <c r="W236" s="2704" t="str">
        <v>octubre 
2026</v>
      </c>
      <c r="X236" s="2704" t="str">
        <v>noviembre 
2026</v>
      </c>
      <c r="Y236" s="2705" t="str">
        <v>diciembre 
2026</v>
      </c>
      <c r="Z236" s="61"/>
    </row>
    <row r="237" spans="1:26">
      <c r="A237" s="1970" t="str">
        <f t="array" ref="A237:A249">A$72:A$84</f>
        <v>mismo mes</v>
      </c>
      <c r="B237" s="1967"/>
      <c r="C237" s="1967"/>
      <c r="D237" s="1967"/>
      <c r="E237" s="1967"/>
      <c r="F237" s="1967"/>
      <c r="G237" s="1967"/>
      <c r="H237" s="1967"/>
      <c r="I237" s="1967"/>
      <c r="J237" s="1967"/>
      <c r="K237" s="1967"/>
      <c r="L237" s="1967"/>
      <c r="M237" s="1967"/>
      <c r="N237" s="592">
        <f t="array" aca="1" ref="N237:Y237" ca="1">B27:M27*Produccion!$N$15</f>
        <v>0</v>
      </c>
      <c r="O237" s="592">
        <f ca="1"/>
        <v>0</v>
      </c>
      <c r="P237" s="592">
        <f ca="1"/>
        <v>0</v>
      </c>
      <c r="Q237" s="592">
        <f ca="1"/>
        <v>0</v>
      </c>
      <c r="R237" s="592">
        <f ca="1"/>
        <v>0</v>
      </c>
      <c r="S237" s="592">
        <f ca="1"/>
        <v>0</v>
      </c>
      <c r="T237" s="592">
        <f ca="1"/>
        <v>0</v>
      </c>
      <c r="U237" s="592">
        <f ca="1"/>
        <v>0</v>
      </c>
      <c r="V237" s="592">
        <f ca="1"/>
        <v>0</v>
      </c>
      <c r="W237" s="592">
        <f ca="1"/>
        <v>0</v>
      </c>
      <c r="X237" s="592">
        <f ca="1"/>
        <v>0</v>
      </c>
      <c r="Y237" s="1982">
        <f ca="1"/>
        <v>0</v>
      </c>
    </row>
    <row r="238" spans="1:26">
      <c r="A238" s="1971" t="str">
        <v>1 mes antes</v>
      </c>
      <c r="B238" s="1967"/>
      <c r="C238" s="1967"/>
      <c r="D238" s="1967"/>
      <c r="E238" s="1967"/>
      <c r="F238" s="1967"/>
      <c r="G238" s="1967"/>
      <c r="H238" s="1967"/>
      <c r="I238" s="1967"/>
      <c r="J238" s="1967"/>
      <c r="K238" s="1967"/>
      <c r="L238" s="1967"/>
      <c r="M238" s="592">
        <f t="array" aca="1" ref="M238:X238" ca="1">B27:M27*Produccion!$M$15</f>
        <v>0</v>
      </c>
      <c r="N238" s="592">
        <f ca="1"/>
        <v>0</v>
      </c>
      <c r="O238" s="592">
        <f ca="1"/>
        <v>0</v>
      </c>
      <c r="P238" s="592">
        <f ca="1"/>
        <v>0</v>
      </c>
      <c r="Q238" s="592">
        <f ca="1"/>
        <v>0</v>
      </c>
      <c r="R238" s="592">
        <f ca="1"/>
        <v>0</v>
      </c>
      <c r="S238" s="592">
        <f ca="1"/>
        <v>0</v>
      </c>
      <c r="T238" s="592">
        <f ca="1"/>
        <v>0</v>
      </c>
      <c r="U238" s="592">
        <f ca="1"/>
        <v>0</v>
      </c>
      <c r="V238" s="592">
        <f ca="1"/>
        <v>0</v>
      </c>
      <c r="W238" s="592">
        <f ca="1"/>
        <v>0</v>
      </c>
      <c r="X238" s="592">
        <f ca="1"/>
        <v>0</v>
      </c>
      <c r="Y238" s="1983">
        <f t="array" aca="1" ref="Y238:Y249" ca="1">'Distr CV 1'!M238:M249</f>
        <v>0</v>
      </c>
    </row>
    <row r="239" spans="1:26">
      <c r="A239" s="1971" t="str">
        <v>2 meses antes</v>
      </c>
      <c r="B239" s="1967"/>
      <c r="C239" s="1967"/>
      <c r="D239" s="1967"/>
      <c r="E239" s="1967"/>
      <c r="F239" s="1967"/>
      <c r="G239" s="1967"/>
      <c r="H239" s="1967"/>
      <c r="I239" s="1967"/>
      <c r="J239" s="1967"/>
      <c r="K239" s="1967"/>
      <c r="L239" s="592">
        <f t="array" aca="1" ref="L239:W239" ca="1">B27:M27*Produccion!$L$15</f>
        <v>0</v>
      </c>
      <c r="M239" s="592">
        <f ca="1"/>
        <v>0</v>
      </c>
      <c r="N239" s="592">
        <f ca="1"/>
        <v>0</v>
      </c>
      <c r="O239" s="592">
        <f ca="1"/>
        <v>0</v>
      </c>
      <c r="P239" s="592">
        <f ca="1"/>
        <v>0</v>
      </c>
      <c r="Q239" s="592">
        <f ca="1"/>
        <v>0</v>
      </c>
      <c r="R239" s="592">
        <f ca="1"/>
        <v>0</v>
      </c>
      <c r="S239" s="592">
        <f ca="1"/>
        <v>0</v>
      </c>
      <c r="T239" s="592">
        <f ca="1"/>
        <v>0</v>
      </c>
      <c r="U239" s="592">
        <f ca="1"/>
        <v>0</v>
      </c>
      <c r="V239" s="592">
        <f ca="1"/>
        <v>0</v>
      </c>
      <c r="W239" s="592">
        <f ca="1"/>
        <v>0</v>
      </c>
      <c r="X239" s="1964">
        <f t="array" aca="1" ref="X239:X249" ca="1">'Distr CV 1'!L239:L249</f>
        <v>0</v>
      </c>
      <c r="Y239" s="1983">
        <f ca="1"/>
        <v>0</v>
      </c>
    </row>
    <row r="240" spans="1:26">
      <c r="A240" s="1971" t="str">
        <v>3 meses antes</v>
      </c>
      <c r="B240" s="1967"/>
      <c r="C240" s="1967"/>
      <c r="D240" s="1967"/>
      <c r="E240" s="1967"/>
      <c r="F240" s="1967"/>
      <c r="G240" s="1967"/>
      <c r="H240" s="1967"/>
      <c r="I240" s="1967"/>
      <c r="J240" s="1967"/>
      <c r="K240" s="592">
        <f t="array" aca="1" ref="K240:V240" ca="1">B27:M27*Produccion!$K$15</f>
        <v>0</v>
      </c>
      <c r="L240" s="592">
        <f ca="1"/>
        <v>0</v>
      </c>
      <c r="M240" s="592">
        <f ca="1"/>
        <v>0</v>
      </c>
      <c r="N240" s="592">
        <f ca="1"/>
        <v>0</v>
      </c>
      <c r="O240" s="592">
        <f ca="1"/>
        <v>0</v>
      </c>
      <c r="P240" s="592">
        <f ca="1"/>
        <v>0</v>
      </c>
      <c r="Q240" s="592">
        <f ca="1"/>
        <v>0</v>
      </c>
      <c r="R240" s="592">
        <f ca="1"/>
        <v>0</v>
      </c>
      <c r="S240" s="592">
        <f ca="1"/>
        <v>0</v>
      </c>
      <c r="T240" s="592">
        <f ca="1"/>
        <v>0</v>
      </c>
      <c r="U240" s="592">
        <f ca="1"/>
        <v>0</v>
      </c>
      <c r="V240" s="592">
        <f ca="1"/>
        <v>0</v>
      </c>
      <c r="W240" s="1964">
        <f t="array" aca="1" ref="W240:W249" ca="1">'Distr CV 1'!K240:K249</f>
        <v>0</v>
      </c>
      <c r="X240" s="1964">
        <f ca="1"/>
        <v>0</v>
      </c>
      <c r="Y240" s="1983">
        <f ca="1"/>
        <v>0</v>
      </c>
    </row>
    <row r="241" spans="1:25">
      <c r="A241" s="1971" t="str">
        <v>4 meses antes</v>
      </c>
      <c r="B241" s="1967"/>
      <c r="C241" s="1967"/>
      <c r="D241" s="1967"/>
      <c r="E241" s="1967"/>
      <c r="F241" s="1967"/>
      <c r="G241" s="1967"/>
      <c r="H241" s="1967"/>
      <c r="I241" s="1967"/>
      <c r="J241" s="592">
        <f t="array" aca="1" ref="J241:U241" ca="1">B27:M27*Produccion!$J$15</f>
        <v>0</v>
      </c>
      <c r="K241" s="592">
        <f ca="1"/>
        <v>0</v>
      </c>
      <c r="L241" s="592">
        <f ca="1"/>
        <v>0</v>
      </c>
      <c r="M241" s="592">
        <f ca="1"/>
        <v>0</v>
      </c>
      <c r="N241" s="592">
        <f ca="1"/>
        <v>0</v>
      </c>
      <c r="O241" s="592">
        <f ca="1"/>
        <v>0</v>
      </c>
      <c r="P241" s="592">
        <f ca="1"/>
        <v>0</v>
      </c>
      <c r="Q241" s="592">
        <f ca="1"/>
        <v>0</v>
      </c>
      <c r="R241" s="592">
        <f ca="1"/>
        <v>0</v>
      </c>
      <c r="S241" s="592">
        <f ca="1"/>
        <v>0</v>
      </c>
      <c r="T241" s="592">
        <f ca="1"/>
        <v>0</v>
      </c>
      <c r="U241" s="592">
        <f ca="1"/>
        <v>0</v>
      </c>
      <c r="V241" s="1964">
        <f t="array" aca="1" ref="V241:V249" ca="1">'Distr CV 1'!J241:J249</f>
        <v>0</v>
      </c>
      <c r="W241" s="1964">
        <f ca="1"/>
        <v>0</v>
      </c>
      <c r="X241" s="1964">
        <f ca="1"/>
        <v>0</v>
      </c>
      <c r="Y241" s="1983">
        <f ca="1"/>
        <v>0</v>
      </c>
    </row>
    <row r="242" spans="1:25">
      <c r="A242" s="1971" t="str">
        <v>5 meses antes</v>
      </c>
      <c r="B242" s="1967"/>
      <c r="C242" s="1967"/>
      <c r="D242" s="1967"/>
      <c r="E242" s="1967"/>
      <c r="F242" s="1967"/>
      <c r="G242" s="1967"/>
      <c r="H242" s="1967"/>
      <c r="I242" s="592">
        <f t="array" aca="1" ref="I242:T242" ca="1">B27:M27*Produccion!$I$15</f>
        <v>0</v>
      </c>
      <c r="J242" s="592">
        <f ca="1"/>
        <v>0</v>
      </c>
      <c r="K242" s="592">
        <f ca="1"/>
        <v>0</v>
      </c>
      <c r="L242" s="592">
        <f ca="1"/>
        <v>0</v>
      </c>
      <c r="M242" s="592">
        <f ca="1"/>
        <v>0</v>
      </c>
      <c r="N242" s="592">
        <f ca="1"/>
        <v>0</v>
      </c>
      <c r="O242" s="592">
        <f ca="1"/>
        <v>0</v>
      </c>
      <c r="P242" s="592">
        <f ca="1"/>
        <v>0</v>
      </c>
      <c r="Q242" s="592">
        <f ca="1"/>
        <v>0</v>
      </c>
      <c r="R242" s="592">
        <f ca="1"/>
        <v>0</v>
      </c>
      <c r="S242" s="592">
        <f ca="1"/>
        <v>0</v>
      </c>
      <c r="T242" s="592">
        <f ca="1"/>
        <v>0</v>
      </c>
      <c r="U242" s="1964">
        <f t="array" aca="1" ref="U242:U249" ca="1">'Distr CV 1'!I242:I249</f>
        <v>0</v>
      </c>
      <c r="V242" s="1964">
        <f ca="1"/>
        <v>0</v>
      </c>
      <c r="W242" s="1964">
        <f ca="1"/>
        <v>0</v>
      </c>
      <c r="X242" s="1964">
        <f ca="1"/>
        <v>0</v>
      </c>
      <c r="Y242" s="1983">
        <f ca="1"/>
        <v>0</v>
      </c>
    </row>
    <row r="243" spans="1:25">
      <c r="A243" s="1971" t="str">
        <v>6 meses antes</v>
      </c>
      <c r="B243" s="1967"/>
      <c r="C243" s="1967"/>
      <c r="D243" s="1967"/>
      <c r="E243" s="1967"/>
      <c r="F243" s="1967"/>
      <c r="G243" s="1967"/>
      <c r="H243" s="592">
        <f t="array" aca="1" ref="H243:S243" ca="1">B27:M27*Produccion!$H$15</f>
        <v>0</v>
      </c>
      <c r="I243" s="592">
        <f ca="1"/>
        <v>0</v>
      </c>
      <c r="J243" s="592">
        <f ca="1"/>
        <v>0</v>
      </c>
      <c r="K243" s="592">
        <f ca="1"/>
        <v>0</v>
      </c>
      <c r="L243" s="592">
        <f ca="1"/>
        <v>0</v>
      </c>
      <c r="M243" s="592">
        <f ca="1"/>
        <v>0</v>
      </c>
      <c r="N243" s="592">
        <f ca="1"/>
        <v>0</v>
      </c>
      <c r="O243" s="592">
        <f ca="1"/>
        <v>0</v>
      </c>
      <c r="P243" s="592">
        <f ca="1"/>
        <v>0</v>
      </c>
      <c r="Q243" s="592">
        <f ca="1"/>
        <v>0</v>
      </c>
      <c r="R243" s="592">
        <f ca="1"/>
        <v>0</v>
      </c>
      <c r="S243" s="592">
        <f ca="1"/>
        <v>0</v>
      </c>
      <c r="T243" s="1964">
        <f t="array" aca="1" ref="T243:T249" ca="1">'Distr CV 1'!H243:H249</f>
        <v>0</v>
      </c>
      <c r="U243" s="1964">
        <f ca="1"/>
        <v>0</v>
      </c>
      <c r="V243" s="1964">
        <f ca="1"/>
        <v>0</v>
      </c>
      <c r="W243" s="1964">
        <f ca="1"/>
        <v>0</v>
      </c>
      <c r="X243" s="1964">
        <f ca="1"/>
        <v>0</v>
      </c>
      <c r="Y243" s="1983">
        <f ca="1"/>
        <v>0</v>
      </c>
    </row>
    <row r="244" spans="1:25">
      <c r="A244" s="1971" t="str">
        <v>7 meses antes</v>
      </c>
      <c r="B244" s="1967"/>
      <c r="C244" s="1967"/>
      <c r="D244" s="1967"/>
      <c r="E244" s="1967"/>
      <c r="F244" s="1967"/>
      <c r="G244" s="592">
        <f t="array" aca="1" ref="G244:R244" ca="1">B27:M27*Produccion!$G$15</f>
        <v>0</v>
      </c>
      <c r="H244" s="592">
        <f ca="1"/>
        <v>0</v>
      </c>
      <c r="I244" s="592">
        <f ca="1"/>
        <v>0</v>
      </c>
      <c r="J244" s="592">
        <f ca="1"/>
        <v>0</v>
      </c>
      <c r="K244" s="592">
        <f ca="1"/>
        <v>0</v>
      </c>
      <c r="L244" s="592">
        <f ca="1"/>
        <v>0</v>
      </c>
      <c r="M244" s="592">
        <f ca="1"/>
        <v>0</v>
      </c>
      <c r="N244" s="592">
        <f ca="1"/>
        <v>0</v>
      </c>
      <c r="O244" s="592">
        <f ca="1"/>
        <v>0</v>
      </c>
      <c r="P244" s="592">
        <f ca="1"/>
        <v>0</v>
      </c>
      <c r="Q244" s="592">
        <f ca="1"/>
        <v>0</v>
      </c>
      <c r="R244" s="592">
        <f ca="1"/>
        <v>0</v>
      </c>
      <c r="S244" s="1968">
        <f t="array" aca="1" ref="S244:S249" ca="1">'Distr CV 1'!G244:G249</f>
        <v>0</v>
      </c>
      <c r="T244" s="1968">
        <f ca="1"/>
        <v>0</v>
      </c>
      <c r="U244" s="1968">
        <f ca="1"/>
        <v>0</v>
      </c>
      <c r="V244" s="1968">
        <f ca="1"/>
        <v>0</v>
      </c>
      <c r="W244" s="1968">
        <f ca="1"/>
        <v>0</v>
      </c>
      <c r="X244" s="1968">
        <f ca="1"/>
        <v>0</v>
      </c>
      <c r="Y244" s="1986">
        <f ca="1"/>
        <v>0</v>
      </c>
    </row>
    <row r="245" spans="1:25">
      <c r="A245" s="1971" t="str">
        <v>8 meses antes</v>
      </c>
      <c r="B245" s="1967"/>
      <c r="C245" s="1967"/>
      <c r="D245" s="1967"/>
      <c r="E245" s="1967"/>
      <c r="F245" s="592">
        <f t="array" aca="1" ref="F245:Q245" ca="1">B27:M27*Produccion!$F$15</f>
        <v>0</v>
      </c>
      <c r="G245" s="592">
        <f ca="1"/>
        <v>0</v>
      </c>
      <c r="H245" s="592">
        <f ca="1"/>
        <v>0</v>
      </c>
      <c r="I245" s="592">
        <f ca="1"/>
        <v>0</v>
      </c>
      <c r="J245" s="592">
        <f ca="1"/>
        <v>0</v>
      </c>
      <c r="K245" s="592">
        <f ca="1"/>
        <v>0</v>
      </c>
      <c r="L245" s="592">
        <f ca="1"/>
        <v>0</v>
      </c>
      <c r="M245" s="592">
        <f ca="1"/>
        <v>0</v>
      </c>
      <c r="N245" s="592">
        <f ca="1"/>
        <v>0</v>
      </c>
      <c r="O245" s="592">
        <f ca="1"/>
        <v>0</v>
      </c>
      <c r="P245" s="592">
        <f ca="1"/>
        <v>0</v>
      </c>
      <c r="Q245" s="592">
        <f ca="1"/>
        <v>0</v>
      </c>
      <c r="R245" s="1968">
        <f t="array" aca="1" ref="R245:R249" ca="1">'Distr CV 1'!F245:F249</f>
        <v>0</v>
      </c>
      <c r="S245" s="1968">
        <f ca="1"/>
        <v>0</v>
      </c>
      <c r="T245" s="1968">
        <f ca="1"/>
        <v>0</v>
      </c>
      <c r="U245" s="1968">
        <f ca="1"/>
        <v>0</v>
      </c>
      <c r="V245" s="1968">
        <f ca="1"/>
        <v>0</v>
      </c>
      <c r="W245" s="1968">
        <f ca="1"/>
        <v>0</v>
      </c>
      <c r="X245" s="1968">
        <f ca="1"/>
        <v>0</v>
      </c>
      <c r="Y245" s="1986">
        <f ca="1"/>
        <v>0</v>
      </c>
    </row>
    <row r="246" spans="1:25">
      <c r="A246" s="1971" t="str">
        <v>9 meses antes</v>
      </c>
      <c r="B246" s="1967"/>
      <c r="C246" s="1967"/>
      <c r="D246" s="1967"/>
      <c r="E246" s="592">
        <f t="array" aca="1" ref="E246:P246" ca="1">B27:M27*Produccion!$E$15</f>
        <v>0</v>
      </c>
      <c r="F246" s="592">
        <f ca="1"/>
        <v>0</v>
      </c>
      <c r="G246" s="592">
        <f ca="1"/>
        <v>0</v>
      </c>
      <c r="H246" s="592">
        <f ca="1"/>
        <v>0</v>
      </c>
      <c r="I246" s="592">
        <f ca="1"/>
        <v>0</v>
      </c>
      <c r="J246" s="592">
        <f ca="1"/>
        <v>0</v>
      </c>
      <c r="K246" s="592">
        <f ca="1"/>
        <v>0</v>
      </c>
      <c r="L246" s="592">
        <f ca="1"/>
        <v>0</v>
      </c>
      <c r="M246" s="592">
        <f ca="1"/>
        <v>0</v>
      </c>
      <c r="N246" s="592">
        <f ca="1"/>
        <v>0</v>
      </c>
      <c r="O246" s="592">
        <f ca="1"/>
        <v>0</v>
      </c>
      <c r="P246" s="592">
        <f ca="1"/>
        <v>0</v>
      </c>
      <c r="Q246" s="1968">
        <f t="array" aca="1" ref="Q246:Q249" ca="1">'Distr CV 1'!E246:F249</f>
        <v>0</v>
      </c>
      <c r="R246" s="1968">
        <f ca="1"/>
        <v>0</v>
      </c>
      <c r="S246" s="1968">
        <f ca="1"/>
        <v>0</v>
      </c>
      <c r="T246" s="1968">
        <f ca="1"/>
        <v>0</v>
      </c>
      <c r="U246" s="1968">
        <f ca="1"/>
        <v>0</v>
      </c>
      <c r="V246" s="1968">
        <f ca="1"/>
        <v>0</v>
      </c>
      <c r="W246" s="1968">
        <f ca="1"/>
        <v>0</v>
      </c>
      <c r="X246" s="1968">
        <f ca="1"/>
        <v>0</v>
      </c>
      <c r="Y246" s="1986">
        <f ca="1"/>
        <v>0</v>
      </c>
    </row>
    <row r="247" spans="1:25">
      <c r="A247" s="1971" t="str">
        <v>10 meses antes</v>
      </c>
      <c r="B247" s="1967"/>
      <c r="C247" s="1967"/>
      <c r="D247" s="592">
        <f t="array" aca="1" ref="D247:O247" ca="1">B27:M27*Produccion!$D$15</f>
        <v>0</v>
      </c>
      <c r="E247" s="592">
        <f ca="1"/>
        <v>0</v>
      </c>
      <c r="F247" s="592">
        <f ca="1"/>
        <v>0</v>
      </c>
      <c r="G247" s="592">
        <f ca="1"/>
        <v>0</v>
      </c>
      <c r="H247" s="592">
        <f ca="1"/>
        <v>0</v>
      </c>
      <c r="I247" s="592">
        <f ca="1"/>
        <v>0</v>
      </c>
      <c r="J247" s="592">
        <f ca="1"/>
        <v>0</v>
      </c>
      <c r="K247" s="592">
        <f ca="1"/>
        <v>0</v>
      </c>
      <c r="L247" s="592">
        <f ca="1"/>
        <v>0</v>
      </c>
      <c r="M247" s="592">
        <f ca="1"/>
        <v>0</v>
      </c>
      <c r="N247" s="592">
        <f ca="1"/>
        <v>0</v>
      </c>
      <c r="O247" s="592">
        <f ca="1"/>
        <v>0</v>
      </c>
      <c r="P247" s="1968">
        <f t="array" aca="1" ref="P247:P249" ca="1">'Distr CV 1'!D247:D249</f>
        <v>0</v>
      </c>
      <c r="Q247" s="1968">
        <f ca="1"/>
        <v>0</v>
      </c>
      <c r="R247" s="1968">
        <f ca="1"/>
        <v>0</v>
      </c>
      <c r="S247" s="1968">
        <f ca="1"/>
        <v>0</v>
      </c>
      <c r="T247" s="1968">
        <f ca="1"/>
        <v>0</v>
      </c>
      <c r="U247" s="1968">
        <f ca="1"/>
        <v>0</v>
      </c>
      <c r="V247" s="1968">
        <f ca="1"/>
        <v>0</v>
      </c>
      <c r="W247" s="1968">
        <f ca="1"/>
        <v>0</v>
      </c>
      <c r="X247" s="1968">
        <f ca="1"/>
        <v>0</v>
      </c>
      <c r="Y247" s="1986">
        <f ca="1"/>
        <v>0</v>
      </c>
    </row>
    <row r="248" spans="1:25">
      <c r="A248" s="1971" t="str">
        <v>11 meses antes</v>
      </c>
      <c r="B248" s="1967"/>
      <c r="C248" s="592">
        <f t="array" aca="1" ref="C248:N248" ca="1">B27:M27*Produccion!$C$15</f>
        <v>0</v>
      </c>
      <c r="D248" s="592">
        <f ca="1"/>
        <v>0</v>
      </c>
      <c r="E248" s="592">
        <f ca="1"/>
        <v>0</v>
      </c>
      <c r="F248" s="592">
        <f ca="1"/>
        <v>0</v>
      </c>
      <c r="G248" s="592">
        <f ca="1"/>
        <v>0</v>
      </c>
      <c r="H248" s="592">
        <f ca="1"/>
        <v>0</v>
      </c>
      <c r="I248" s="592">
        <f ca="1"/>
        <v>0</v>
      </c>
      <c r="J248" s="592">
        <f ca="1"/>
        <v>0</v>
      </c>
      <c r="K248" s="592">
        <f ca="1"/>
        <v>0</v>
      </c>
      <c r="L248" s="592">
        <f ca="1"/>
        <v>0</v>
      </c>
      <c r="M248" s="592">
        <f ca="1"/>
        <v>0</v>
      </c>
      <c r="N248" s="592">
        <f ca="1"/>
        <v>0</v>
      </c>
      <c r="O248" s="1968">
        <f t="array" aca="1" ref="O248:O249" ca="1">'Distr CV 1'!C248:C249</f>
        <v>0</v>
      </c>
      <c r="P248" s="1968">
        <f ca="1"/>
        <v>0</v>
      </c>
      <c r="Q248" s="1968">
        <f ca="1"/>
        <v>0</v>
      </c>
      <c r="R248" s="1968">
        <f ca="1"/>
        <v>0</v>
      </c>
      <c r="S248" s="1968">
        <f ca="1"/>
        <v>0</v>
      </c>
      <c r="T248" s="1968">
        <f ca="1"/>
        <v>0</v>
      </c>
      <c r="U248" s="1968">
        <f ca="1"/>
        <v>0</v>
      </c>
      <c r="V248" s="1968">
        <f ca="1"/>
        <v>0</v>
      </c>
      <c r="W248" s="1968">
        <f ca="1"/>
        <v>0</v>
      </c>
      <c r="X248" s="1968">
        <f ca="1"/>
        <v>0</v>
      </c>
      <c r="Y248" s="1986">
        <f ca="1"/>
        <v>0</v>
      </c>
    </row>
    <row r="249" spans="1:25" ht="13.5" thickBot="1">
      <c r="A249" s="1971" t="str">
        <v>12 meses antes</v>
      </c>
      <c r="B249" s="592">
        <f t="array" aca="1" ref="B249:M249" ca="1">B27:M27*Produccion!$B$15</f>
        <v>0</v>
      </c>
      <c r="C249" s="592">
        <f ca="1"/>
        <v>0</v>
      </c>
      <c r="D249" s="592">
        <f ca="1"/>
        <v>0</v>
      </c>
      <c r="E249" s="592">
        <f ca="1"/>
        <v>0</v>
      </c>
      <c r="F249" s="592">
        <f ca="1"/>
        <v>0</v>
      </c>
      <c r="G249" s="592">
        <f ca="1"/>
        <v>0</v>
      </c>
      <c r="H249" s="592">
        <f ca="1"/>
        <v>0</v>
      </c>
      <c r="I249" s="592">
        <f ca="1"/>
        <v>0</v>
      </c>
      <c r="J249" s="592">
        <f ca="1"/>
        <v>0</v>
      </c>
      <c r="K249" s="592">
        <f ca="1"/>
        <v>0</v>
      </c>
      <c r="L249" s="592">
        <f ca="1"/>
        <v>0</v>
      </c>
      <c r="M249" s="592">
        <f ca="1"/>
        <v>0</v>
      </c>
      <c r="N249" s="1967">
        <f ca="1">'Distr CV 1'!B249</f>
        <v>0</v>
      </c>
      <c r="O249" s="1968">
        <f ca="1"/>
        <v>0</v>
      </c>
      <c r="P249" s="1968">
        <f ca="1"/>
        <v>0</v>
      </c>
      <c r="Q249" s="1968">
        <f ca="1"/>
        <v>0</v>
      </c>
      <c r="R249" s="1968">
        <f ca="1"/>
        <v>0</v>
      </c>
      <c r="S249" s="1968">
        <f ca="1"/>
        <v>0</v>
      </c>
      <c r="T249" s="1968">
        <f ca="1"/>
        <v>0</v>
      </c>
      <c r="U249" s="1968">
        <f ca="1"/>
        <v>0</v>
      </c>
      <c r="V249" s="1968">
        <f ca="1"/>
        <v>0</v>
      </c>
      <c r="W249" s="1968">
        <f ca="1"/>
        <v>0</v>
      </c>
      <c r="X249" s="1968">
        <f ca="1"/>
        <v>0</v>
      </c>
      <c r="Y249" s="1986">
        <f ca="1"/>
        <v>0</v>
      </c>
    </row>
    <row r="250" spans="1:25" ht="15.75" customHeight="1" thickBot="1">
      <c r="A250" s="103" t="str">
        <f>"Totales CV "&amp;A$15</f>
        <v xml:space="preserve">Totales CV </v>
      </c>
      <c r="B250" s="596">
        <f t="shared" ref="B250:Y250" ca="1" si="17">SUM(B237:B249)</f>
        <v>0</v>
      </c>
      <c r="C250" s="596">
        <f t="shared" ca="1" si="17"/>
        <v>0</v>
      </c>
      <c r="D250" s="596">
        <f t="shared" ca="1" si="17"/>
        <v>0</v>
      </c>
      <c r="E250" s="596">
        <f t="shared" ca="1" si="17"/>
        <v>0</v>
      </c>
      <c r="F250" s="596">
        <f t="shared" ca="1" si="17"/>
        <v>0</v>
      </c>
      <c r="G250" s="596">
        <f t="shared" ca="1" si="17"/>
        <v>0</v>
      </c>
      <c r="H250" s="596">
        <f t="shared" ca="1" si="17"/>
        <v>0</v>
      </c>
      <c r="I250" s="596">
        <f t="shared" ca="1" si="17"/>
        <v>0</v>
      </c>
      <c r="J250" s="596">
        <f t="shared" ca="1" si="17"/>
        <v>0</v>
      </c>
      <c r="K250" s="596">
        <f t="shared" ca="1" si="17"/>
        <v>0</v>
      </c>
      <c r="L250" s="596">
        <f t="shared" ca="1" si="17"/>
        <v>0</v>
      </c>
      <c r="M250" s="596">
        <f t="shared" ca="1" si="17"/>
        <v>0</v>
      </c>
      <c r="N250" s="596">
        <f t="shared" ca="1" si="17"/>
        <v>0</v>
      </c>
      <c r="O250" s="596">
        <f t="shared" ca="1" si="17"/>
        <v>0</v>
      </c>
      <c r="P250" s="596">
        <f t="shared" ca="1" si="17"/>
        <v>0</v>
      </c>
      <c r="Q250" s="596">
        <f t="shared" ca="1" si="17"/>
        <v>0</v>
      </c>
      <c r="R250" s="596">
        <f t="shared" ca="1" si="17"/>
        <v>0</v>
      </c>
      <c r="S250" s="596">
        <f t="shared" ca="1" si="17"/>
        <v>0</v>
      </c>
      <c r="T250" s="596">
        <f t="shared" ca="1" si="17"/>
        <v>0</v>
      </c>
      <c r="U250" s="596">
        <f t="shared" ca="1" si="17"/>
        <v>0</v>
      </c>
      <c r="V250" s="596">
        <f t="shared" ca="1" si="17"/>
        <v>0</v>
      </c>
      <c r="W250" s="596">
        <f t="shared" ca="1" si="17"/>
        <v>0</v>
      </c>
      <c r="X250" s="596">
        <f t="shared" ca="1" si="17"/>
        <v>0</v>
      </c>
      <c r="Y250" s="1984">
        <f t="shared" ca="1" si="17"/>
        <v>0</v>
      </c>
    </row>
    <row r="251" spans="1:25" ht="15.75" customHeight="1" thickBot="1">
      <c r="A251" s="103" t="str">
        <f>'Datos Básicos'!A28&amp;" sop. CV "&amp;$A$15</f>
        <v xml:space="preserve">IVA sop. CV </v>
      </c>
      <c r="B251" s="596">
        <f t="array" aca="1" ref="B251:Y251" ca="1">$K$235*B250:Y250</f>
        <v>0</v>
      </c>
      <c r="C251" s="596">
        <f ca="1"/>
        <v>0</v>
      </c>
      <c r="D251" s="596">
        <f ca="1"/>
        <v>0</v>
      </c>
      <c r="E251" s="596">
        <f ca="1"/>
        <v>0</v>
      </c>
      <c r="F251" s="596">
        <f ca="1"/>
        <v>0</v>
      </c>
      <c r="G251" s="596">
        <f ca="1"/>
        <v>0</v>
      </c>
      <c r="H251" s="596">
        <f ca="1"/>
        <v>0</v>
      </c>
      <c r="I251" s="596">
        <f ca="1"/>
        <v>0</v>
      </c>
      <c r="J251" s="596">
        <f ca="1"/>
        <v>0</v>
      </c>
      <c r="K251" s="596">
        <f ca="1"/>
        <v>0</v>
      </c>
      <c r="L251" s="596">
        <f ca="1"/>
        <v>0</v>
      </c>
      <c r="M251" s="596">
        <f ca="1"/>
        <v>0</v>
      </c>
      <c r="N251" s="596">
        <f ca="1"/>
        <v>0</v>
      </c>
      <c r="O251" s="596">
        <f ca="1"/>
        <v>0</v>
      </c>
      <c r="P251" s="596">
        <f ca="1"/>
        <v>0</v>
      </c>
      <c r="Q251" s="596">
        <f ca="1"/>
        <v>0</v>
      </c>
      <c r="R251" s="596">
        <f ca="1"/>
        <v>0</v>
      </c>
      <c r="S251" s="596">
        <f ca="1"/>
        <v>0</v>
      </c>
      <c r="T251" s="596">
        <f ca="1"/>
        <v>0</v>
      </c>
      <c r="U251" s="596">
        <f ca="1"/>
        <v>0</v>
      </c>
      <c r="V251" s="596">
        <f ca="1"/>
        <v>0</v>
      </c>
      <c r="W251" s="596">
        <f ca="1"/>
        <v>0</v>
      </c>
      <c r="X251" s="596">
        <f ca="1"/>
        <v>0</v>
      </c>
      <c r="Y251" s="1984">
        <f ca="1"/>
        <v>0</v>
      </c>
    </row>
  </sheetData>
  <sheetProtection sheet="1" objects="1" scenarios="1"/>
  <phoneticPr fontId="6" type="noConversion"/>
  <printOptions horizontalCentered="1" verticalCentered="1"/>
  <pageMargins left="0.38" right="0.19685039370078741" top="0.53" bottom="0.71" header="0.51181102362204722" footer="0.39370078740157483"/>
  <pageSetup paperSize="9" scale="26" fitToHeight="2" orientation="landscape" horizontalDpi="300" verticalDpi="300" r:id="rId1"/>
  <headerFooter alignWithMargins="0">
    <oddFooter>&amp;C&amp;"Tahoma,Normal"&amp;10&amp;A</oddFooter>
  </headerFooter>
  <rowBreaks count="1" manualBreakCount="1">
    <brk id="73"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pageSetUpPr fitToPage="1"/>
  </sheetPr>
  <dimension ref="A1:O101"/>
  <sheetViews>
    <sheetView tabSelected="1" workbookViewId="0">
      <selection activeCell="B13" sqref="B13:C13"/>
    </sheetView>
  </sheetViews>
  <sheetFormatPr baseColWidth="10" defaultColWidth="11" defaultRowHeight="18"/>
  <cols>
    <col min="1" max="1" width="26.5" style="635" customWidth="1"/>
    <col min="2" max="2" width="10.75" style="706" customWidth="1"/>
    <col min="3" max="3" width="10" style="706" customWidth="1"/>
    <col min="4" max="5" width="10.125" style="706" customWidth="1"/>
    <col min="6" max="6" width="11" style="706" customWidth="1"/>
    <col min="7" max="7" width="9.625" style="706" customWidth="1"/>
    <col min="8" max="12" width="8.625" style="706" customWidth="1"/>
    <col min="13" max="13" width="10.25" style="706" customWidth="1"/>
    <col min="14" max="14" width="8" style="706" bestFit="1" customWidth="1"/>
    <col min="15" max="16384" width="11" style="683"/>
  </cols>
  <sheetData>
    <row r="1" spans="1:15" ht="22.5">
      <c r="A1" s="3364" t="s">
        <v>1114</v>
      </c>
      <c r="B1" s="3364"/>
      <c r="C1" s="3364"/>
      <c r="D1" s="3364"/>
      <c r="E1" s="3364"/>
      <c r="F1" s="3364"/>
      <c r="G1" s="3364"/>
      <c r="H1" s="3364"/>
      <c r="I1" s="3364"/>
    </row>
    <row r="2" spans="1:15" ht="22.5">
      <c r="A2" s="740" t="s">
        <v>1299</v>
      </c>
      <c r="B2" s="738"/>
      <c r="C2" s="739"/>
      <c r="D2" s="739"/>
      <c r="E2" s="739"/>
      <c r="F2" s="739"/>
      <c r="G2" s="739"/>
      <c r="H2" s="739"/>
      <c r="I2" s="739"/>
    </row>
    <row r="3" spans="1:15" ht="30">
      <c r="A3" s="770" t="s">
        <v>534</v>
      </c>
      <c r="B3" s="735"/>
      <c r="C3" s="771"/>
      <c r="D3" s="739"/>
      <c r="E3" s="735"/>
      <c r="F3" s="739"/>
      <c r="G3" s="739"/>
      <c r="H3" s="739"/>
      <c r="I3" s="739"/>
      <c r="K3" s="741"/>
      <c r="L3" s="741"/>
      <c r="M3" s="741"/>
      <c r="N3" s="741"/>
      <c r="O3" s="742"/>
    </row>
    <row r="4" spans="1:15" ht="30">
      <c r="A4" s="770" t="s">
        <v>143</v>
      </c>
      <c r="B4" s="735"/>
      <c r="C4" s="1318"/>
      <c r="D4" s="1319"/>
      <c r="E4" s="735"/>
      <c r="F4" s="1319"/>
      <c r="G4" s="1319"/>
      <c r="H4" s="1319"/>
      <c r="I4" s="1319"/>
      <c r="J4" s="741"/>
      <c r="K4" s="743"/>
      <c r="L4" s="743"/>
      <c r="M4" s="743"/>
      <c r="N4" s="741"/>
      <c r="O4" s="742"/>
    </row>
    <row r="5" spans="1:15" ht="18.75" thickBot="1">
      <c r="B5" s="635"/>
      <c r="C5" s="635"/>
      <c r="D5" s="635"/>
      <c r="E5" s="635"/>
      <c r="F5" s="635"/>
      <c r="G5" s="635"/>
      <c r="H5" s="635"/>
      <c r="I5" s="635"/>
      <c r="K5" s="635"/>
      <c r="L5" s="635"/>
      <c r="M5" s="635"/>
    </row>
    <row r="6" spans="1:15" ht="24.75" customHeight="1">
      <c r="A6" s="758" t="s">
        <v>485</v>
      </c>
      <c r="B6" s="3365" t="s">
        <v>1114</v>
      </c>
      <c r="C6" s="3366"/>
      <c r="D6" s="3366"/>
      <c r="E6" s="3366"/>
      <c r="F6" s="3366"/>
      <c r="G6" s="3366"/>
      <c r="H6" s="3366"/>
      <c r="I6" s="3367"/>
      <c r="K6" s="635"/>
      <c r="L6" s="635"/>
      <c r="M6" s="635"/>
    </row>
    <row r="7" spans="1:15" ht="28.5" customHeight="1" thickBot="1">
      <c r="A7" s="254"/>
      <c r="B7" s="3368" t="s">
        <v>1295</v>
      </c>
      <c r="C7" s="3369"/>
      <c r="D7" s="3369"/>
      <c r="E7" s="3369"/>
      <c r="F7" s="3369"/>
      <c r="G7" s="3369"/>
      <c r="H7" s="3369"/>
      <c r="I7" s="3370"/>
      <c r="K7" s="635"/>
      <c r="L7" s="635"/>
      <c r="M7" s="635"/>
    </row>
    <row r="8" spans="1:15" ht="18.75" thickBot="1">
      <c r="A8" s="744"/>
    </row>
    <row r="9" spans="1:15" ht="29.25" customHeight="1" thickBot="1">
      <c r="A9" s="759" t="s">
        <v>73</v>
      </c>
      <c r="B9" s="3371" t="s">
        <v>1190</v>
      </c>
      <c r="C9" s="3372"/>
      <c r="D9" s="3372"/>
      <c r="E9" s="3372"/>
      <c r="F9" s="3372"/>
      <c r="G9" s="3372"/>
      <c r="H9" s="3372"/>
      <c r="I9" s="3373"/>
    </row>
    <row r="10" spans="1:15" ht="15.75" thickBot="1">
      <c r="A10" s="745"/>
    </row>
    <row r="11" spans="1:15" ht="24" customHeight="1" thickBot="1">
      <c r="A11" s="760" t="s">
        <v>1037</v>
      </c>
      <c r="B11" s="3371" t="s">
        <v>1191</v>
      </c>
      <c r="C11" s="3372"/>
      <c r="D11" s="3372"/>
      <c r="E11" s="3372"/>
      <c r="F11" s="3372"/>
      <c r="G11" s="3372"/>
      <c r="H11" s="3372"/>
      <c r="I11" s="3373"/>
    </row>
    <row r="12" spans="1:15" ht="18.75" thickBot="1"/>
    <row r="13" spans="1:15" ht="20.25" customHeight="1" thickBot="1">
      <c r="A13" s="761" t="s">
        <v>29</v>
      </c>
      <c r="B13" s="3358">
        <v>46962</v>
      </c>
      <c r="C13" s="3360"/>
      <c r="E13" s="746"/>
      <c r="F13" s="2281">
        <f>IF(G13="Empresa existente",1,0)</f>
        <v>0</v>
      </c>
      <c r="G13" s="3358" t="s">
        <v>1028</v>
      </c>
      <c r="H13" s="3359"/>
      <c r="I13" s="3360"/>
    </row>
    <row r="14" spans="1:15" ht="15.75" thickBot="1">
      <c r="A14" s="747"/>
    </row>
    <row r="15" spans="1:15" ht="24" customHeight="1" thickBot="1">
      <c r="A15" s="2060" t="s">
        <v>1069</v>
      </c>
      <c r="B15" s="2731">
        <v>2026</v>
      </c>
      <c r="C15" s="683"/>
      <c r="D15" s="683"/>
      <c r="E15" s="683"/>
      <c r="F15" s="683"/>
      <c r="G15" s="683"/>
      <c r="H15" s="683"/>
      <c r="I15" s="683"/>
    </row>
    <row r="16" spans="1:15" ht="24" customHeight="1" thickBot="1">
      <c r="A16" s="2060" t="s">
        <v>1071</v>
      </c>
      <c r="B16" s="2732">
        <v>1</v>
      </c>
      <c r="C16" s="759" t="s">
        <v>1072</v>
      </c>
      <c r="D16" s="1454"/>
      <c r="E16" s="1454"/>
      <c r="F16" s="1454"/>
      <c r="G16" s="1454"/>
      <c r="H16" s="1454"/>
      <c r="I16" s="1455"/>
    </row>
    <row r="17" spans="1:15" ht="18.75" customHeight="1" thickBot="1">
      <c r="D17" s="2"/>
    </row>
    <row r="18" spans="1:15" ht="15">
      <c r="A18" s="762"/>
      <c r="B18" s="763" t="s">
        <v>331</v>
      </c>
      <c r="C18" s="713">
        <f>IF($B18="Año 0",1,2)</f>
        <v>1</v>
      </c>
      <c r="D18" s="714">
        <f>C18+1</f>
        <v>2</v>
      </c>
      <c r="E18" s="713">
        <f>D18+1</f>
        <v>3</v>
      </c>
      <c r="F18" s="715">
        <f>E18+1</f>
        <v>4</v>
      </c>
      <c r="G18" s="752"/>
      <c r="H18" s="752"/>
    </row>
    <row r="19" spans="1:15" ht="21.75" customHeight="1" thickBot="1">
      <c r="A19" s="1499" t="s">
        <v>1070</v>
      </c>
      <c r="B19" s="2728" t="str">
        <f>Parametros!D65</f>
        <v>2026</v>
      </c>
      <c r="C19" s="2728" t="str">
        <f>Parametros!E65</f>
        <v>2027</v>
      </c>
      <c r="D19" s="2729" t="str">
        <f>Parametros!F65</f>
        <v>2028</v>
      </c>
      <c r="E19" s="2728" t="str">
        <f>Parametros!G65</f>
        <v>2029</v>
      </c>
      <c r="F19" s="2730" t="str">
        <f>Parametros!H65</f>
        <v>2030</v>
      </c>
      <c r="G19" s="752"/>
      <c r="K19" s="753"/>
      <c r="O19" s="3073" t="s">
        <v>1201</v>
      </c>
    </row>
    <row r="20" spans="1:15" ht="18.75" thickBot="1">
      <c r="A20" s="754"/>
      <c r="B20" s="754"/>
      <c r="C20" s="754"/>
      <c r="G20" s="752"/>
      <c r="H20" s="232"/>
    </row>
    <row r="21" spans="1:15" ht="19.5" customHeight="1" thickBot="1">
      <c r="A21" s="1528" t="s">
        <v>126</v>
      </c>
      <c r="B21" s="1529" t="s">
        <v>537</v>
      </c>
      <c r="C21" s="1496">
        <v>1</v>
      </c>
      <c r="D21" s="1498" t="str">
        <f>"del "&amp;B18</f>
        <v>del Año 0</v>
      </c>
      <c r="E21" s="1497"/>
      <c r="F21" s="3349" t="str">
        <f>CONCATENATE("= mes de ",TEXT(INDEX(Parametros!A61:A72,mes0,1),"mmmm \d\e "&amp;aa&amp;aa))</f>
        <v>= mes de enero de 2026</v>
      </c>
      <c r="G21" s="3349"/>
      <c r="H21" s="3349"/>
      <c r="I21" s="3350"/>
    </row>
    <row r="22" spans="1:15">
      <c r="A22" s="1452"/>
      <c r="B22" s="3161"/>
      <c r="C22" s="3235" t="str">
        <f>IF(mes0&gt;=finTemporada,"No hay meses de actividad en el año 0: revisar mes de inicio o meses de temporada en hoja Parámetros",IF(AND(mes0&gt;inicioTemporada,mes0&lt;&gt;1),"Mes de inicio posterior al inicio de la temporada: solo "&amp;finTemporada-mes0&amp;" meses de actividad en el primer año ("&amp;B18&amp;")",""))</f>
        <v/>
      </c>
      <c r="D22" s="866"/>
      <c r="E22" s="1453"/>
      <c r="F22" s="785"/>
      <c r="G22" s="752"/>
      <c r="H22" s="232"/>
    </row>
    <row r="23" spans="1:15" ht="18.75" thickBot="1">
      <c r="A23" s="754"/>
      <c r="B23" s="754"/>
      <c r="C23" s="754"/>
      <c r="G23" s="752"/>
      <c r="H23" s="232"/>
    </row>
    <row r="24" spans="1:15" ht="21" customHeight="1" thickBot="1">
      <c r="A24" s="759" t="s">
        <v>234</v>
      </c>
      <c r="B24" s="3351" t="s">
        <v>729</v>
      </c>
      <c r="C24" s="3352"/>
      <c r="D24" s="3352"/>
      <c r="E24" s="3352"/>
      <c r="F24" s="3353"/>
      <c r="G24" s="752"/>
      <c r="H24" s="232"/>
    </row>
    <row r="25" spans="1:15" ht="15">
      <c r="A25" s="769"/>
      <c r="B25" s="2336">
        <f>VLOOKUP(B24,$A$58:$I$75,9,0)</f>
        <v>0</v>
      </c>
      <c r="C25" s="769"/>
      <c r="D25" s="769"/>
      <c r="E25" s="769"/>
      <c r="F25" s="769"/>
      <c r="G25" s="752"/>
      <c r="H25" s="232"/>
    </row>
    <row r="26" spans="1:15" ht="18.75" thickBot="1"/>
    <row r="27" spans="1:15" ht="18.75" thickBot="1">
      <c r="A27" s="3361" t="str">
        <f>CONCATENATE("Impuesto Indirecto: ",A28)</f>
        <v>Impuesto Indirecto: IVA</v>
      </c>
      <c r="B27" s="3362"/>
      <c r="C27" s="3363"/>
      <c r="E27" s="683"/>
      <c r="F27" s="1348" t="str">
        <f>H43&amp;" ( " &amp;I43&amp; " )"</f>
        <v>Impuesto de la Renta ( I.R.P.F. )</v>
      </c>
      <c r="G27" s="707"/>
      <c r="H27" s="707"/>
      <c r="I27" s="765"/>
    </row>
    <row r="28" spans="1:15" ht="18.75" thickBot="1">
      <c r="A28" s="1523" t="s">
        <v>1033</v>
      </c>
      <c r="B28" s="1525"/>
      <c r="C28" s="1524">
        <v>0.21</v>
      </c>
      <c r="E28" s="756"/>
      <c r="F28" s="767" t="s">
        <v>188</v>
      </c>
      <c r="G28" s="768"/>
      <c r="H28" s="768"/>
      <c r="I28" s="764">
        <f>VLOOKUP(B24,$A$58:$G$75,6,0)</f>
        <v>0.2</v>
      </c>
    </row>
    <row r="29" spans="1:15" ht="19.5" customHeight="1" thickBot="1">
      <c r="A29" s="1526" t="str">
        <f>CONCATENATE("Tipo de ",A28," soportado")</f>
        <v>Tipo de IVA soportado</v>
      </c>
      <c r="B29" s="1527"/>
      <c r="C29" s="1524">
        <v>0.21</v>
      </c>
      <c r="F29" s="3077" t="s">
        <v>187</v>
      </c>
      <c r="G29" s="3078"/>
      <c r="H29" s="3078"/>
      <c r="I29" s="1547">
        <f>VLOOKUP(B24,$A$58:$G$75,7,0)</f>
        <v>0</v>
      </c>
    </row>
    <row r="30" spans="1:15" ht="23.25" customHeight="1" thickBot="1">
      <c r="A30" s="2497" t="s">
        <v>1025</v>
      </c>
      <c r="B30" s="3356" t="s">
        <v>1027</v>
      </c>
      <c r="C30" s="3357"/>
      <c r="D30" s="2502">
        <f>IF(B30="Mensuales",1,0)+'IVA 0'!D16*0</f>
        <v>0</v>
      </c>
      <c r="F30" s="3079" t="s">
        <v>262</v>
      </c>
      <c r="G30" s="3080"/>
      <c r="H30" s="3080"/>
      <c r="I30" s="3081">
        <v>0.75</v>
      </c>
      <c r="J30" s="1569">
        <f>I30*I29</f>
        <v>0</v>
      </c>
    </row>
    <row r="31" spans="1:15" ht="23.25" customHeight="1" thickBot="1">
      <c r="A31" s="2497" t="s">
        <v>1049</v>
      </c>
      <c r="B31" s="3356" t="s">
        <v>1050</v>
      </c>
      <c r="C31" s="3357"/>
      <c r="D31" s="2516">
        <f>IF(B31="Devolución",1,0)</f>
        <v>1</v>
      </c>
      <c r="F31" s="2496"/>
      <c r="G31" s="1318"/>
      <c r="H31" s="1318"/>
      <c r="I31" s="2537"/>
      <c r="J31" s="1569"/>
    </row>
    <row r="32" spans="1:15" ht="23.25" customHeight="1" thickBot="1">
      <c r="A32" s="2497" t="str">
        <f>"Cuenta Corr. "&amp;A28</f>
        <v>Cuenta Corr. IVA</v>
      </c>
      <c r="B32" s="3356" t="s">
        <v>265</v>
      </c>
      <c r="C32" s="3357"/>
      <c r="D32" s="2498">
        <f>IF(B32="No",0,1)</f>
        <v>0</v>
      </c>
      <c r="F32" s="2496"/>
      <c r="G32" s="1318"/>
      <c r="H32" s="1318"/>
      <c r="I32" s="2537"/>
      <c r="J32" s="1569"/>
    </row>
    <row r="33" spans="1:14" ht="23.25" customHeight="1">
      <c r="F33" s="2496"/>
      <c r="G33" s="1318"/>
      <c r="H33" s="1318"/>
      <c r="I33" s="2537"/>
      <c r="J33" s="1569"/>
    </row>
    <row r="34" spans="1:14" ht="23.25" customHeight="1" thickBot="1">
      <c r="F34" s="2496"/>
      <c r="G34" s="1318"/>
      <c r="H34" s="1318"/>
      <c r="I34" s="2537"/>
      <c r="J34" s="1569"/>
    </row>
    <row r="35" spans="1:14" ht="21" customHeight="1" thickBot="1">
      <c r="A35" s="1348" t="str">
        <f>$H$44&amp;" ( "&amp;$I$44&amp;" )"</f>
        <v>Impuesto Sociedades ( I.S. )</v>
      </c>
      <c r="B35" s="1348"/>
      <c r="C35" s="718"/>
      <c r="D35" s="35"/>
      <c r="E35" s="683"/>
      <c r="G35" s="3293"/>
      <c r="J35" s="683"/>
    </row>
    <row r="36" spans="1:14" ht="24" customHeight="1">
      <c r="A36" s="3323" t="s">
        <v>409</v>
      </c>
      <c r="B36" s="3324"/>
      <c r="C36" s="3325">
        <f>VLOOKUP(B24,$A$58:$G$75,3,0)</f>
        <v>0</v>
      </c>
      <c r="D36" s="35"/>
      <c r="G36" s="683"/>
      <c r="H36" s="683"/>
      <c r="I36" s="683"/>
      <c r="J36" s="683"/>
    </row>
    <row r="37" spans="1:14">
      <c r="A37" s="2053" t="s">
        <v>410</v>
      </c>
      <c r="B37" s="3326"/>
      <c r="C37" s="3327">
        <f>VLOOKUP(B24,$A$58:$G$75,4,0)</f>
        <v>0</v>
      </c>
      <c r="D37" s="35"/>
      <c r="G37" s="683"/>
      <c r="H37" s="683"/>
      <c r="I37" s="683"/>
      <c r="J37" s="683"/>
    </row>
    <row r="38" spans="1:14" ht="15.75" customHeight="1">
      <c r="A38" s="2053" t="s">
        <v>936</v>
      </c>
      <c r="B38" s="3354" t="s">
        <v>1026</v>
      </c>
      <c r="C38" s="3355"/>
      <c r="D38" s="2058">
        <f>IF(B38="Año anterior",-1,1)</f>
        <v>-1</v>
      </c>
      <c r="G38" s="683"/>
      <c r="H38" s="683"/>
      <c r="I38" s="683"/>
      <c r="J38" s="683"/>
    </row>
    <row r="39" spans="1:14" ht="29.25" thickBot="1">
      <c r="A39" s="3328" t="s">
        <v>125</v>
      </c>
      <c r="B39" s="3329"/>
      <c r="C39" s="3330">
        <f>VLOOKUP(B24,$A$58:$M$75,IF($B$38="Año corriente",13,5),0)</f>
        <v>0</v>
      </c>
      <c r="D39" s="35"/>
      <c r="G39" s="683"/>
      <c r="H39" s="683"/>
      <c r="I39" s="683"/>
      <c r="J39" s="683"/>
    </row>
    <row r="40" spans="1:14">
      <c r="A40" s="3331" t="s">
        <v>1296</v>
      </c>
      <c r="B40" s="2516">
        <f ca="1">YEAR(TODAY())</f>
        <v>2026</v>
      </c>
      <c r="C40" s="2516">
        <f t="shared" ref="C40:F40" ca="1" si="0">B40+1</f>
        <v>2027</v>
      </c>
      <c r="D40" s="2516">
        <f t="shared" ca="1" si="0"/>
        <v>2028</v>
      </c>
      <c r="E40" s="2516">
        <f t="shared" ca="1" si="0"/>
        <v>2029</v>
      </c>
      <c r="F40" s="2516">
        <f t="shared" ca="1" si="0"/>
        <v>2030</v>
      </c>
      <c r="G40" s="3332"/>
      <c r="H40" s="735"/>
      <c r="I40" s="735"/>
      <c r="J40" s="3333"/>
    </row>
    <row r="41" spans="1:14" ht="19.5" customHeight="1">
      <c r="D41" s="35"/>
      <c r="G41" s="3332"/>
      <c r="H41" s="735"/>
      <c r="I41" s="735"/>
      <c r="J41" s="3333"/>
    </row>
    <row r="42" spans="1:14" s="719" customFormat="1">
      <c r="A42" s="3334" t="s">
        <v>362</v>
      </c>
      <c r="B42" s="3335"/>
      <c r="C42" s="781"/>
      <c r="D42" s="781"/>
      <c r="E42" s="781"/>
      <c r="F42" s="781"/>
      <c r="G42" s="781"/>
      <c r="H42" s="781"/>
      <c r="I42" s="781"/>
      <c r="J42" s="781"/>
      <c r="K42" s="781"/>
      <c r="L42" s="781"/>
      <c r="M42" s="781"/>
      <c r="N42" s="781"/>
    </row>
    <row r="43" spans="1:14" s="719" customFormat="1">
      <c r="B43" s="3334" t="s">
        <v>1033</v>
      </c>
      <c r="C43" s="781" t="s">
        <v>370</v>
      </c>
      <c r="D43" s="781"/>
      <c r="E43" s="781"/>
      <c r="F43" s="781"/>
      <c r="G43" s="781"/>
      <c r="H43" s="3336" t="s">
        <v>1098</v>
      </c>
      <c r="I43" s="781" t="s">
        <v>1094</v>
      </c>
      <c r="J43" s="781" t="s">
        <v>1095</v>
      </c>
      <c r="K43" s="781"/>
      <c r="L43" s="781"/>
      <c r="M43" s="781"/>
      <c r="N43" s="781"/>
    </row>
    <row r="44" spans="1:14" s="719" customFormat="1">
      <c r="B44" s="3334" t="s">
        <v>369</v>
      </c>
      <c r="C44" s="781" t="s">
        <v>371</v>
      </c>
      <c r="D44" s="781"/>
      <c r="E44" s="781"/>
      <c r="F44" s="781"/>
      <c r="G44" s="781"/>
      <c r="H44" s="3336" t="s">
        <v>1097</v>
      </c>
      <c r="I44" s="781" t="s">
        <v>1096</v>
      </c>
      <c r="J44" s="781" t="s">
        <v>145</v>
      </c>
      <c r="K44" s="781"/>
      <c r="L44" s="781"/>
      <c r="M44" s="781"/>
      <c r="N44" s="781"/>
    </row>
    <row r="45" spans="1:14" s="719" customFormat="1">
      <c r="B45" s="3334" t="s">
        <v>363</v>
      </c>
      <c r="C45" s="781" t="s">
        <v>372</v>
      </c>
      <c r="D45" s="781"/>
      <c r="E45" s="781"/>
      <c r="F45" s="781"/>
      <c r="G45" s="781"/>
      <c r="H45" s="781"/>
      <c r="I45" s="781"/>
      <c r="J45" s="781"/>
      <c r="K45" s="781"/>
      <c r="L45" s="781"/>
      <c r="M45" s="781"/>
      <c r="N45" s="781"/>
    </row>
    <row r="46" spans="1:14" s="719" customFormat="1">
      <c r="B46" s="3334" t="s">
        <v>1029</v>
      </c>
      <c r="C46" s="781" t="s">
        <v>1034</v>
      </c>
      <c r="D46" s="781"/>
      <c r="E46" s="781"/>
      <c r="F46" s="781"/>
      <c r="G46" s="781"/>
      <c r="H46" s="781"/>
      <c r="I46" s="781"/>
      <c r="J46" s="781"/>
      <c r="K46" s="781"/>
      <c r="L46" s="781"/>
      <c r="M46" s="781"/>
      <c r="N46" s="781"/>
    </row>
    <row r="47" spans="1:14" s="719" customFormat="1">
      <c r="A47" s="3334"/>
      <c r="B47" s="781" t="s">
        <v>373</v>
      </c>
      <c r="C47" s="781"/>
      <c r="D47" s="781"/>
      <c r="E47" s="781"/>
      <c r="F47" s="781"/>
      <c r="G47" s="781"/>
      <c r="H47" s="781"/>
      <c r="I47" s="781"/>
      <c r="J47" s="781"/>
      <c r="K47" s="781"/>
      <c r="L47" s="781"/>
      <c r="M47" s="781"/>
      <c r="N47" s="781"/>
    </row>
    <row r="48" spans="1:14" s="719" customFormat="1">
      <c r="A48" s="3334"/>
      <c r="B48" s="781"/>
      <c r="C48" s="781"/>
      <c r="D48" s="781"/>
      <c r="E48" s="781"/>
      <c r="F48" s="781"/>
      <c r="G48" s="781"/>
      <c r="H48" s="781"/>
      <c r="I48" s="781"/>
      <c r="J48" s="781"/>
      <c r="K48" s="781"/>
      <c r="L48" s="781"/>
      <c r="M48" s="781"/>
      <c r="N48" s="781"/>
    </row>
    <row r="49" spans="1:14" s="719" customFormat="1">
      <c r="A49" s="3334"/>
      <c r="B49" s="781" t="s">
        <v>374</v>
      </c>
      <c r="C49" s="740" t="s">
        <v>368</v>
      </c>
      <c r="D49" s="781"/>
      <c r="E49" s="781"/>
      <c r="F49" s="781"/>
      <c r="G49" s="781"/>
      <c r="H49" s="3337">
        <f>+B15</f>
        <v>2026</v>
      </c>
      <c r="I49" s="3338">
        <f>H49+1</f>
        <v>2027</v>
      </c>
      <c r="J49" s="3338">
        <f t="shared" ref="J49:L49" si="1">I49+1</f>
        <v>2028</v>
      </c>
      <c r="K49" s="3338">
        <f t="shared" si="1"/>
        <v>2029</v>
      </c>
      <c r="L49" s="3338">
        <f t="shared" si="1"/>
        <v>2030</v>
      </c>
      <c r="M49" s="781"/>
      <c r="N49" s="781"/>
    </row>
    <row r="50" spans="1:14">
      <c r="A50" s="3339" t="s">
        <v>366</v>
      </c>
      <c r="B50" s="3236">
        <v>0.21</v>
      </c>
      <c r="C50" s="3237">
        <v>5.1999999999999998E-2</v>
      </c>
      <c r="F50" s="781"/>
      <c r="G50" s="3336" t="s">
        <v>1052</v>
      </c>
      <c r="H50" s="3340">
        <f>1214.08*30%</f>
        <v>364.22399999999999</v>
      </c>
      <c r="I50" s="3340">
        <f t="shared" ref="I50:K50" si="2">H50*1.0125</f>
        <v>368.77679999999998</v>
      </c>
      <c r="J50" s="3340">
        <f t="shared" si="2"/>
        <v>373.38650999999999</v>
      </c>
      <c r="K50" s="3340">
        <f t="shared" si="2"/>
        <v>378.05384137499999</v>
      </c>
    </row>
    <row r="51" spans="1:14">
      <c r="A51" s="3339" t="s">
        <v>365</v>
      </c>
      <c r="B51" s="3236">
        <v>0.1</v>
      </c>
      <c r="C51" s="3237">
        <v>1.4E-2</v>
      </c>
      <c r="F51" s="781"/>
      <c r="G51" s="3336" t="s">
        <v>1258</v>
      </c>
      <c r="H51" s="3341">
        <v>86</v>
      </c>
      <c r="I51" s="3341">
        <f t="shared" ref="I51:K51" si="3">H51</f>
        <v>86</v>
      </c>
      <c r="J51" s="3341">
        <f t="shared" si="3"/>
        <v>86</v>
      </c>
      <c r="K51" s="3341">
        <f t="shared" si="3"/>
        <v>86</v>
      </c>
      <c r="L51" s="3341">
        <v>80</v>
      </c>
    </row>
    <row r="52" spans="1:14">
      <c r="A52" s="3339" t="s">
        <v>364</v>
      </c>
      <c r="B52" s="3236">
        <v>0.04</v>
      </c>
      <c r="C52" s="3237">
        <v>5.0000000000000001E-3</v>
      </c>
      <c r="F52" s="781"/>
      <c r="G52" s="3336" t="s">
        <v>1053</v>
      </c>
      <c r="H52" s="3340">
        <f>944.35*30%</f>
        <v>283.30500000000001</v>
      </c>
      <c r="I52" s="3340">
        <f t="shared" ref="I52" si="4">H52*1.0125</f>
        <v>286.84631250000001</v>
      </c>
      <c r="J52" s="3340">
        <f t="shared" ref="J52" si="5">I52*1.0125</f>
        <v>290.43189140624997</v>
      </c>
      <c r="K52" s="3340">
        <f t="shared" ref="K52" si="6">J52*1.0125</f>
        <v>294.06229004882806</v>
      </c>
    </row>
    <row r="53" spans="1:14">
      <c r="A53" s="3339" t="s">
        <v>367</v>
      </c>
      <c r="B53" s="3236">
        <v>0</v>
      </c>
      <c r="C53" s="3236"/>
      <c r="G53" s="3336" t="s">
        <v>1203</v>
      </c>
      <c r="H53" s="3340">
        <f>+H51</f>
        <v>86</v>
      </c>
      <c r="I53" s="3340">
        <f>+I51</f>
        <v>86</v>
      </c>
      <c r="J53" s="3340">
        <f t="shared" ref="J53:K53" si="7">I53</f>
        <v>86</v>
      </c>
      <c r="K53" s="3340">
        <f t="shared" si="7"/>
        <v>86</v>
      </c>
    </row>
    <row r="56" spans="1:14" s="719" customFormat="1">
      <c r="A56" s="3334" t="s">
        <v>422</v>
      </c>
      <c r="B56" s="781"/>
      <c r="C56" s="781"/>
      <c r="D56" s="781"/>
      <c r="E56" s="781"/>
      <c r="F56" s="781"/>
      <c r="G56" s="3342"/>
      <c r="H56" s="781"/>
      <c r="I56" s="781"/>
      <c r="J56" s="781"/>
      <c r="K56" s="781"/>
      <c r="L56" s="781"/>
      <c r="M56" s="781"/>
      <c r="N56" s="781"/>
    </row>
    <row r="57" spans="1:14" s="719" customFormat="1" ht="51">
      <c r="A57" s="3334"/>
      <c r="C57" s="3343" t="s">
        <v>287</v>
      </c>
      <c r="D57" s="3343" t="s">
        <v>551</v>
      </c>
      <c r="E57" s="3343" t="s">
        <v>926</v>
      </c>
      <c r="F57" s="3343" t="s">
        <v>288</v>
      </c>
      <c r="G57" s="3343" t="s">
        <v>289</v>
      </c>
      <c r="H57" s="3343" t="s">
        <v>423</v>
      </c>
      <c r="I57" s="781" t="s">
        <v>684</v>
      </c>
      <c r="J57" s="3344" t="s">
        <v>692</v>
      </c>
      <c r="K57" s="3344" t="s">
        <v>693</v>
      </c>
      <c r="L57" s="3343" t="s">
        <v>444</v>
      </c>
      <c r="M57" s="3343" t="s">
        <v>927</v>
      </c>
      <c r="N57" s="781"/>
    </row>
    <row r="58" spans="1:14" s="719" customFormat="1" ht="15">
      <c r="A58" s="3345" t="s">
        <v>733</v>
      </c>
      <c r="C58" s="1569">
        <v>0.25</v>
      </c>
      <c r="D58" s="1569">
        <v>0.25</v>
      </c>
      <c r="E58" s="1569">
        <v>0.18</v>
      </c>
      <c r="F58" s="1569">
        <v>0</v>
      </c>
      <c r="G58" s="1569">
        <v>0</v>
      </c>
      <c r="H58" s="781" t="s">
        <v>424</v>
      </c>
      <c r="I58" s="3346">
        <v>3000</v>
      </c>
      <c r="J58" s="781">
        <v>350</v>
      </c>
      <c r="K58" s="781">
        <v>250</v>
      </c>
      <c r="L58" s="1569">
        <v>0.01</v>
      </c>
      <c r="M58" s="1569">
        <v>0.21</v>
      </c>
      <c r="N58" s="781"/>
    </row>
    <row r="59" spans="1:14" s="719" customFormat="1" ht="15">
      <c r="A59" s="3345" t="s">
        <v>1036</v>
      </c>
      <c r="C59" s="1569">
        <v>0.25</v>
      </c>
      <c r="D59" s="1569">
        <v>0.25</v>
      </c>
      <c r="E59" s="1569">
        <v>0.18</v>
      </c>
      <c r="F59" s="1569">
        <v>0</v>
      </c>
      <c r="G59" s="1569">
        <v>0</v>
      </c>
      <c r="H59" s="781" t="s">
        <v>1030</v>
      </c>
      <c r="I59" s="3346">
        <v>1</v>
      </c>
      <c r="J59" s="781">
        <v>350</v>
      </c>
      <c r="K59" s="781">
        <v>250</v>
      </c>
      <c r="L59" s="1569">
        <v>0.01</v>
      </c>
      <c r="M59" s="1569">
        <v>0.1</v>
      </c>
      <c r="N59" s="781"/>
    </row>
    <row r="60" spans="1:14" s="719" customFormat="1" ht="15">
      <c r="A60" s="3345" t="s">
        <v>1043</v>
      </c>
      <c r="C60" s="1569">
        <v>0.25</v>
      </c>
      <c r="D60" s="1569">
        <v>0.25</v>
      </c>
      <c r="E60" s="1569">
        <v>0.18</v>
      </c>
      <c r="F60" s="1569">
        <v>0</v>
      </c>
      <c r="G60" s="1569">
        <v>0</v>
      </c>
      <c r="H60" s="781" t="s">
        <v>1030</v>
      </c>
      <c r="I60" s="3346">
        <v>1</v>
      </c>
      <c r="J60" s="781">
        <v>350</v>
      </c>
      <c r="K60" s="781">
        <v>250</v>
      </c>
      <c r="L60" s="1569">
        <v>0.01</v>
      </c>
      <c r="M60" s="1569">
        <v>0.1</v>
      </c>
      <c r="N60" s="781"/>
    </row>
    <row r="61" spans="1:14" s="719" customFormat="1" ht="15">
      <c r="A61" s="3345" t="s">
        <v>729</v>
      </c>
      <c r="B61" s="781"/>
      <c r="C61" s="1569">
        <v>0</v>
      </c>
      <c r="D61" s="1569">
        <v>0</v>
      </c>
      <c r="E61" s="1569">
        <v>0</v>
      </c>
      <c r="F61" s="1569">
        <v>0.2</v>
      </c>
      <c r="G61" s="1569">
        <v>0</v>
      </c>
      <c r="H61" s="781"/>
      <c r="I61" s="3346">
        <v>0</v>
      </c>
      <c r="J61" s="781">
        <v>0</v>
      </c>
      <c r="K61" s="781">
        <v>0</v>
      </c>
      <c r="L61" s="1569">
        <v>0</v>
      </c>
      <c r="M61" s="1569">
        <v>0</v>
      </c>
      <c r="N61" s="781"/>
    </row>
    <row r="62" spans="1:14" s="719" customFormat="1" ht="15">
      <c r="A62" s="3345" t="s">
        <v>730</v>
      </c>
      <c r="B62" s="781"/>
      <c r="C62" s="1569">
        <v>0</v>
      </c>
      <c r="D62" s="1569">
        <v>0</v>
      </c>
      <c r="E62" s="1569">
        <v>0</v>
      </c>
      <c r="F62" s="1569">
        <v>0.2</v>
      </c>
      <c r="G62" s="1569">
        <v>0</v>
      </c>
      <c r="H62" s="781"/>
      <c r="I62" s="3346">
        <v>0</v>
      </c>
      <c r="J62" s="781">
        <v>0</v>
      </c>
      <c r="K62" s="781">
        <v>0</v>
      </c>
      <c r="L62" s="1569">
        <v>0</v>
      </c>
      <c r="M62" s="1569">
        <v>0</v>
      </c>
      <c r="N62" s="781"/>
    </row>
    <row r="63" spans="1:14" s="719" customFormat="1" ht="15">
      <c r="A63" s="3345" t="s">
        <v>734</v>
      </c>
      <c r="B63" s="781"/>
      <c r="C63" s="1569">
        <v>0</v>
      </c>
      <c r="D63" s="1569">
        <v>0</v>
      </c>
      <c r="E63" s="1569">
        <v>0</v>
      </c>
      <c r="F63" s="1569">
        <v>0.2</v>
      </c>
      <c r="G63" s="1569">
        <v>0</v>
      </c>
      <c r="H63" s="781" t="s">
        <v>425</v>
      </c>
      <c r="I63" s="3346">
        <v>0</v>
      </c>
      <c r="J63" s="781">
        <v>0</v>
      </c>
      <c r="K63" s="781">
        <v>0</v>
      </c>
      <c r="L63" s="1569">
        <v>0</v>
      </c>
      <c r="M63" s="1569">
        <v>0</v>
      </c>
      <c r="N63" s="781"/>
    </row>
    <row r="64" spans="1:14" s="719" customFormat="1" ht="15">
      <c r="A64" s="3345" t="s">
        <v>556</v>
      </c>
      <c r="B64" s="781"/>
      <c r="C64" s="1569">
        <v>0</v>
      </c>
      <c r="D64" s="1569">
        <v>0</v>
      </c>
      <c r="E64" s="1569">
        <v>0</v>
      </c>
      <c r="F64" s="1569">
        <v>0.2</v>
      </c>
      <c r="G64" s="1569">
        <v>0.15</v>
      </c>
      <c r="H64" s="781"/>
      <c r="I64" s="3346">
        <v>0</v>
      </c>
      <c r="J64" s="781">
        <v>0</v>
      </c>
      <c r="K64" s="781">
        <v>0</v>
      </c>
      <c r="L64" s="1569">
        <v>0</v>
      </c>
      <c r="M64" s="1569">
        <v>0</v>
      </c>
      <c r="N64" s="781"/>
    </row>
    <row r="65" spans="1:14" s="719" customFormat="1" ht="15">
      <c r="A65" s="3345" t="s">
        <v>731</v>
      </c>
      <c r="B65" s="781"/>
      <c r="C65" s="1569">
        <v>0.2</v>
      </c>
      <c r="D65" s="1569">
        <v>0</v>
      </c>
      <c r="E65" s="1569">
        <v>0</v>
      </c>
      <c r="F65" s="1569">
        <v>0</v>
      </c>
      <c r="G65" s="1569">
        <v>0</v>
      </c>
      <c r="H65" s="781" t="s">
        <v>426</v>
      </c>
      <c r="I65" s="3346">
        <v>0</v>
      </c>
      <c r="J65" s="781">
        <v>0</v>
      </c>
      <c r="K65" s="781">
        <v>0</v>
      </c>
      <c r="L65" s="1569">
        <v>0</v>
      </c>
      <c r="M65" s="1569">
        <v>0</v>
      </c>
      <c r="N65" s="781"/>
    </row>
    <row r="66" spans="1:14" s="719" customFormat="1" ht="15">
      <c r="A66" s="3345" t="s">
        <v>732</v>
      </c>
      <c r="B66" s="781"/>
      <c r="C66" s="1569">
        <v>0.2</v>
      </c>
      <c r="D66" s="1569">
        <v>0</v>
      </c>
      <c r="E66" s="1569">
        <v>0</v>
      </c>
      <c r="F66" s="1569">
        <v>0</v>
      </c>
      <c r="G66" s="1569">
        <v>0</v>
      </c>
      <c r="H66" s="781" t="s">
        <v>426</v>
      </c>
      <c r="I66" s="3346">
        <v>0</v>
      </c>
      <c r="J66" s="781">
        <v>0</v>
      </c>
      <c r="K66" s="781">
        <v>0</v>
      </c>
      <c r="L66" s="1569">
        <v>0</v>
      </c>
      <c r="M66" s="1569">
        <v>0</v>
      </c>
      <c r="N66" s="781"/>
    </row>
    <row r="67" spans="1:14" s="719" customFormat="1" ht="15">
      <c r="A67" s="3345" t="s">
        <v>829</v>
      </c>
      <c r="B67" s="781"/>
      <c r="C67" s="1569">
        <v>0.2</v>
      </c>
      <c r="D67" s="1569">
        <v>0.25</v>
      </c>
      <c r="E67" s="1569">
        <v>0.18</v>
      </c>
      <c r="F67" s="1569">
        <v>0</v>
      </c>
      <c r="G67" s="1569">
        <v>0</v>
      </c>
      <c r="H67" s="781" t="s">
        <v>830</v>
      </c>
      <c r="I67" s="3346">
        <v>0</v>
      </c>
      <c r="J67" s="781">
        <v>350</v>
      </c>
      <c r="K67" s="781">
        <v>250</v>
      </c>
      <c r="L67" s="1569">
        <v>0</v>
      </c>
      <c r="M67" s="1569">
        <v>0.21</v>
      </c>
      <c r="N67" s="781"/>
    </row>
    <row r="68" spans="1:14" s="719" customFormat="1" ht="15">
      <c r="A68" s="3345" t="s">
        <v>828</v>
      </c>
      <c r="B68" s="781"/>
      <c r="C68" s="1569">
        <v>0.2</v>
      </c>
      <c r="D68" s="1569">
        <v>0.25</v>
      </c>
      <c r="E68" s="1569">
        <v>0.18</v>
      </c>
      <c r="F68" s="1569">
        <v>0</v>
      </c>
      <c r="G68" s="1569">
        <v>0</v>
      </c>
      <c r="H68" s="781" t="s">
        <v>427</v>
      </c>
      <c r="I68" s="3346">
        <v>0</v>
      </c>
      <c r="J68" s="781">
        <v>350</v>
      </c>
      <c r="K68" s="781">
        <v>250</v>
      </c>
      <c r="L68" s="1569">
        <v>0</v>
      </c>
      <c r="M68" s="1569">
        <v>0.21</v>
      </c>
      <c r="N68" s="781"/>
    </row>
    <row r="69" spans="1:14" s="719" customFormat="1" ht="15">
      <c r="A69" s="3345" t="s">
        <v>728</v>
      </c>
      <c r="B69" s="781"/>
      <c r="C69" s="1569">
        <v>0.1</v>
      </c>
      <c r="D69" s="1569">
        <v>0.1</v>
      </c>
      <c r="E69" s="1569">
        <v>0.09</v>
      </c>
      <c r="F69" s="1569">
        <v>0</v>
      </c>
      <c r="G69" s="1569">
        <v>0</v>
      </c>
      <c r="H69" s="781" t="s">
        <v>427</v>
      </c>
      <c r="I69" s="3346">
        <v>0</v>
      </c>
      <c r="J69" s="781">
        <v>0</v>
      </c>
      <c r="K69" s="781">
        <v>0</v>
      </c>
      <c r="L69" s="1569">
        <v>0</v>
      </c>
      <c r="M69" s="1569">
        <v>0.05</v>
      </c>
      <c r="N69" s="781"/>
    </row>
    <row r="70" spans="1:14" s="719" customFormat="1" ht="15">
      <c r="A70" s="3345" t="s">
        <v>735</v>
      </c>
      <c r="B70" s="781"/>
      <c r="C70" s="1569">
        <v>0.25</v>
      </c>
      <c r="D70" s="1569">
        <v>0.25</v>
      </c>
      <c r="E70" s="1569">
        <v>0.18</v>
      </c>
      <c r="F70" s="1569">
        <v>0</v>
      </c>
      <c r="G70" s="1569">
        <v>0</v>
      </c>
      <c r="H70" s="781" t="s">
        <v>284</v>
      </c>
      <c r="I70" s="3346">
        <v>1</v>
      </c>
      <c r="J70" s="781">
        <v>300</v>
      </c>
      <c r="K70" s="781">
        <v>250</v>
      </c>
      <c r="L70" s="1569">
        <v>0</v>
      </c>
      <c r="M70" s="1569">
        <v>0.21</v>
      </c>
      <c r="N70" s="781"/>
    </row>
    <row r="71" spans="1:14" s="719" customFormat="1" ht="15">
      <c r="A71" s="3345" t="s">
        <v>736</v>
      </c>
      <c r="B71" s="781"/>
      <c r="C71" s="1569">
        <v>0.25</v>
      </c>
      <c r="D71" s="1569">
        <v>0.25</v>
      </c>
      <c r="E71" s="1569">
        <v>0.18</v>
      </c>
      <c r="F71" s="1569">
        <v>0</v>
      </c>
      <c r="G71" s="1569">
        <v>0</v>
      </c>
      <c r="H71" s="781" t="s">
        <v>285</v>
      </c>
      <c r="I71" s="3346">
        <v>60000</v>
      </c>
      <c r="J71" s="781">
        <v>600</v>
      </c>
      <c r="K71" s="781">
        <v>500</v>
      </c>
      <c r="L71" s="1569">
        <v>0</v>
      </c>
      <c r="M71" s="1569">
        <v>0.21</v>
      </c>
      <c r="N71" s="781"/>
    </row>
    <row r="72" spans="1:14" s="719" customFormat="1" ht="15">
      <c r="A72" s="3345" t="s">
        <v>737</v>
      </c>
      <c r="B72" s="781"/>
      <c r="C72" s="1569">
        <v>0.25</v>
      </c>
      <c r="D72" s="1569">
        <v>0.25</v>
      </c>
      <c r="E72" s="1569">
        <v>0.18</v>
      </c>
      <c r="F72" s="1569">
        <v>0</v>
      </c>
      <c r="G72" s="1569">
        <v>0</v>
      </c>
      <c r="H72" s="781" t="s">
        <v>428</v>
      </c>
      <c r="I72" s="3346">
        <v>60000</v>
      </c>
      <c r="J72" s="781">
        <v>600</v>
      </c>
      <c r="K72" s="781">
        <v>500</v>
      </c>
      <c r="L72" s="1569">
        <v>0.01</v>
      </c>
      <c r="M72" s="1569">
        <v>0.21</v>
      </c>
      <c r="N72" s="781"/>
    </row>
    <row r="73" spans="1:14" s="719" customFormat="1" ht="15">
      <c r="A73" s="3345" t="s">
        <v>286</v>
      </c>
      <c r="B73" s="781"/>
      <c r="C73" s="1569">
        <v>0.1</v>
      </c>
      <c r="D73" s="1569">
        <v>0.1</v>
      </c>
      <c r="E73" s="1569">
        <v>0.18</v>
      </c>
      <c r="F73" s="1569">
        <v>0</v>
      </c>
      <c r="G73" s="1569">
        <v>0</v>
      </c>
      <c r="H73" s="781"/>
      <c r="I73" s="3346">
        <v>30000</v>
      </c>
      <c r="J73" s="781">
        <v>600</v>
      </c>
      <c r="K73" s="781">
        <v>300</v>
      </c>
      <c r="L73" s="1569">
        <v>0.01</v>
      </c>
      <c r="M73" s="1569">
        <v>0.21</v>
      </c>
      <c r="N73" s="781"/>
    </row>
    <row r="74" spans="1:14" s="719" customFormat="1" ht="15">
      <c r="A74" s="3345" t="s">
        <v>924</v>
      </c>
      <c r="B74" s="781"/>
      <c r="C74" s="1569">
        <v>0</v>
      </c>
      <c r="D74" s="1569">
        <v>0</v>
      </c>
      <c r="E74" s="1569">
        <v>0</v>
      </c>
      <c r="F74" s="1569">
        <v>0</v>
      </c>
      <c r="G74" s="1569">
        <v>0</v>
      </c>
      <c r="H74" s="781"/>
      <c r="I74" s="3346">
        <v>0</v>
      </c>
      <c r="J74" s="781">
        <v>0</v>
      </c>
      <c r="K74" s="781">
        <v>0</v>
      </c>
      <c r="L74" s="1569">
        <v>0</v>
      </c>
      <c r="M74" s="1569">
        <v>0</v>
      </c>
      <c r="N74" s="781"/>
    </row>
    <row r="75" spans="1:14" s="719" customFormat="1" ht="15">
      <c r="A75" s="3345" t="s">
        <v>290</v>
      </c>
      <c r="B75" s="781"/>
      <c r="C75" s="1569">
        <v>0.15</v>
      </c>
      <c r="D75" s="1569">
        <v>0.2</v>
      </c>
      <c r="E75" s="1569">
        <v>0.18</v>
      </c>
      <c r="F75" s="1569">
        <v>0</v>
      </c>
      <c r="G75" s="1569">
        <v>0</v>
      </c>
      <c r="H75" s="781" t="s">
        <v>429</v>
      </c>
      <c r="I75" s="3346">
        <v>3000</v>
      </c>
      <c r="J75" s="781">
        <v>0</v>
      </c>
      <c r="K75" s="781">
        <v>0</v>
      </c>
      <c r="L75" s="1569">
        <v>0.01</v>
      </c>
      <c r="M75" s="1569">
        <v>0.21</v>
      </c>
      <c r="N75" s="781"/>
    </row>
    <row r="76" spans="1:14" s="719" customFormat="1" ht="15">
      <c r="B76" s="781"/>
      <c r="C76" s="781"/>
      <c r="D76" s="781"/>
      <c r="E76" s="1569"/>
      <c r="F76" s="1569"/>
      <c r="G76" s="781"/>
      <c r="H76" s="781"/>
      <c r="I76" s="781"/>
      <c r="J76" s="781"/>
      <c r="K76" s="781"/>
      <c r="L76" s="781"/>
      <c r="M76" s="781"/>
      <c r="N76" s="781"/>
    </row>
    <row r="77" spans="1:14" s="719" customFormat="1" ht="15">
      <c r="B77" s="781"/>
      <c r="C77" s="781"/>
      <c r="D77" s="781"/>
      <c r="E77" s="1569"/>
      <c r="F77" s="1569"/>
      <c r="G77" s="781"/>
      <c r="H77" s="781"/>
      <c r="I77" s="781"/>
      <c r="J77" s="781"/>
      <c r="K77" s="781"/>
      <c r="L77" s="781"/>
      <c r="M77" s="781"/>
      <c r="N77" s="781"/>
    </row>
    <row r="78" spans="1:14" s="719" customFormat="1" ht="15">
      <c r="A78" s="719" t="s">
        <v>695</v>
      </c>
      <c r="B78" s="781" t="s">
        <v>616</v>
      </c>
      <c r="C78" s="781">
        <f>VLOOKUP(B24,$A$58:$K$75,10,0)</f>
        <v>0</v>
      </c>
      <c r="D78" s="781"/>
      <c r="E78" s="1569"/>
      <c r="F78" s="1569"/>
      <c r="G78" s="781"/>
      <c r="H78" s="781"/>
      <c r="I78" s="781"/>
      <c r="J78" s="781"/>
      <c r="K78" s="781"/>
      <c r="L78" s="781"/>
      <c r="M78" s="781"/>
      <c r="N78" s="781"/>
    </row>
    <row r="79" spans="1:14" s="719" customFormat="1" ht="15">
      <c r="B79" s="3336" t="s">
        <v>922</v>
      </c>
      <c r="C79" s="781">
        <v>35</v>
      </c>
      <c r="D79" s="781"/>
      <c r="E79" s="1569"/>
      <c r="F79" s="1569"/>
      <c r="G79" s="781"/>
      <c r="H79" s="781"/>
      <c r="I79" s="781"/>
      <c r="J79" s="781"/>
      <c r="K79" s="781"/>
      <c r="L79" s="781"/>
      <c r="M79" s="781"/>
      <c r="N79" s="781"/>
    </row>
    <row r="80" spans="1:14" s="719" customFormat="1" ht="15">
      <c r="B80" s="3336" t="s">
        <v>696</v>
      </c>
      <c r="C80" s="781">
        <f>VLOOKUP(B24,$A$58:$K$75,11,0)</f>
        <v>0</v>
      </c>
      <c r="D80" s="781"/>
      <c r="E80" s="1569"/>
      <c r="F80" s="1569"/>
      <c r="G80" s="781"/>
      <c r="H80" s="781"/>
      <c r="I80" s="781"/>
      <c r="J80" s="781"/>
      <c r="K80" s="781"/>
      <c r="L80" s="781"/>
      <c r="M80" s="781"/>
      <c r="N80" s="781"/>
    </row>
    <row r="81" spans="1:14" s="719" customFormat="1" ht="15">
      <c r="B81" s="3347" t="s">
        <v>923</v>
      </c>
      <c r="C81" s="3238">
        <f>VLOOKUP(B24,$A$58:$L$75,12,0)</f>
        <v>0</v>
      </c>
      <c r="D81" s="781"/>
      <c r="E81" s="1569"/>
      <c r="F81" s="1569"/>
      <c r="G81" s="781"/>
      <c r="H81" s="781"/>
      <c r="I81" s="781"/>
      <c r="J81" s="781"/>
      <c r="K81" s="781"/>
      <c r="L81" s="781"/>
      <c r="M81" s="781"/>
      <c r="N81" s="781"/>
    </row>
    <row r="82" spans="1:14" s="719" customFormat="1" ht="15">
      <c r="B82" s="3336"/>
      <c r="C82" s="781"/>
      <c r="D82" s="781"/>
      <c r="E82" s="1569"/>
      <c r="F82" s="1569"/>
      <c r="G82" s="781"/>
      <c r="H82" s="781"/>
      <c r="I82" s="781"/>
      <c r="J82" s="781"/>
      <c r="K82" s="781"/>
      <c r="L82" s="781"/>
      <c r="M82" s="781"/>
      <c r="N82" s="781"/>
    </row>
    <row r="83" spans="1:14" s="719" customFormat="1" ht="15">
      <c r="B83" s="781"/>
      <c r="C83" s="781"/>
      <c r="D83" s="781"/>
      <c r="E83" s="1569"/>
      <c r="F83" s="1569"/>
      <c r="G83" s="781"/>
      <c r="H83" s="781"/>
      <c r="I83" s="781"/>
      <c r="J83" s="781"/>
      <c r="K83" s="781"/>
      <c r="L83" s="781"/>
      <c r="M83" s="781"/>
      <c r="N83" s="781"/>
    </row>
    <row r="84" spans="1:14" s="719" customFormat="1" ht="15">
      <c r="A84" s="719" t="s">
        <v>411</v>
      </c>
      <c r="B84" s="781"/>
      <c r="C84" s="3346">
        <v>120202</v>
      </c>
      <c r="D84" s="781"/>
      <c r="E84" s="781"/>
      <c r="F84" s="781"/>
      <c r="G84" s="781"/>
      <c r="H84" s="781"/>
      <c r="I84" s="781"/>
      <c r="J84" s="781"/>
      <c r="K84" s="781"/>
      <c r="L84" s="781"/>
      <c r="M84" s="781"/>
      <c r="N84" s="781"/>
    </row>
    <row r="85" spans="1:14" s="719" customFormat="1" ht="15">
      <c r="B85" s="781"/>
      <c r="C85" s="781"/>
      <c r="D85" s="781"/>
      <c r="E85" s="781"/>
      <c r="F85" s="781"/>
      <c r="G85" s="781"/>
      <c r="H85" s="781"/>
      <c r="I85" s="781"/>
      <c r="J85" s="781"/>
      <c r="K85" s="781"/>
      <c r="L85" s="781"/>
      <c r="M85" s="781"/>
      <c r="N85" s="781"/>
    </row>
    <row r="89" spans="1:14">
      <c r="A89" s="3334" t="s">
        <v>983</v>
      </c>
    </row>
    <row r="90" spans="1:14">
      <c r="A90" s="3334" t="s">
        <v>682</v>
      </c>
    </row>
    <row r="91" spans="1:14">
      <c r="A91" s="3334" t="s">
        <v>825</v>
      </c>
    </row>
    <row r="92" spans="1:14">
      <c r="A92" s="3334" t="s">
        <v>826</v>
      </c>
    </row>
    <row r="93" spans="1:14">
      <c r="A93" s="3334" t="s">
        <v>1114</v>
      </c>
    </row>
    <row r="94" spans="1:14">
      <c r="A94" s="3334" t="s">
        <v>1042</v>
      </c>
    </row>
    <row r="95" spans="1:14">
      <c r="A95" s="3334" t="s">
        <v>899</v>
      </c>
    </row>
    <row r="96" spans="1:14">
      <c r="A96" s="3334" t="s">
        <v>935</v>
      </c>
    </row>
    <row r="97" spans="1:1">
      <c r="A97" s="3334" t="s">
        <v>934</v>
      </c>
    </row>
    <row r="98" spans="1:1">
      <c r="A98" s="3334" t="s">
        <v>1038</v>
      </c>
    </row>
    <row r="99" spans="1:1">
      <c r="A99" s="3334" t="s">
        <v>1039</v>
      </c>
    </row>
    <row r="100" spans="1:1">
      <c r="A100" s="3334" t="s">
        <v>1035</v>
      </c>
    </row>
    <row r="101" spans="1:1">
      <c r="A101" s="3334" t="s">
        <v>925</v>
      </c>
    </row>
  </sheetData>
  <sheetProtection sheet="1" objects="1" scenarios="1"/>
  <dataConsolidate/>
  <mergeCells count="14">
    <mergeCell ref="A1:I1"/>
    <mergeCell ref="B13:C13"/>
    <mergeCell ref="B6:I6"/>
    <mergeCell ref="B7:I7"/>
    <mergeCell ref="B9:I9"/>
    <mergeCell ref="B11:I11"/>
    <mergeCell ref="F21:I21"/>
    <mergeCell ref="B24:F24"/>
    <mergeCell ref="B38:C38"/>
    <mergeCell ref="B30:C30"/>
    <mergeCell ref="G13:I13"/>
    <mergeCell ref="A27:C27"/>
    <mergeCell ref="B31:C31"/>
    <mergeCell ref="B32:C32"/>
  </mergeCells>
  <phoneticPr fontId="6" type="noConversion"/>
  <conditionalFormatting sqref="A35:C39">
    <cfRule type="expression" dxfId="51" priority="2" stopIfTrue="1">
      <formula>$C$36=0</formula>
    </cfRule>
  </conditionalFormatting>
  <conditionalFormatting sqref="F31:H34">
    <cfRule type="expression" dxfId="50" priority="12" stopIfTrue="1">
      <formula>$I$29=0</formula>
    </cfRule>
  </conditionalFormatting>
  <conditionalFormatting sqref="F27:I28">
    <cfRule type="expression" dxfId="49" priority="1" stopIfTrue="1">
      <formula>$I$28=0</formula>
    </cfRule>
  </conditionalFormatting>
  <conditionalFormatting sqref="F29:I30">
    <cfRule type="expression" dxfId="48" priority="4" stopIfTrue="1">
      <formula>$I$29=0</formula>
    </cfRule>
  </conditionalFormatting>
  <conditionalFormatting sqref="G40:J41">
    <cfRule type="expression" dxfId="47" priority="11" stopIfTrue="1">
      <formula>$B$24&lt;&gt;"Soc. Civil de profesionales"</formula>
    </cfRule>
  </conditionalFormatting>
  <dataValidations xWindow="263" yWindow="681" count="21">
    <dataValidation allowBlank="1" showInputMessage="1" showErrorMessage="1" prompt="Mes inicial de actividad._x000a__x000a_¡Debe ser congruente con el mes 0 del Préstamo!" sqref="F21" xr:uid="{00000000-0002-0000-0200-000000000000}"/>
    <dataValidation type="decimal" allowBlank="1" showInputMessage="1" showErrorMessage="1" prompt="Tipo (%) de retenciones a cuenta (entre 0% y 40%) Debe ser el 18% normalmente para la mayoría de los casos." sqref="C39" xr:uid="{00000000-0002-0000-0200-000001000000}">
      <formula1>0</formula1>
      <formula2>0.4</formula2>
    </dataValidation>
    <dataValidation type="decimal" allowBlank="1" showInputMessage="1" showErrorMessage="1" sqref="C36" xr:uid="{00000000-0002-0000-0200-000002000000}">
      <formula1>0</formula1>
      <formula2>0.4</formula2>
    </dataValidation>
    <dataValidation type="list" allowBlank="1" showInputMessage="1" showErrorMessage="1" sqref="B42" xr:uid="{00000000-0002-0000-0200-000003000000}">
      <formula1>"IVA,IGIC,IPSI"</formula1>
    </dataValidation>
    <dataValidation type="list" allowBlank="1" showInputMessage="1" showErrorMessage="1" sqref="B24" xr:uid="{00000000-0002-0000-0200-000004000000}">
      <formula1>$A$58:$A$75</formula1>
    </dataValidation>
    <dataValidation type="list" allowBlank="1" showInputMessage="1" showErrorMessage="1" sqref="C21" xr:uid="{00000000-0002-0000-0200-000005000000}">
      <formula1>"1,2,3,4,5,6,7,8,9,10,11,12"</formula1>
    </dataValidation>
    <dataValidation type="list" allowBlank="1" showInputMessage="1" showErrorMessage="1" sqref="B18" xr:uid="{00000000-0002-0000-0200-000006000000}">
      <formula1>"Año 0,Año 1"</formula1>
    </dataValidation>
    <dataValidation type="textLength" allowBlank="1" showInputMessage="1" showErrorMessage="1" sqref="B6:B7" xr:uid="{00000000-0002-0000-0200-000007000000}">
      <formula1>0</formula1>
      <formula2>50</formula2>
    </dataValidation>
    <dataValidation type="date" allowBlank="1" showInputMessage="1" showErrorMessage="1" sqref="B13:C13" xr:uid="{00000000-0002-0000-0200-000008000000}">
      <formula1>36161</formula1>
      <formula2>73415</formula2>
    </dataValidation>
    <dataValidation type="list" allowBlank="1" showInputMessage="1" showErrorMessage="1" sqref="A11" xr:uid="{00000000-0002-0000-0200-000009000000}">
      <formula1>"Promotor:,Promotora:,Promotores:,Promotoras:"</formula1>
    </dataValidation>
    <dataValidation type="list" allowBlank="1" showInputMessage="1" showErrorMessage="1" sqref="A1:I1" xr:uid="{00000000-0002-0000-0200-00000A000000}">
      <formula1>$A$89:$A$101</formula1>
    </dataValidation>
    <dataValidation type="list" allowBlank="1" showInputMessage="1" showErrorMessage="1" sqref="B38" xr:uid="{00000000-0002-0000-0200-00000B000000}">
      <formula1>"Año anterior,Año corriente"</formula1>
    </dataValidation>
    <dataValidation type="list" allowBlank="1" showInputMessage="1" showErrorMessage="1" sqref="G13:I13" xr:uid="{00000000-0002-0000-0200-00000C000000}">
      <formula1>"Empresa existente,Proyecto / Nueva Empresa"</formula1>
    </dataValidation>
    <dataValidation type="list" allowBlank="1" showInputMessage="1" showErrorMessage="1" prompt="Normalmente será el 21%, excepto que se esté exento, en recargo de equivalencia o IVA en módulos._x000a_En estos casos se debe incluir el IVA dentro de los precios de coste y de venta como inversión o gasto." sqref="C28:C29" xr:uid="{00000000-0002-0000-0200-00000D000000}">
      <formula1>$B$50:$B$53</formula1>
    </dataValidation>
    <dataValidation type="list" allowBlank="1" showInputMessage="1" showErrorMessage="1" sqref="A28" xr:uid="{00000000-0002-0000-0200-00000E000000}">
      <formula1>$B$43:$B$47</formula1>
    </dataValidation>
    <dataValidation type="list" allowBlank="1" showInputMessage="1" showErrorMessage="1" sqref="B30" xr:uid="{00000000-0002-0000-0200-00000F000000}">
      <formula1>"Trimestrales,Mensuales"</formula1>
    </dataValidation>
    <dataValidation type="list" allowBlank="1" showInputMessage="1" showErrorMessage="1" sqref="B32:C32" xr:uid="{00000000-0002-0000-0200-000010000000}">
      <formula1>"Si,No"</formula1>
    </dataValidation>
    <dataValidation type="list" allowBlank="1" showInputMessage="1" showErrorMessage="1" sqref="B31:C31" xr:uid="{00000000-0002-0000-0200-000011000000}">
      <formula1>"Devolución,Compensación"</formula1>
    </dataValidation>
    <dataValidation type="list" allowBlank="1" showInputMessage="1" showErrorMessage="1" sqref="B16" xr:uid="{00000000-0002-0000-0200-000012000000}">
      <formula1>"1,4,7,10"</formula1>
    </dataValidation>
    <dataValidation type="list" allowBlank="1" showInputMessage="1" showErrorMessage="1" sqref="B15" xr:uid="{00000000-0002-0000-0200-000013000000}">
      <formula1>$B$40:$F$40</formula1>
    </dataValidation>
    <dataValidation type="list" allowBlank="1" showInputMessage="1" showErrorMessage="1" sqref="O19" xr:uid="{00000000-0002-0000-0200-000014000000}">
      <formula1>"aa,yy"</formula1>
    </dataValidation>
  </dataValidations>
  <pageMargins left="0.61" right="0.61" top="0.78740157480314965" bottom="0.95" header="0" footer="0.19685039370078741"/>
  <pageSetup paperSize="9" scale="79" orientation="portrait" horizontalDpi="300" verticalDpi="300" r:id="rId1"/>
  <headerFooter alignWithMargins="0">
    <oddFooter>&amp;C&amp;"Tahoma,Normal"&amp;10&amp;A</oddFooter>
  </headerFooter>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39">
    <tabColor indexed="10"/>
    <pageSetUpPr fitToPage="1"/>
  </sheetPr>
  <dimension ref="A1:Z251"/>
  <sheetViews>
    <sheetView workbookViewId="0"/>
  </sheetViews>
  <sheetFormatPr baseColWidth="10" defaultColWidth="11" defaultRowHeight="12.75"/>
  <cols>
    <col min="1" max="1" width="24" style="232" customWidth="1"/>
    <col min="2" max="2" width="11.375" style="60" customWidth="1"/>
    <col min="3" max="4" width="11.375" style="61" customWidth="1"/>
    <col min="5" max="5" width="10.375" style="61" customWidth="1"/>
    <col min="6" max="14" width="11.375" style="61" customWidth="1"/>
    <col min="15" max="15" width="11.5" style="232" customWidth="1"/>
    <col min="16" max="16384" width="11" style="61"/>
  </cols>
  <sheetData>
    <row r="1" spans="1:15" ht="22.5">
      <c r="A1" s="67" t="s">
        <v>876</v>
      </c>
      <c r="K1" s="2681" t="str">
        <f>Parametros!C$77</f>
        <v>Año 1:  2027</v>
      </c>
      <c r="L1" s="421"/>
    </row>
    <row r="2" spans="1:15" ht="22.5">
      <c r="A2" s="67" t="str">
        <f>'Datos Básicos'!B9</f>
        <v>nombre empresa</v>
      </c>
    </row>
    <row r="3" spans="1:15" ht="14.25" customHeight="1">
      <c r="A3" s="59"/>
    </row>
    <row r="4" spans="1:15" ht="14.25" customHeight="1">
      <c r="A4" s="59"/>
    </row>
    <row r="5" spans="1:15" ht="14.25" customHeight="1">
      <c r="A5" s="59"/>
    </row>
    <row r="6" spans="1:15" ht="24" customHeight="1" thickBot="1">
      <c r="A6" s="422" t="str">
        <f>'Distr CV 0'!A6</f>
        <v>Previsión de unidades vendidas</v>
      </c>
    </row>
    <row r="7" spans="1:15" s="447" customFormat="1" ht="15.75" customHeight="1" thickBot="1">
      <c r="A7" s="446" t="str">
        <f>'Distr CV 0'!A7</f>
        <v>Ventas (Unidades)</v>
      </c>
      <c r="B7" s="444" t="str">
        <f t="array" ref="B7:M7">meses</f>
        <v>enero</v>
      </c>
      <c r="C7" s="440" t="str">
        <v>febrero</v>
      </c>
      <c r="D7" s="440" t="str">
        <v>marzo</v>
      </c>
      <c r="E7" s="440" t="str">
        <v>abril</v>
      </c>
      <c r="F7" s="440" t="str">
        <v>mayo</v>
      </c>
      <c r="G7" s="440" t="str">
        <v>junio</v>
      </c>
      <c r="H7" s="440" t="str">
        <v>julio</v>
      </c>
      <c r="I7" s="440" t="str">
        <v>agosto</v>
      </c>
      <c r="J7" s="440" t="str">
        <v>septiembre</v>
      </c>
      <c r="K7" s="440" t="str">
        <v>octubre</v>
      </c>
      <c r="L7" s="440" t="str">
        <v>noviembre</v>
      </c>
      <c r="M7" s="441" t="str">
        <v>diciembre</v>
      </c>
      <c r="N7" s="438" t="s">
        <v>15</v>
      </c>
    </row>
    <row r="8" spans="1:15" ht="15.75" customHeight="1">
      <c r="A8" s="1972" t="str">
        <f t="array" ref="A8:A15">productos</f>
        <v>producto o servicio</v>
      </c>
      <c r="B8" s="578">
        <f t="array" aca="1" ref="B8:M15" ca="1">'Prev.Ventas 1'!B5:M12</f>
        <v>800</v>
      </c>
      <c r="C8" s="579">
        <f ca="1"/>
        <v>1000</v>
      </c>
      <c r="D8" s="579">
        <f ca="1"/>
        <v>1100</v>
      </c>
      <c r="E8" s="579">
        <f ca="1"/>
        <v>1050</v>
      </c>
      <c r="F8" s="579">
        <f ca="1"/>
        <v>900</v>
      </c>
      <c r="G8" s="579">
        <f ca="1"/>
        <v>850</v>
      </c>
      <c r="H8" s="579">
        <f ca="1"/>
        <v>800</v>
      </c>
      <c r="I8" s="579">
        <f ca="1"/>
        <v>600</v>
      </c>
      <c r="J8" s="579">
        <f ca="1"/>
        <v>800</v>
      </c>
      <c r="K8" s="579">
        <f ca="1"/>
        <v>950</v>
      </c>
      <c r="L8" s="579">
        <f ca="1"/>
        <v>1000</v>
      </c>
      <c r="M8" s="601">
        <f ca="1"/>
        <v>1200</v>
      </c>
      <c r="N8" s="580">
        <f t="shared" ref="N8:N15" ca="1" si="0">SUM(B8:M8)</f>
        <v>11050</v>
      </c>
      <c r="O8" s="61"/>
    </row>
    <row r="9" spans="1:15" ht="15.75" customHeight="1">
      <c r="A9" s="1973" t="str">
        <v/>
      </c>
      <c r="B9" s="581">
        <f ca="1"/>
        <v>0</v>
      </c>
      <c r="C9" s="582">
        <f ca="1"/>
        <v>0</v>
      </c>
      <c r="D9" s="582">
        <f ca="1"/>
        <v>0</v>
      </c>
      <c r="E9" s="582">
        <f ca="1"/>
        <v>0</v>
      </c>
      <c r="F9" s="582">
        <f ca="1"/>
        <v>0</v>
      </c>
      <c r="G9" s="582">
        <f ca="1"/>
        <v>0</v>
      </c>
      <c r="H9" s="582">
        <f ca="1"/>
        <v>0</v>
      </c>
      <c r="I9" s="582">
        <f ca="1"/>
        <v>0</v>
      </c>
      <c r="J9" s="582">
        <f ca="1"/>
        <v>0</v>
      </c>
      <c r="K9" s="582">
        <f ca="1"/>
        <v>0</v>
      </c>
      <c r="L9" s="582">
        <f ca="1"/>
        <v>0</v>
      </c>
      <c r="M9" s="602">
        <f ca="1"/>
        <v>0</v>
      </c>
      <c r="N9" s="583">
        <f t="shared" ca="1" si="0"/>
        <v>0</v>
      </c>
      <c r="O9" s="61"/>
    </row>
    <row r="10" spans="1:15" ht="15.75" customHeight="1">
      <c r="A10" s="1973" t="str">
        <v/>
      </c>
      <c r="B10" s="581">
        <f ca="1"/>
        <v>0</v>
      </c>
      <c r="C10" s="582">
        <f ca="1"/>
        <v>0</v>
      </c>
      <c r="D10" s="582">
        <f ca="1"/>
        <v>0</v>
      </c>
      <c r="E10" s="582">
        <f ca="1"/>
        <v>0</v>
      </c>
      <c r="F10" s="582">
        <f ca="1"/>
        <v>0</v>
      </c>
      <c r="G10" s="582">
        <f ca="1"/>
        <v>0</v>
      </c>
      <c r="H10" s="582">
        <f ca="1"/>
        <v>0</v>
      </c>
      <c r="I10" s="582">
        <f ca="1"/>
        <v>0</v>
      </c>
      <c r="J10" s="582">
        <f ca="1"/>
        <v>0</v>
      </c>
      <c r="K10" s="582">
        <f ca="1"/>
        <v>0</v>
      </c>
      <c r="L10" s="582">
        <f ca="1"/>
        <v>0</v>
      </c>
      <c r="M10" s="602">
        <f ca="1"/>
        <v>0</v>
      </c>
      <c r="N10" s="583">
        <f t="shared" ca="1" si="0"/>
        <v>0</v>
      </c>
      <c r="O10" s="61"/>
    </row>
    <row r="11" spans="1:15" ht="15.75" customHeight="1">
      <c r="A11" s="1973" t="str">
        <v/>
      </c>
      <c r="B11" s="581">
        <f ca="1"/>
        <v>0</v>
      </c>
      <c r="C11" s="582">
        <f ca="1"/>
        <v>0</v>
      </c>
      <c r="D11" s="582">
        <f ca="1"/>
        <v>0</v>
      </c>
      <c r="E11" s="582">
        <f ca="1"/>
        <v>0</v>
      </c>
      <c r="F11" s="582">
        <f ca="1"/>
        <v>0</v>
      </c>
      <c r="G11" s="582">
        <f ca="1"/>
        <v>0</v>
      </c>
      <c r="H11" s="582">
        <f ca="1"/>
        <v>0</v>
      </c>
      <c r="I11" s="582">
        <f ca="1"/>
        <v>0</v>
      </c>
      <c r="J11" s="582">
        <f ca="1"/>
        <v>0</v>
      </c>
      <c r="K11" s="582">
        <f ca="1"/>
        <v>0</v>
      </c>
      <c r="L11" s="582">
        <f ca="1"/>
        <v>0</v>
      </c>
      <c r="M11" s="602">
        <f ca="1"/>
        <v>0</v>
      </c>
      <c r="N11" s="583">
        <f t="shared" ca="1" si="0"/>
        <v>0</v>
      </c>
      <c r="O11" s="61"/>
    </row>
    <row r="12" spans="1:15" ht="15.75" customHeight="1">
      <c r="A12" s="1973" t="str">
        <v/>
      </c>
      <c r="B12" s="581">
        <f ca="1"/>
        <v>0</v>
      </c>
      <c r="C12" s="582">
        <f ca="1"/>
        <v>0</v>
      </c>
      <c r="D12" s="582">
        <f ca="1"/>
        <v>0</v>
      </c>
      <c r="E12" s="582">
        <f ca="1"/>
        <v>0</v>
      </c>
      <c r="F12" s="582">
        <f ca="1"/>
        <v>0</v>
      </c>
      <c r="G12" s="582">
        <f ca="1"/>
        <v>0</v>
      </c>
      <c r="H12" s="582">
        <f ca="1"/>
        <v>0</v>
      </c>
      <c r="I12" s="582">
        <f ca="1"/>
        <v>0</v>
      </c>
      <c r="J12" s="582">
        <f ca="1"/>
        <v>0</v>
      </c>
      <c r="K12" s="582">
        <f ca="1"/>
        <v>0</v>
      </c>
      <c r="L12" s="582">
        <f ca="1"/>
        <v>0</v>
      </c>
      <c r="M12" s="602">
        <f ca="1"/>
        <v>0</v>
      </c>
      <c r="N12" s="583">
        <f t="shared" ca="1" si="0"/>
        <v>0</v>
      </c>
      <c r="O12" s="61"/>
    </row>
    <row r="13" spans="1:15" ht="15.75" customHeight="1">
      <c r="A13" s="1973" t="str">
        <v/>
      </c>
      <c r="B13" s="581">
        <f ca="1"/>
        <v>0</v>
      </c>
      <c r="C13" s="582">
        <f ca="1"/>
        <v>0</v>
      </c>
      <c r="D13" s="582">
        <f ca="1"/>
        <v>0</v>
      </c>
      <c r="E13" s="582">
        <f ca="1"/>
        <v>0</v>
      </c>
      <c r="F13" s="582">
        <f ca="1"/>
        <v>0</v>
      </c>
      <c r="G13" s="582">
        <f ca="1"/>
        <v>0</v>
      </c>
      <c r="H13" s="582">
        <f ca="1"/>
        <v>0</v>
      </c>
      <c r="I13" s="582">
        <f ca="1"/>
        <v>0</v>
      </c>
      <c r="J13" s="582">
        <f ca="1"/>
        <v>0</v>
      </c>
      <c r="K13" s="582">
        <f ca="1"/>
        <v>0</v>
      </c>
      <c r="L13" s="582">
        <f ca="1"/>
        <v>0</v>
      </c>
      <c r="M13" s="602">
        <f ca="1"/>
        <v>0</v>
      </c>
      <c r="N13" s="583">
        <f t="shared" ca="1" si="0"/>
        <v>0</v>
      </c>
      <c r="O13" s="61"/>
    </row>
    <row r="14" spans="1:15" ht="15.75" customHeight="1">
      <c r="A14" s="1973" t="str">
        <v/>
      </c>
      <c r="B14" s="581">
        <f ca="1"/>
        <v>0</v>
      </c>
      <c r="C14" s="582">
        <f ca="1"/>
        <v>0</v>
      </c>
      <c r="D14" s="582">
        <f ca="1"/>
        <v>0</v>
      </c>
      <c r="E14" s="582">
        <f ca="1"/>
        <v>0</v>
      </c>
      <c r="F14" s="582">
        <f ca="1"/>
        <v>0</v>
      </c>
      <c r="G14" s="582">
        <f ca="1"/>
        <v>0</v>
      </c>
      <c r="H14" s="582">
        <f ca="1"/>
        <v>0</v>
      </c>
      <c r="I14" s="582">
        <f ca="1"/>
        <v>0</v>
      </c>
      <c r="J14" s="582">
        <f ca="1"/>
        <v>0</v>
      </c>
      <c r="K14" s="582">
        <f ca="1"/>
        <v>0</v>
      </c>
      <c r="L14" s="582">
        <f ca="1"/>
        <v>0</v>
      </c>
      <c r="M14" s="602">
        <f ca="1"/>
        <v>0</v>
      </c>
      <c r="N14" s="583">
        <f t="shared" ca="1" si="0"/>
        <v>0</v>
      </c>
      <c r="O14" s="61"/>
    </row>
    <row r="15" spans="1:15" ht="15.75" customHeight="1" thickBot="1">
      <c r="A15" s="1974" t="str">
        <v/>
      </c>
      <c r="B15" s="584">
        <f ca="1"/>
        <v>0</v>
      </c>
      <c r="C15" s="585">
        <f ca="1"/>
        <v>0</v>
      </c>
      <c r="D15" s="585">
        <f ca="1"/>
        <v>0</v>
      </c>
      <c r="E15" s="585">
        <f ca="1"/>
        <v>0</v>
      </c>
      <c r="F15" s="585">
        <f ca="1"/>
        <v>0</v>
      </c>
      <c r="G15" s="585">
        <f ca="1"/>
        <v>0</v>
      </c>
      <c r="H15" s="585">
        <f ca="1"/>
        <v>0</v>
      </c>
      <c r="I15" s="585">
        <f ca="1"/>
        <v>0</v>
      </c>
      <c r="J15" s="585">
        <f ca="1"/>
        <v>0</v>
      </c>
      <c r="K15" s="585">
        <f ca="1"/>
        <v>0</v>
      </c>
      <c r="L15" s="585">
        <f ca="1"/>
        <v>0</v>
      </c>
      <c r="M15" s="603">
        <f ca="1"/>
        <v>0</v>
      </c>
      <c r="N15" s="586">
        <f t="shared" ca="1" si="0"/>
        <v>0</v>
      </c>
      <c r="O15" s="61"/>
    </row>
    <row r="16" spans="1:15" ht="15">
      <c r="A16" s="72"/>
    </row>
    <row r="17" spans="1:15" ht="15">
      <c r="A17" s="213"/>
    </row>
    <row r="18" spans="1:15" ht="18.75" thickBot="1">
      <c r="A18" s="1969" t="str">
        <f>'Distr CV 0'!A18</f>
        <v>Previsión de costes de producción de las unidades vendidas</v>
      </c>
      <c r="G18" s="2710" t="str">
        <f>$K$1</f>
        <v>Año 1:  2027</v>
      </c>
      <c r="I18" s="1969" t="str">
        <f>'Distr CV 0'!I18</f>
        <v>IVA NO incluido</v>
      </c>
    </row>
    <row r="19" spans="1:15" s="445" customFormat="1" ht="15.75" customHeight="1" thickBot="1">
      <c r="A19" s="446" t="str">
        <f>'Distr CV 0'!A19</f>
        <v>Costes producción</v>
      </c>
      <c r="B19" s="444" t="str">
        <f t="array" ref="B19:M19">meses</f>
        <v>enero</v>
      </c>
      <c r="C19" s="440" t="str">
        <v>febrero</v>
      </c>
      <c r="D19" s="440" t="str">
        <v>marzo</v>
      </c>
      <c r="E19" s="440" t="str">
        <v>abril</v>
      </c>
      <c r="F19" s="440" t="str">
        <v>mayo</v>
      </c>
      <c r="G19" s="440" t="str">
        <v>junio</v>
      </c>
      <c r="H19" s="440" t="str">
        <v>julio</v>
      </c>
      <c r="I19" s="440" t="str">
        <v>agosto</v>
      </c>
      <c r="J19" s="440" t="str">
        <v>septiembre</v>
      </c>
      <c r="K19" s="440" t="str">
        <v>octubre</v>
      </c>
      <c r="L19" s="440" t="str">
        <v>noviembre</v>
      </c>
      <c r="M19" s="441" t="str">
        <v>diciembre</v>
      </c>
      <c r="N19" s="438" t="str">
        <f>N$7</f>
        <v>Totales</v>
      </c>
    </row>
    <row r="20" spans="1:15" ht="15.75" customHeight="1">
      <c r="A20" s="1972" t="str">
        <f t="array" ref="A20:A27">productos</f>
        <v>producto o servicio</v>
      </c>
      <c r="B20" s="587">
        <f t="array" aca="1" ref="B20:M27" ca="1">B8:M15*'Precios-CV'!$D19:$D26</f>
        <v>280</v>
      </c>
      <c r="C20" s="588">
        <f ca="1"/>
        <v>350.00000000000006</v>
      </c>
      <c r="D20" s="588">
        <f ca="1"/>
        <v>385.00000000000006</v>
      </c>
      <c r="E20" s="588">
        <f ca="1"/>
        <v>367.50000000000006</v>
      </c>
      <c r="F20" s="588">
        <f ca="1"/>
        <v>315.00000000000006</v>
      </c>
      <c r="G20" s="588">
        <f ca="1"/>
        <v>297.5</v>
      </c>
      <c r="H20" s="588">
        <f ca="1"/>
        <v>280</v>
      </c>
      <c r="I20" s="588">
        <f ca="1"/>
        <v>210.00000000000003</v>
      </c>
      <c r="J20" s="588">
        <f ca="1"/>
        <v>280</v>
      </c>
      <c r="K20" s="588">
        <f ca="1"/>
        <v>332.50000000000006</v>
      </c>
      <c r="L20" s="588">
        <f ca="1"/>
        <v>350.00000000000006</v>
      </c>
      <c r="M20" s="598">
        <f ca="1"/>
        <v>420.00000000000006</v>
      </c>
      <c r="N20" s="580">
        <f t="shared" ref="N20:N39" ca="1" si="1">SUM(B20:M20)</f>
        <v>3867.5</v>
      </c>
      <c r="O20" s="61"/>
    </row>
    <row r="21" spans="1:15" ht="15.75" customHeight="1">
      <c r="A21" s="1973" t="str">
        <v/>
      </c>
      <c r="B21" s="589">
        <f ca="1"/>
        <v>0</v>
      </c>
      <c r="C21" s="590">
        <f ca="1"/>
        <v>0</v>
      </c>
      <c r="D21" s="590">
        <f ca="1"/>
        <v>0</v>
      </c>
      <c r="E21" s="590">
        <f ca="1"/>
        <v>0</v>
      </c>
      <c r="F21" s="590">
        <f ca="1"/>
        <v>0</v>
      </c>
      <c r="G21" s="590">
        <f ca="1"/>
        <v>0</v>
      </c>
      <c r="H21" s="590">
        <f ca="1"/>
        <v>0</v>
      </c>
      <c r="I21" s="590">
        <f ca="1"/>
        <v>0</v>
      </c>
      <c r="J21" s="590">
        <f ca="1"/>
        <v>0</v>
      </c>
      <c r="K21" s="590">
        <f ca="1"/>
        <v>0</v>
      </c>
      <c r="L21" s="590">
        <f ca="1"/>
        <v>0</v>
      </c>
      <c r="M21" s="599">
        <f ca="1"/>
        <v>0</v>
      </c>
      <c r="N21" s="583">
        <f t="shared" ca="1" si="1"/>
        <v>0</v>
      </c>
      <c r="O21" s="61"/>
    </row>
    <row r="22" spans="1:15" ht="15.75" customHeight="1">
      <c r="A22" s="1973" t="str">
        <v/>
      </c>
      <c r="B22" s="589">
        <f ca="1"/>
        <v>0</v>
      </c>
      <c r="C22" s="590">
        <f ca="1"/>
        <v>0</v>
      </c>
      <c r="D22" s="590">
        <f ca="1"/>
        <v>0</v>
      </c>
      <c r="E22" s="590">
        <f ca="1"/>
        <v>0</v>
      </c>
      <c r="F22" s="590">
        <f ca="1"/>
        <v>0</v>
      </c>
      <c r="G22" s="590">
        <f ca="1"/>
        <v>0</v>
      </c>
      <c r="H22" s="590">
        <f ca="1"/>
        <v>0</v>
      </c>
      <c r="I22" s="590">
        <f ca="1"/>
        <v>0</v>
      </c>
      <c r="J22" s="590">
        <f ca="1"/>
        <v>0</v>
      </c>
      <c r="K22" s="590">
        <f ca="1"/>
        <v>0</v>
      </c>
      <c r="L22" s="590">
        <f ca="1"/>
        <v>0</v>
      </c>
      <c r="M22" s="599">
        <f ca="1"/>
        <v>0</v>
      </c>
      <c r="N22" s="583">
        <f t="shared" ca="1" si="1"/>
        <v>0</v>
      </c>
      <c r="O22" s="61"/>
    </row>
    <row r="23" spans="1:15" ht="15.75" customHeight="1">
      <c r="A23" s="1973" t="str">
        <v/>
      </c>
      <c r="B23" s="589">
        <f ca="1"/>
        <v>0</v>
      </c>
      <c r="C23" s="590">
        <f ca="1"/>
        <v>0</v>
      </c>
      <c r="D23" s="590">
        <f ca="1"/>
        <v>0</v>
      </c>
      <c r="E23" s="590">
        <f ca="1"/>
        <v>0</v>
      </c>
      <c r="F23" s="590">
        <f ca="1"/>
        <v>0</v>
      </c>
      <c r="G23" s="590">
        <f ca="1"/>
        <v>0</v>
      </c>
      <c r="H23" s="590">
        <f ca="1"/>
        <v>0</v>
      </c>
      <c r="I23" s="590">
        <f ca="1"/>
        <v>0</v>
      </c>
      <c r="J23" s="590">
        <f ca="1"/>
        <v>0</v>
      </c>
      <c r="K23" s="590">
        <f ca="1"/>
        <v>0</v>
      </c>
      <c r="L23" s="590">
        <f ca="1"/>
        <v>0</v>
      </c>
      <c r="M23" s="599">
        <f ca="1"/>
        <v>0</v>
      </c>
      <c r="N23" s="583">
        <f t="shared" ca="1" si="1"/>
        <v>0</v>
      </c>
      <c r="O23" s="61"/>
    </row>
    <row r="24" spans="1:15" ht="15.75" customHeight="1">
      <c r="A24" s="1973" t="str">
        <v/>
      </c>
      <c r="B24" s="589">
        <f ca="1"/>
        <v>0</v>
      </c>
      <c r="C24" s="590">
        <f ca="1"/>
        <v>0</v>
      </c>
      <c r="D24" s="590">
        <f ca="1"/>
        <v>0</v>
      </c>
      <c r="E24" s="590">
        <f ca="1"/>
        <v>0</v>
      </c>
      <c r="F24" s="590">
        <f ca="1"/>
        <v>0</v>
      </c>
      <c r="G24" s="590">
        <f ca="1"/>
        <v>0</v>
      </c>
      <c r="H24" s="590">
        <f ca="1"/>
        <v>0</v>
      </c>
      <c r="I24" s="590">
        <f ca="1"/>
        <v>0</v>
      </c>
      <c r="J24" s="590">
        <f ca="1"/>
        <v>0</v>
      </c>
      <c r="K24" s="590">
        <f ca="1"/>
        <v>0</v>
      </c>
      <c r="L24" s="590">
        <f ca="1"/>
        <v>0</v>
      </c>
      <c r="M24" s="599">
        <f ca="1"/>
        <v>0</v>
      </c>
      <c r="N24" s="583">
        <f t="shared" ca="1" si="1"/>
        <v>0</v>
      </c>
      <c r="O24" s="61"/>
    </row>
    <row r="25" spans="1:15" ht="15.75" customHeight="1">
      <c r="A25" s="1973" t="str">
        <v/>
      </c>
      <c r="B25" s="589">
        <f ca="1"/>
        <v>0</v>
      </c>
      <c r="C25" s="590">
        <f ca="1"/>
        <v>0</v>
      </c>
      <c r="D25" s="590">
        <f ca="1"/>
        <v>0</v>
      </c>
      <c r="E25" s="590">
        <f ca="1"/>
        <v>0</v>
      </c>
      <c r="F25" s="590">
        <f ca="1"/>
        <v>0</v>
      </c>
      <c r="G25" s="590">
        <f ca="1"/>
        <v>0</v>
      </c>
      <c r="H25" s="590">
        <f ca="1"/>
        <v>0</v>
      </c>
      <c r="I25" s="590">
        <f ca="1"/>
        <v>0</v>
      </c>
      <c r="J25" s="590">
        <f ca="1"/>
        <v>0</v>
      </c>
      <c r="K25" s="590">
        <f ca="1"/>
        <v>0</v>
      </c>
      <c r="L25" s="590">
        <f ca="1"/>
        <v>0</v>
      </c>
      <c r="M25" s="599">
        <f ca="1"/>
        <v>0</v>
      </c>
      <c r="N25" s="583">
        <f t="shared" ca="1" si="1"/>
        <v>0</v>
      </c>
      <c r="O25" s="61"/>
    </row>
    <row r="26" spans="1:15" ht="15.75" customHeight="1">
      <c r="A26" s="1973" t="str">
        <v/>
      </c>
      <c r="B26" s="589">
        <f ca="1"/>
        <v>0</v>
      </c>
      <c r="C26" s="590">
        <f ca="1"/>
        <v>0</v>
      </c>
      <c r="D26" s="590">
        <f ca="1"/>
        <v>0</v>
      </c>
      <c r="E26" s="590">
        <f ca="1"/>
        <v>0</v>
      </c>
      <c r="F26" s="590">
        <f ca="1"/>
        <v>0</v>
      </c>
      <c r="G26" s="590">
        <f ca="1"/>
        <v>0</v>
      </c>
      <c r="H26" s="590">
        <f ca="1"/>
        <v>0</v>
      </c>
      <c r="I26" s="590">
        <f ca="1"/>
        <v>0</v>
      </c>
      <c r="J26" s="590">
        <f ca="1"/>
        <v>0</v>
      </c>
      <c r="K26" s="590">
        <f ca="1"/>
        <v>0</v>
      </c>
      <c r="L26" s="590">
        <f ca="1"/>
        <v>0</v>
      </c>
      <c r="M26" s="599">
        <f ca="1"/>
        <v>0</v>
      </c>
      <c r="N26" s="583">
        <f t="shared" ca="1" si="1"/>
        <v>0</v>
      </c>
      <c r="O26" s="61"/>
    </row>
    <row r="27" spans="1:15" ht="15.75" customHeight="1" thickBot="1">
      <c r="A27" s="1974" t="str">
        <v/>
      </c>
      <c r="B27" s="591">
        <f ca="1"/>
        <v>0</v>
      </c>
      <c r="C27" s="592">
        <f ca="1"/>
        <v>0</v>
      </c>
      <c r="D27" s="592">
        <f ca="1"/>
        <v>0</v>
      </c>
      <c r="E27" s="592">
        <f ca="1"/>
        <v>0</v>
      </c>
      <c r="F27" s="592">
        <f ca="1"/>
        <v>0</v>
      </c>
      <c r="G27" s="592">
        <f ca="1"/>
        <v>0</v>
      </c>
      <c r="H27" s="592">
        <f ca="1"/>
        <v>0</v>
      </c>
      <c r="I27" s="592">
        <f ca="1"/>
        <v>0</v>
      </c>
      <c r="J27" s="592">
        <f ca="1"/>
        <v>0</v>
      </c>
      <c r="K27" s="592">
        <f ca="1"/>
        <v>0</v>
      </c>
      <c r="L27" s="592">
        <f ca="1"/>
        <v>0</v>
      </c>
      <c r="M27" s="600">
        <f ca="1"/>
        <v>0</v>
      </c>
      <c r="N27" s="593">
        <f t="shared" ca="1" si="1"/>
        <v>0</v>
      </c>
      <c r="O27" s="61"/>
    </row>
    <row r="28" spans="1:15" ht="15.75" customHeight="1" thickBot="1">
      <c r="A28" s="103" t="s">
        <v>15</v>
      </c>
      <c r="B28" s="595">
        <f t="shared" ref="B28:M28" ca="1" si="2">SUM(B20:B27)</f>
        <v>280</v>
      </c>
      <c r="C28" s="596">
        <f t="shared" ca="1" si="2"/>
        <v>350.00000000000006</v>
      </c>
      <c r="D28" s="596">
        <f t="shared" ca="1" si="2"/>
        <v>385.00000000000006</v>
      </c>
      <c r="E28" s="596">
        <f t="shared" ca="1" si="2"/>
        <v>367.50000000000006</v>
      </c>
      <c r="F28" s="596">
        <f t="shared" ca="1" si="2"/>
        <v>315.00000000000006</v>
      </c>
      <c r="G28" s="596">
        <f t="shared" ca="1" si="2"/>
        <v>297.5</v>
      </c>
      <c r="H28" s="596">
        <f t="shared" ca="1" si="2"/>
        <v>280</v>
      </c>
      <c r="I28" s="596">
        <f t="shared" ca="1" si="2"/>
        <v>210.00000000000003</v>
      </c>
      <c r="J28" s="596">
        <f t="shared" ca="1" si="2"/>
        <v>280</v>
      </c>
      <c r="K28" s="596">
        <f t="shared" ca="1" si="2"/>
        <v>332.50000000000006</v>
      </c>
      <c r="L28" s="596">
        <f t="shared" ca="1" si="2"/>
        <v>350.00000000000006</v>
      </c>
      <c r="M28" s="597">
        <f t="shared" ca="1" si="2"/>
        <v>420.00000000000006</v>
      </c>
      <c r="N28" s="594">
        <f t="shared" ca="1" si="1"/>
        <v>3867.5</v>
      </c>
      <c r="O28" s="61"/>
    </row>
    <row r="29" spans="1:15" ht="15">
      <c r="A29" s="213"/>
    </row>
    <row r="30" spans="1:15" ht="15.75" thickBot="1">
      <c r="A30" s="213"/>
    </row>
    <row r="31" spans="1:15" ht="19.5" customHeight="1" thickBot="1">
      <c r="A31" s="446" t="str">
        <f>'Distr CV 0'!A31</f>
        <v>IVA sop. Costes producc.</v>
      </c>
      <c r="B31" s="444" t="str">
        <f t="array" ref="B31:M31">meses</f>
        <v>enero</v>
      </c>
      <c r="C31" s="440" t="str">
        <v>febrero</v>
      </c>
      <c r="D31" s="440" t="str">
        <v>marzo</v>
      </c>
      <c r="E31" s="440" t="str">
        <v>abril</v>
      </c>
      <c r="F31" s="440" t="str">
        <v>mayo</v>
      </c>
      <c r="G31" s="440" t="str">
        <v>junio</v>
      </c>
      <c r="H31" s="440" t="str">
        <v>julio</v>
      </c>
      <c r="I31" s="440" t="str">
        <v>agosto</v>
      </c>
      <c r="J31" s="440" t="str">
        <v>septiembre</v>
      </c>
      <c r="K31" s="440" t="str">
        <v>octubre</v>
      </c>
      <c r="L31" s="440" t="str">
        <v>noviembre</v>
      </c>
      <c r="M31" s="441" t="str">
        <v>diciembre</v>
      </c>
      <c r="N31" s="438" t="str">
        <f>N$7</f>
        <v>Totales</v>
      </c>
    </row>
    <row r="32" spans="1:15" ht="15.75" customHeight="1">
      <c r="A32" s="1972" t="str">
        <f t="array" ref="A32:A39">productos</f>
        <v>producto o servicio</v>
      </c>
      <c r="B32" s="587">
        <f t="array" aca="1" ref="B32:M39" ca="1">B20:M27*Parametros!$F24:$F31</f>
        <v>58.8</v>
      </c>
      <c r="C32" s="588">
        <f ca="1"/>
        <v>73.500000000000014</v>
      </c>
      <c r="D32" s="588">
        <f ca="1"/>
        <v>80.850000000000009</v>
      </c>
      <c r="E32" s="588">
        <f ca="1"/>
        <v>77.175000000000011</v>
      </c>
      <c r="F32" s="588">
        <f ca="1"/>
        <v>66.150000000000006</v>
      </c>
      <c r="G32" s="588">
        <f ca="1"/>
        <v>62.474999999999994</v>
      </c>
      <c r="H32" s="588">
        <f ca="1"/>
        <v>58.8</v>
      </c>
      <c r="I32" s="588">
        <f ca="1"/>
        <v>44.1</v>
      </c>
      <c r="J32" s="588">
        <f ca="1"/>
        <v>58.8</v>
      </c>
      <c r="K32" s="588">
        <f ca="1"/>
        <v>69.825000000000003</v>
      </c>
      <c r="L32" s="588">
        <f ca="1"/>
        <v>73.500000000000014</v>
      </c>
      <c r="M32" s="598">
        <f ca="1"/>
        <v>88.2</v>
      </c>
      <c r="N32" s="580">
        <f t="shared" ca="1" si="1"/>
        <v>812.17500000000007</v>
      </c>
      <c r="O32" s="61"/>
    </row>
    <row r="33" spans="1:15" ht="15.75" customHeight="1">
      <c r="A33" s="1973" t="str">
        <v/>
      </c>
      <c r="B33" s="589">
        <f ca="1"/>
        <v>0</v>
      </c>
      <c r="C33" s="590">
        <f ca="1"/>
        <v>0</v>
      </c>
      <c r="D33" s="590">
        <f ca="1"/>
        <v>0</v>
      </c>
      <c r="E33" s="590">
        <f ca="1"/>
        <v>0</v>
      </c>
      <c r="F33" s="590">
        <f ca="1"/>
        <v>0</v>
      </c>
      <c r="G33" s="590">
        <f ca="1"/>
        <v>0</v>
      </c>
      <c r="H33" s="590">
        <f ca="1"/>
        <v>0</v>
      </c>
      <c r="I33" s="590">
        <f ca="1"/>
        <v>0</v>
      </c>
      <c r="J33" s="590">
        <f ca="1"/>
        <v>0</v>
      </c>
      <c r="K33" s="590">
        <f ca="1"/>
        <v>0</v>
      </c>
      <c r="L33" s="590">
        <f ca="1"/>
        <v>0</v>
      </c>
      <c r="M33" s="599">
        <f ca="1"/>
        <v>0</v>
      </c>
      <c r="N33" s="583">
        <f t="shared" ca="1" si="1"/>
        <v>0</v>
      </c>
      <c r="O33" s="61"/>
    </row>
    <row r="34" spans="1:15" ht="15.75" customHeight="1">
      <c r="A34" s="1973" t="str">
        <v/>
      </c>
      <c r="B34" s="589">
        <f ca="1"/>
        <v>0</v>
      </c>
      <c r="C34" s="590">
        <f ca="1"/>
        <v>0</v>
      </c>
      <c r="D34" s="590">
        <f ca="1"/>
        <v>0</v>
      </c>
      <c r="E34" s="590">
        <f ca="1"/>
        <v>0</v>
      </c>
      <c r="F34" s="590">
        <f ca="1"/>
        <v>0</v>
      </c>
      <c r="G34" s="590">
        <f ca="1"/>
        <v>0</v>
      </c>
      <c r="H34" s="590">
        <f ca="1"/>
        <v>0</v>
      </c>
      <c r="I34" s="590">
        <f ca="1"/>
        <v>0</v>
      </c>
      <c r="J34" s="590">
        <f ca="1"/>
        <v>0</v>
      </c>
      <c r="K34" s="590">
        <f ca="1"/>
        <v>0</v>
      </c>
      <c r="L34" s="590">
        <f ca="1"/>
        <v>0</v>
      </c>
      <c r="M34" s="599">
        <f ca="1"/>
        <v>0</v>
      </c>
      <c r="N34" s="583">
        <f t="shared" ca="1" si="1"/>
        <v>0</v>
      </c>
      <c r="O34" s="61"/>
    </row>
    <row r="35" spans="1:15" ht="15.75" customHeight="1">
      <c r="A35" s="1973" t="str">
        <v/>
      </c>
      <c r="B35" s="589">
        <f ca="1"/>
        <v>0</v>
      </c>
      <c r="C35" s="590">
        <f ca="1"/>
        <v>0</v>
      </c>
      <c r="D35" s="590">
        <f ca="1"/>
        <v>0</v>
      </c>
      <c r="E35" s="590">
        <f ca="1"/>
        <v>0</v>
      </c>
      <c r="F35" s="590">
        <f ca="1"/>
        <v>0</v>
      </c>
      <c r="G35" s="590">
        <f ca="1"/>
        <v>0</v>
      </c>
      <c r="H35" s="590">
        <f ca="1"/>
        <v>0</v>
      </c>
      <c r="I35" s="590">
        <f ca="1"/>
        <v>0</v>
      </c>
      <c r="J35" s="590">
        <f ca="1"/>
        <v>0</v>
      </c>
      <c r="K35" s="590">
        <f ca="1"/>
        <v>0</v>
      </c>
      <c r="L35" s="590">
        <f ca="1"/>
        <v>0</v>
      </c>
      <c r="M35" s="599">
        <f ca="1"/>
        <v>0</v>
      </c>
      <c r="N35" s="583">
        <f t="shared" ca="1" si="1"/>
        <v>0</v>
      </c>
      <c r="O35" s="61"/>
    </row>
    <row r="36" spans="1:15" ht="15.75" customHeight="1">
      <c r="A36" s="1973" t="str">
        <v/>
      </c>
      <c r="B36" s="589">
        <f ca="1"/>
        <v>0</v>
      </c>
      <c r="C36" s="590">
        <f ca="1"/>
        <v>0</v>
      </c>
      <c r="D36" s="590">
        <f ca="1"/>
        <v>0</v>
      </c>
      <c r="E36" s="590">
        <f ca="1"/>
        <v>0</v>
      </c>
      <c r="F36" s="590">
        <f ca="1"/>
        <v>0</v>
      </c>
      <c r="G36" s="590">
        <f ca="1"/>
        <v>0</v>
      </c>
      <c r="H36" s="590">
        <f ca="1"/>
        <v>0</v>
      </c>
      <c r="I36" s="590">
        <f ca="1"/>
        <v>0</v>
      </c>
      <c r="J36" s="590">
        <f ca="1"/>
        <v>0</v>
      </c>
      <c r="K36" s="590">
        <f ca="1"/>
        <v>0</v>
      </c>
      <c r="L36" s="590">
        <f ca="1"/>
        <v>0</v>
      </c>
      <c r="M36" s="599">
        <f ca="1"/>
        <v>0</v>
      </c>
      <c r="N36" s="583">
        <f t="shared" ca="1" si="1"/>
        <v>0</v>
      </c>
      <c r="O36" s="61"/>
    </row>
    <row r="37" spans="1:15" ht="15.75" customHeight="1">
      <c r="A37" s="1973" t="str">
        <v/>
      </c>
      <c r="B37" s="589">
        <f ca="1"/>
        <v>0</v>
      </c>
      <c r="C37" s="590">
        <f ca="1"/>
        <v>0</v>
      </c>
      <c r="D37" s="590">
        <f ca="1"/>
        <v>0</v>
      </c>
      <c r="E37" s="590">
        <f ca="1"/>
        <v>0</v>
      </c>
      <c r="F37" s="590">
        <f ca="1"/>
        <v>0</v>
      </c>
      <c r="G37" s="590">
        <f ca="1"/>
        <v>0</v>
      </c>
      <c r="H37" s="590">
        <f ca="1"/>
        <v>0</v>
      </c>
      <c r="I37" s="590">
        <f ca="1"/>
        <v>0</v>
      </c>
      <c r="J37" s="590">
        <f ca="1"/>
        <v>0</v>
      </c>
      <c r="K37" s="590">
        <f ca="1"/>
        <v>0</v>
      </c>
      <c r="L37" s="590">
        <f ca="1"/>
        <v>0</v>
      </c>
      <c r="M37" s="599">
        <f ca="1"/>
        <v>0</v>
      </c>
      <c r="N37" s="583">
        <f t="shared" ca="1" si="1"/>
        <v>0</v>
      </c>
      <c r="O37" s="61"/>
    </row>
    <row r="38" spans="1:15" ht="15.75" customHeight="1">
      <c r="A38" s="1973" t="str">
        <v/>
      </c>
      <c r="B38" s="589">
        <f ca="1"/>
        <v>0</v>
      </c>
      <c r="C38" s="590">
        <f ca="1"/>
        <v>0</v>
      </c>
      <c r="D38" s="590">
        <f ca="1"/>
        <v>0</v>
      </c>
      <c r="E38" s="590">
        <f ca="1"/>
        <v>0</v>
      </c>
      <c r="F38" s="590">
        <f ca="1"/>
        <v>0</v>
      </c>
      <c r="G38" s="590">
        <f ca="1"/>
        <v>0</v>
      </c>
      <c r="H38" s="590">
        <f ca="1"/>
        <v>0</v>
      </c>
      <c r="I38" s="590">
        <f ca="1"/>
        <v>0</v>
      </c>
      <c r="J38" s="590">
        <f ca="1"/>
        <v>0</v>
      </c>
      <c r="K38" s="590">
        <f ca="1"/>
        <v>0</v>
      </c>
      <c r="L38" s="590">
        <f ca="1"/>
        <v>0</v>
      </c>
      <c r="M38" s="599">
        <f ca="1"/>
        <v>0</v>
      </c>
      <c r="N38" s="583">
        <f t="shared" ca="1" si="1"/>
        <v>0</v>
      </c>
      <c r="O38" s="61"/>
    </row>
    <row r="39" spans="1:15" ht="15.75" customHeight="1" thickBot="1">
      <c r="A39" s="1974" t="str">
        <v/>
      </c>
      <c r="B39" s="591">
        <f ca="1"/>
        <v>0</v>
      </c>
      <c r="C39" s="592">
        <f ca="1"/>
        <v>0</v>
      </c>
      <c r="D39" s="592">
        <f ca="1"/>
        <v>0</v>
      </c>
      <c r="E39" s="592">
        <f ca="1"/>
        <v>0</v>
      </c>
      <c r="F39" s="592">
        <f ca="1"/>
        <v>0</v>
      </c>
      <c r="G39" s="592">
        <f ca="1"/>
        <v>0</v>
      </c>
      <c r="H39" s="592">
        <f ca="1"/>
        <v>0</v>
      </c>
      <c r="I39" s="592">
        <f ca="1"/>
        <v>0</v>
      </c>
      <c r="J39" s="592">
        <f ca="1"/>
        <v>0</v>
      </c>
      <c r="K39" s="592">
        <f ca="1"/>
        <v>0</v>
      </c>
      <c r="L39" s="592">
        <f ca="1"/>
        <v>0</v>
      </c>
      <c r="M39" s="600">
        <f ca="1"/>
        <v>0</v>
      </c>
      <c r="N39" s="593">
        <f t="shared" ca="1" si="1"/>
        <v>0</v>
      </c>
      <c r="O39" s="61"/>
    </row>
    <row r="40" spans="1:15" ht="15.75" customHeight="1" thickBot="1">
      <c r="A40" s="103" t="str">
        <f>A$28</f>
        <v>Totales</v>
      </c>
      <c r="B40" s="595">
        <f t="shared" ref="B40:M40" ca="1" si="3">SUM(B32:B39)</f>
        <v>58.8</v>
      </c>
      <c r="C40" s="596">
        <f t="shared" ca="1" si="3"/>
        <v>73.500000000000014</v>
      </c>
      <c r="D40" s="596">
        <f t="shared" ca="1" si="3"/>
        <v>80.850000000000009</v>
      </c>
      <c r="E40" s="596">
        <f t="shared" ca="1" si="3"/>
        <v>77.175000000000011</v>
      </c>
      <c r="F40" s="596">
        <f t="shared" ca="1" si="3"/>
        <v>66.150000000000006</v>
      </c>
      <c r="G40" s="596">
        <f t="shared" ca="1" si="3"/>
        <v>62.474999999999994</v>
      </c>
      <c r="H40" s="596">
        <f t="shared" ca="1" si="3"/>
        <v>58.8</v>
      </c>
      <c r="I40" s="596">
        <f t="shared" ca="1" si="3"/>
        <v>44.1</v>
      </c>
      <c r="J40" s="596">
        <f t="shared" ca="1" si="3"/>
        <v>58.8</v>
      </c>
      <c r="K40" s="596">
        <f t="shared" ca="1" si="3"/>
        <v>69.825000000000003</v>
      </c>
      <c r="L40" s="596">
        <f t="shared" ca="1" si="3"/>
        <v>73.500000000000014</v>
      </c>
      <c r="M40" s="597">
        <f t="shared" ca="1" si="3"/>
        <v>88.2</v>
      </c>
      <c r="N40" s="594">
        <f ca="1">SUM(B40:M40)</f>
        <v>812.17500000000007</v>
      </c>
      <c r="O40" s="61"/>
    </row>
    <row r="41" spans="1:15" ht="15">
      <c r="A41" s="213"/>
      <c r="B41" s="2796" t="str">
        <f>'Distr CV 0'!B41</f>
        <v>No tiene sentido calcular el IVA del CV en el mes en el que se imputa (cuando se vende) sino en el mes en el que se produce la compra</v>
      </c>
    </row>
    <row r="42" spans="1:15" ht="15">
      <c r="A42" s="213"/>
    </row>
    <row r="43" spans="1:15" ht="15">
      <c r="A43" s="213"/>
    </row>
    <row r="44" spans="1:15" ht="18.75" thickBot="1">
      <c r="A44" s="1969" t="str">
        <f>'Distr CV 0'!A44</f>
        <v>Costes de producción en el año</v>
      </c>
      <c r="G44" s="2710" t="str">
        <f>$K$1</f>
        <v>Año 1:  2027</v>
      </c>
      <c r="I44" s="1969" t="str">
        <f>I$18</f>
        <v>IVA NO incluido</v>
      </c>
    </row>
    <row r="45" spans="1:15" s="445" customFormat="1" ht="15.75" customHeight="1" thickBot="1">
      <c r="A45" s="446" t="str">
        <f>A$19</f>
        <v>Costes producción</v>
      </c>
      <c r="B45" s="444" t="str">
        <f t="array" ref="B45:M45">meses</f>
        <v>enero</v>
      </c>
      <c r="C45" s="440" t="str">
        <v>febrero</v>
      </c>
      <c r="D45" s="440" t="str">
        <v>marzo</v>
      </c>
      <c r="E45" s="440" t="str">
        <v>abril</v>
      </c>
      <c r="F45" s="440" t="str">
        <v>mayo</v>
      </c>
      <c r="G45" s="440" t="str">
        <v>junio</v>
      </c>
      <c r="H45" s="440" t="str">
        <v>julio</v>
      </c>
      <c r="I45" s="440" t="str">
        <v>agosto</v>
      </c>
      <c r="J45" s="440" t="str">
        <v>septiembre</v>
      </c>
      <c r="K45" s="440" t="str">
        <v>octubre</v>
      </c>
      <c r="L45" s="440" t="str">
        <v>noviembre</v>
      </c>
      <c r="M45" s="441" t="str">
        <v>diciembre</v>
      </c>
      <c r="N45" s="438" t="str">
        <f>N$7</f>
        <v>Totales</v>
      </c>
    </row>
    <row r="46" spans="1:15" ht="15.75" customHeight="1">
      <c r="A46" s="1972" t="str">
        <f t="array" ref="A46:A53">productos</f>
        <v>producto o servicio</v>
      </c>
      <c r="B46" s="587">
        <f t="array" aca="1" ref="B46:M46" ca="1">N124:Y124</f>
        <v>280</v>
      </c>
      <c r="C46" s="588">
        <f ca="1"/>
        <v>350.00000000000006</v>
      </c>
      <c r="D46" s="588">
        <f ca="1"/>
        <v>385.00000000000006</v>
      </c>
      <c r="E46" s="588">
        <f ca="1"/>
        <v>367.50000000000006</v>
      </c>
      <c r="F46" s="588">
        <f ca="1"/>
        <v>315.00000000000006</v>
      </c>
      <c r="G46" s="588">
        <f ca="1"/>
        <v>297.5</v>
      </c>
      <c r="H46" s="588">
        <f ca="1"/>
        <v>280</v>
      </c>
      <c r="I46" s="588">
        <f ca="1"/>
        <v>210.00000000000003</v>
      </c>
      <c r="J46" s="588">
        <f ca="1"/>
        <v>280</v>
      </c>
      <c r="K46" s="588">
        <f ca="1"/>
        <v>332.50000000000006</v>
      </c>
      <c r="L46" s="588">
        <f ca="1"/>
        <v>350.00000000000006</v>
      </c>
      <c r="M46" s="598">
        <f ca="1"/>
        <v>420.00000000000006</v>
      </c>
      <c r="N46" s="580">
        <f t="shared" ref="N46:N54" ca="1" si="4">SUM(B46:M46)</f>
        <v>3867.5</v>
      </c>
      <c r="O46" s="61"/>
    </row>
    <row r="47" spans="1:15" ht="15.75" customHeight="1">
      <c r="A47" s="1973" t="str">
        <v/>
      </c>
      <c r="B47" s="589">
        <f t="array" aca="1" ref="B47:M47" ca="1">N142:Y142</f>
        <v>0</v>
      </c>
      <c r="C47" s="590">
        <f ca="1"/>
        <v>0</v>
      </c>
      <c r="D47" s="590">
        <f ca="1"/>
        <v>0</v>
      </c>
      <c r="E47" s="590">
        <f ca="1"/>
        <v>0</v>
      </c>
      <c r="F47" s="590">
        <f ca="1"/>
        <v>0</v>
      </c>
      <c r="G47" s="590">
        <f ca="1"/>
        <v>0</v>
      </c>
      <c r="H47" s="590">
        <f ca="1"/>
        <v>0</v>
      </c>
      <c r="I47" s="590">
        <f ca="1"/>
        <v>0</v>
      </c>
      <c r="J47" s="590">
        <f ca="1"/>
        <v>0</v>
      </c>
      <c r="K47" s="590">
        <f ca="1"/>
        <v>0</v>
      </c>
      <c r="L47" s="590">
        <f ca="1"/>
        <v>0</v>
      </c>
      <c r="M47" s="599">
        <f ca="1"/>
        <v>0</v>
      </c>
      <c r="N47" s="583">
        <f t="shared" ca="1" si="4"/>
        <v>0</v>
      </c>
      <c r="O47" s="61"/>
    </row>
    <row r="48" spans="1:15" ht="15.75" customHeight="1">
      <c r="A48" s="1973" t="str">
        <v/>
      </c>
      <c r="B48" s="589">
        <f t="array" aca="1" ref="B48:M48" ca="1">N160:Y160</f>
        <v>0</v>
      </c>
      <c r="C48" s="590">
        <f ca="1"/>
        <v>0</v>
      </c>
      <c r="D48" s="590">
        <f ca="1"/>
        <v>0</v>
      </c>
      <c r="E48" s="590">
        <f ca="1"/>
        <v>0</v>
      </c>
      <c r="F48" s="590">
        <f ca="1"/>
        <v>0</v>
      </c>
      <c r="G48" s="590">
        <f ca="1"/>
        <v>0</v>
      </c>
      <c r="H48" s="590">
        <f ca="1"/>
        <v>0</v>
      </c>
      <c r="I48" s="590">
        <f ca="1"/>
        <v>0</v>
      </c>
      <c r="J48" s="590">
        <f ca="1"/>
        <v>0</v>
      </c>
      <c r="K48" s="590">
        <f ca="1"/>
        <v>0</v>
      </c>
      <c r="L48" s="590">
        <f ca="1"/>
        <v>0</v>
      </c>
      <c r="M48" s="599">
        <f ca="1"/>
        <v>0</v>
      </c>
      <c r="N48" s="583">
        <f t="shared" ca="1" si="4"/>
        <v>0</v>
      </c>
      <c r="O48" s="61"/>
    </row>
    <row r="49" spans="1:15" ht="15.75" customHeight="1">
      <c r="A49" s="1973" t="str">
        <v/>
      </c>
      <c r="B49" s="589">
        <f t="array" aca="1" ref="B49:M49" ca="1">N178:Y178</f>
        <v>0</v>
      </c>
      <c r="C49" s="590">
        <f ca="1"/>
        <v>0</v>
      </c>
      <c r="D49" s="590">
        <f ca="1"/>
        <v>0</v>
      </c>
      <c r="E49" s="590">
        <f ca="1"/>
        <v>0</v>
      </c>
      <c r="F49" s="590">
        <f ca="1"/>
        <v>0</v>
      </c>
      <c r="G49" s="590">
        <f ca="1"/>
        <v>0</v>
      </c>
      <c r="H49" s="590">
        <f ca="1"/>
        <v>0</v>
      </c>
      <c r="I49" s="590">
        <f ca="1"/>
        <v>0</v>
      </c>
      <c r="J49" s="590">
        <f ca="1"/>
        <v>0</v>
      </c>
      <c r="K49" s="590">
        <f ca="1"/>
        <v>0</v>
      </c>
      <c r="L49" s="590">
        <f ca="1"/>
        <v>0</v>
      </c>
      <c r="M49" s="599">
        <f ca="1"/>
        <v>0</v>
      </c>
      <c r="N49" s="583">
        <f t="shared" ca="1" si="4"/>
        <v>0</v>
      </c>
      <c r="O49" s="61"/>
    </row>
    <row r="50" spans="1:15" ht="15.75" customHeight="1">
      <c r="A50" s="1973" t="str">
        <v/>
      </c>
      <c r="B50" s="589">
        <f t="array" aca="1" ref="B50:M50" ca="1">N196:Y196</f>
        <v>0</v>
      </c>
      <c r="C50" s="590">
        <f ca="1"/>
        <v>0</v>
      </c>
      <c r="D50" s="590">
        <f ca="1"/>
        <v>0</v>
      </c>
      <c r="E50" s="590">
        <f ca="1"/>
        <v>0</v>
      </c>
      <c r="F50" s="590">
        <f ca="1"/>
        <v>0</v>
      </c>
      <c r="G50" s="590">
        <f ca="1"/>
        <v>0</v>
      </c>
      <c r="H50" s="590">
        <f ca="1"/>
        <v>0</v>
      </c>
      <c r="I50" s="590">
        <f ca="1"/>
        <v>0</v>
      </c>
      <c r="J50" s="590">
        <f ca="1"/>
        <v>0</v>
      </c>
      <c r="K50" s="590">
        <f ca="1"/>
        <v>0</v>
      </c>
      <c r="L50" s="590">
        <f ca="1"/>
        <v>0</v>
      </c>
      <c r="M50" s="599">
        <f ca="1"/>
        <v>0</v>
      </c>
      <c r="N50" s="583">
        <f t="shared" ca="1" si="4"/>
        <v>0</v>
      </c>
      <c r="O50" s="61"/>
    </row>
    <row r="51" spans="1:15" ht="15.75" customHeight="1">
      <c r="A51" s="1973" t="str">
        <v/>
      </c>
      <c r="B51" s="589">
        <f t="array" aca="1" ref="B51:M51" ca="1">N214:Y214</f>
        <v>0</v>
      </c>
      <c r="C51" s="590">
        <f ca="1"/>
        <v>0</v>
      </c>
      <c r="D51" s="590">
        <f ca="1"/>
        <v>0</v>
      </c>
      <c r="E51" s="590">
        <f ca="1"/>
        <v>0</v>
      </c>
      <c r="F51" s="590">
        <f ca="1"/>
        <v>0</v>
      </c>
      <c r="G51" s="590">
        <f ca="1"/>
        <v>0</v>
      </c>
      <c r="H51" s="590">
        <f ca="1"/>
        <v>0</v>
      </c>
      <c r="I51" s="590">
        <f ca="1"/>
        <v>0</v>
      </c>
      <c r="J51" s="590">
        <f ca="1"/>
        <v>0</v>
      </c>
      <c r="K51" s="590">
        <f ca="1"/>
        <v>0</v>
      </c>
      <c r="L51" s="590">
        <f ca="1"/>
        <v>0</v>
      </c>
      <c r="M51" s="599">
        <f ca="1"/>
        <v>0</v>
      </c>
      <c r="N51" s="583">
        <f t="shared" ca="1" si="4"/>
        <v>0</v>
      </c>
      <c r="O51" s="61"/>
    </row>
    <row r="52" spans="1:15" ht="15.75" customHeight="1">
      <c r="A52" s="1973" t="str">
        <v/>
      </c>
      <c r="B52" s="589">
        <f t="array" aca="1" ref="B52:M52" ca="1">N232:Y232</f>
        <v>0</v>
      </c>
      <c r="C52" s="590">
        <f ca="1"/>
        <v>0</v>
      </c>
      <c r="D52" s="590">
        <f ca="1"/>
        <v>0</v>
      </c>
      <c r="E52" s="590">
        <f ca="1"/>
        <v>0</v>
      </c>
      <c r="F52" s="590">
        <f ca="1"/>
        <v>0</v>
      </c>
      <c r="G52" s="590">
        <f ca="1"/>
        <v>0</v>
      </c>
      <c r="H52" s="590">
        <f ca="1"/>
        <v>0</v>
      </c>
      <c r="I52" s="590">
        <f ca="1"/>
        <v>0</v>
      </c>
      <c r="J52" s="590">
        <f ca="1"/>
        <v>0</v>
      </c>
      <c r="K52" s="590">
        <f ca="1"/>
        <v>0</v>
      </c>
      <c r="L52" s="590">
        <f ca="1"/>
        <v>0</v>
      </c>
      <c r="M52" s="599">
        <f ca="1"/>
        <v>0</v>
      </c>
      <c r="N52" s="583">
        <f t="shared" ca="1" si="4"/>
        <v>0</v>
      </c>
      <c r="O52" s="61"/>
    </row>
    <row r="53" spans="1:15" ht="15.75" customHeight="1" thickBot="1">
      <c r="A53" s="1974" t="str">
        <v/>
      </c>
      <c r="B53" s="591">
        <f t="array" aca="1" ref="B53:M53" ca="1">N250:Y250</f>
        <v>0</v>
      </c>
      <c r="C53" s="592">
        <f ca="1"/>
        <v>0</v>
      </c>
      <c r="D53" s="592">
        <f ca="1"/>
        <v>0</v>
      </c>
      <c r="E53" s="592">
        <f ca="1"/>
        <v>0</v>
      </c>
      <c r="F53" s="592">
        <f ca="1"/>
        <v>0</v>
      </c>
      <c r="G53" s="592">
        <f ca="1"/>
        <v>0</v>
      </c>
      <c r="H53" s="592">
        <f ca="1"/>
        <v>0</v>
      </c>
      <c r="I53" s="592">
        <f ca="1"/>
        <v>0</v>
      </c>
      <c r="J53" s="592">
        <f ca="1"/>
        <v>0</v>
      </c>
      <c r="K53" s="592">
        <f ca="1"/>
        <v>0</v>
      </c>
      <c r="L53" s="592">
        <f ca="1"/>
        <v>0</v>
      </c>
      <c r="M53" s="600">
        <f ca="1"/>
        <v>0</v>
      </c>
      <c r="N53" s="593">
        <f t="shared" ca="1" si="4"/>
        <v>0</v>
      </c>
      <c r="O53" s="61"/>
    </row>
    <row r="54" spans="1:15" ht="15.75" customHeight="1" thickBot="1">
      <c r="A54" s="103" t="str">
        <f>A$28</f>
        <v>Totales</v>
      </c>
      <c r="B54" s="595">
        <f t="shared" ref="B54:M54" ca="1" si="5">SUM(B46:B53)</f>
        <v>280</v>
      </c>
      <c r="C54" s="596">
        <f t="shared" ca="1" si="5"/>
        <v>350.00000000000006</v>
      </c>
      <c r="D54" s="596">
        <f t="shared" ca="1" si="5"/>
        <v>385.00000000000006</v>
      </c>
      <c r="E54" s="596">
        <f t="shared" ca="1" si="5"/>
        <v>367.50000000000006</v>
      </c>
      <c r="F54" s="596">
        <f t="shared" ca="1" si="5"/>
        <v>315.00000000000006</v>
      </c>
      <c r="G54" s="596">
        <f t="shared" ca="1" si="5"/>
        <v>297.5</v>
      </c>
      <c r="H54" s="596">
        <f t="shared" ca="1" si="5"/>
        <v>280</v>
      </c>
      <c r="I54" s="596">
        <f t="shared" ca="1" si="5"/>
        <v>210.00000000000003</v>
      </c>
      <c r="J54" s="596">
        <f t="shared" ca="1" si="5"/>
        <v>280</v>
      </c>
      <c r="K54" s="596">
        <f t="shared" ca="1" si="5"/>
        <v>332.50000000000006</v>
      </c>
      <c r="L54" s="596">
        <f t="shared" ca="1" si="5"/>
        <v>350.00000000000006</v>
      </c>
      <c r="M54" s="597">
        <f t="shared" ca="1" si="5"/>
        <v>420.00000000000006</v>
      </c>
      <c r="N54" s="594">
        <f t="shared" ca="1" si="4"/>
        <v>3867.5</v>
      </c>
      <c r="O54" s="61"/>
    </row>
    <row r="55" spans="1:15">
      <c r="A55" s="1003" t="s">
        <v>891</v>
      </c>
      <c r="B55" s="1003">
        <f ca="1">SUM(B124:M124,B142:M142,B160:M160,B178:M178,B196:M196,B214:M214,B232:M232,B250:M250)</f>
        <v>0</v>
      </c>
    </row>
    <row r="57" spans="1:15" ht="18.75" thickBot="1">
      <c r="A57" s="1969" t="str">
        <f>'Distr CV 0'!A57</f>
        <v>IVA soportado de los costes de producción en el año</v>
      </c>
      <c r="G57" s="2710" t="str">
        <f>$K$1</f>
        <v>Año 1:  2027</v>
      </c>
      <c r="I57" s="1969"/>
    </row>
    <row r="58" spans="1:15" s="445" customFormat="1" ht="15.75" customHeight="1" thickBot="1">
      <c r="A58" s="446" t="str">
        <f>A$19</f>
        <v>Costes producción</v>
      </c>
      <c r="B58" s="444" t="str">
        <f t="array" ref="B58:M58">meses</f>
        <v>enero</v>
      </c>
      <c r="C58" s="440" t="str">
        <v>febrero</v>
      </c>
      <c r="D58" s="440" t="str">
        <v>marzo</v>
      </c>
      <c r="E58" s="440" t="str">
        <v>abril</v>
      </c>
      <c r="F58" s="440" t="str">
        <v>mayo</v>
      </c>
      <c r="G58" s="440" t="str">
        <v>junio</v>
      </c>
      <c r="H58" s="440" t="str">
        <v>julio</v>
      </c>
      <c r="I58" s="440" t="str">
        <v>agosto</v>
      </c>
      <c r="J58" s="440" t="str">
        <v>septiembre</v>
      </c>
      <c r="K58" s="440" t="str">
        <v>octubre</v>
      </c>
      <c r="L58" s="440" t="str">
        <v>noviembre</v>
      </c>
      <c r="M58" s="441" t="str">
        <v>diciembre</v>
      </c>
      <c r="N58" s="438" t="str">
        <f>N$7</f>
        <v>Totales</v>
      </c>
    </row>
    <row r="59" spans="1:15" ht="15.75" customHeight="1">
      <c r="A59" s="1972" t="str">
        <f t="array" ref="A59:A66">productos</f>
        <v>producto o servicio</v>
      </c>
      <c r="B59" s="587">
        <f t="array" aca="1" ref="B59:M59" ca="1">N125:Y125</f>
        <v>58.8</v>
      </c>
      <c r="C59" s="588">
        <f ca="1"/>
        <v>73.500000000000014</v>
      </c>
      <c r="D59" s="588">
        <f ca="1"/>
        <v>80.850000000000009</v>
      </c>
      <c r="E59" s="588">
        <f ca="1"/>
        <v>77.175000000000011</v>
      </c>
      <c r="F59" s="588">
        <f ca="1"/>
        <v>66.150000000000006</v>
      </c>
      <c r="G59" s="588">
        <f ca="1"/>
        <v>62.474999999999994</v>
      </c>
      <c r="H59" s="588">
        <f ca="1"/>
        <v>58.8</v>
      </c>
      <c r="I59" s="588">
        <f ca="1"/>
        <v>44.1</v>
      </c>
      <c r="J59" s="588">
        <f ca="1"/>
        <v>58.8</v>
      </c>
      <c r="K59" s="588">
        <f ca="1"/>
        <v>69.825000000000003</v>
      </c>
      <c r="L59" s="588">
        <f ca="1"/>
        <v>73.500000000000014</v>
      </c>
      <c r="M59" s="598">
        <f ca="1"/>
        <v>88.2</v>
      </c>
      <c r="N59" s="580">
        <f t="shared" ref="N59:N67" ca="1" si="6">SUM(B59:M59)</f>
        <v>812.17500000000007</v>
      </c>
      <c r="O59" s="61"/>
    </row>
    <row r="60" spans="1:15" ht="15.75" customHeight="1">
      <c r="A60" s="1973" t="str">
        <v/>
      </c>
      <c r="B60" s="589">
        <f t="array" aca="1" ref="B60:M60" ca="1">N143:Y143</f>
        <v>0</v>
      </c>
      <c r="C60" s="590">
        <f ca="1"/>
        <v>0</v>
      </c>
      <c r="D60" s="590">
        <f ca="1"/>
        <v>0</v>
      </c>
      <c r="E60" s="590">
        <f ca="1"/>
        <v>0</v>
      </c>
      <c r="F60" s="590">
        <f ca="1"/>
        <v>0</v>
      </c>
      <c r="G60" s="590">
        <f ca="1"/>
        <v>0</v>
      </c>
      <c r="H60" s="590">
        <f ca="1"/>
        <v>0</v>
      </c>
      <c r="I60" s="590">
        <f ca="1"/>
        <v>0</v>
      </c>
      <c r="J60" s="590">
        <f ca="1"/>
        <v>0</v>
      </c>
      <c r="K60" s="590">
        <f ca="1"/>
        <v>0</v>
      </c>
      <c r="L60" s="590">
        <f ca="1"/>
        <v>0</v>
      </c>
      <c r="M60" s="599">
        <f ca="1"/>
        <v>0</v>
      </c>
      <c r="N60" s="583">
        <f t="shared" ca="1" si="6"/>
        <v>0</v>
      </c>
      <c r="O60" s="61"/>
    </row>
    <row r="61" spans="1:15" ht="15.75" customHeight="1">
      <c r="A61" s="1973" t="str">
        <v/>
      </c>
      <c r="B61" s="589">
        <f t="array" aca="1" ref="B61:M61" ca="1">N161:Y161</f>
        <v>0</v>
      </c>
      <c r="C61" s="590">
        <f ca="1"/>
        <v>0</v>
      </c>
      <c r="D61" s="590">
        <f ca="1"/>
        <v>0</v>
      </c>
      <c r="E61" s="590">
        <f ca="1"/>
        <v>0</v>
      </c>
      <c r="F61" s="590">
        <f ca="1"/>
        <v>0</v>
      </c>
      <c r="G61" s="590">
        <f ca="1"/>
        <v>0</v>
      </c>
      <c r="H61" s="590">
        <f ca="1"/>
        <v>0</v>
      </c>
      <c r="I61" s="590">
        <f ca="1"/>
        <v>0</v>
      </c>
      <c r="J61" s="590">
        <f ca="1"/>
        <v>0</v>
      </c>
      <c r="K61" s="590">
        <f ca="1"/>
        <v>0</v>
      </c>
      <c r="L61" s="590">
        <f ca="1"/>
        <v>0</v>
      </c>
      <c r="M61" s="599">
        <f ca="1"/>
        <v>0</v>
      </c>
      <c r="N61" s="583">
        <f t="shared" ca="1" si="6"/>
        <v>0</v>
      </c>
      <c r="O61" s="61"/>
    </row>
    <row r="62" spans="1:15" ht="15.75" customHeight="1">
      <c r="A62" s="1973" t="str">
        <v/>
      </c>
      <c r="B62" s="589">
        <f t="array" aca="1" ref="B62:M62" ca="1">N179:Y179</f>
        <v>0</v>
      </c>
      <c r="C62" s="590">
        <f ca="1"/>
        <v>0</v>
      </c>
      <c r="D62" s="590">
        <f ca="1"/>
        <v>0</v>
      </c>
      <c r="E62" s="590">
        <f ca="1"/>
        <v>0</v>
      </c>
      <c r="F62" s="590">
        <f ca="1"/>
        <v>0</v>
      </c>
      <c r="G62" s="590">
        <f ca="1"/>
        <v>0</v>
      </c>
      <c r="H62" s="590">
        <f ca="1"/>
        <v>0</v>
      </c>
      <c r="I62" s="590">
        <f ca="1"/>
        <v>0</v>
      </c>
      <c r="J62" s="590">
        <f ca="1"/>
        <v>0</v>
      </c>
      <c r="K62" s="590">
        <f ca="1"/>
        <v>0</v>
      </c>
      <c r="L62" s="590">
        <f ca="1"/>
        <v>0</v>
      </c>
      <c r="M62" s="599">
        <f ca="1"/>
        <v>0</v>
      </c>
      <c r="N62" s="583">
        <f t="shared" ca="1" si="6"/>
        <v>0</v>
      </c>
      <c r="O62" s="61"/>
    </row>
    <row r="63" spans="1:15" ht="15.75" customHeight="1">
      <c r="A63" s="1973" t="str">
        <v/>
      </c>
      <c r="B63" s="589">
        <f t="array" aca="1" ref="B63:M63" ca="1">N197:Y197</f>
        <v>0</v>
      </c>
      <c r="C63" s="590">
        <f ca="1"/>
        <v>0</v>
      </c>
      <c r="D63" s="590">
        <f ca="1"/>
        <v>0</v>
      </c>
      <c r="E63" s="590">
        <f ca="1"/>
        <v>0</v>
      </c>
      <c r="F63" s="590">
        <f ca="1"/>
        <v>0</v>
      </c>
      <c r="G63" s="590">
        <f ca="1"/>
        <v>0</v>
      </c>
      <c r="H63" s="590">
        <f ca="1"/>
        <v>0</v>
      </c>
      <c r="I63" s="590">
        <f ca="1"/>
        <v>0</v>
      </c>
      <c r="J63" s="590">
        <f ca="1"/>
        <v>0</v>
      </c>
      <c r="K63" s="590">
        <f ca="1"/>
        <v>0</v>
      </c>
      <c r="L63" s="590">
        <f ca="1"/>
        <v>0</v>
      </c>
      <c r="M63" s="599">
        <f ca="1"/>
        <v>0</v>
      </c>
      <c r="N63" s="583">
        <f t="shared" ca="1" si="6"/>
        <v>0</v>
      </c>
      <c r="O63" s="61"/>
    </row>
    <row r="64" spans="1:15" ht="15.75" customHeight="1">
      <c r="A64" s="1973" t="str">
        <v/>
      </c>
      <c r="B64" s="589">
        <f t="array" aca="1" ref="B64:M64" ca="1">N215:Y215</f>
        <v>0</v>
      </c>
      <c r="C64" s="590">
        <f ca="1"/>
        <v>0</v>
      </c>
      <c r="D64" s="590">
        <f ca="1"/>
        <v>0</v>
      </c>
      <c r="E64" s="590">
        <f ca="1"/>
        <v>0</v>
      </c>
      <c r="F64" s="590">
        <f ca="1"/>
        <v>0</v>
      </c>
      <c r="G64" s="590">
        <f ca="1"/>
        <v>0</v>
      </c>
      <c r="H64" s="590">
        <f ca="1"/>
        <v>0</v>
      </c>
      <c r="I64" s="590">
        <f ca="1"/>
        <v>0</v>
      </c>
      <c r="J64" s="590">
        <f ca="1"/>
        <v>0</v>
      </c>
      <c r="K64" s="590">
        <f ca="1"/>
        <v>0</v>
      </c>
      <c r="L64" s="590">
        <f ca="1"/>
        <v>0</v>
      </c>
      <c r="M64" s="599">
        <f ca="1"/>
        <v>0</v>
      </c>
      <c r="N64" s="583">
        <f t="shared" ca="1" si="6"/>
        <v>0</v>
      </c>
      <c r="O64" s="61"/>
    </row>
    <row r="65" spans="1:26" ht="15.75" customHeight="1">
      <c r="A65" s="1973" t="str">
        <v/>
      </c>
      <c r="B65" s="589">
        <f t="array" aca="1" ref="B65:M65" ca="1">N233:Y233</f>
        <v>0</v>
      </c>
      <c r="C65" s="590">
        <f ca="1"/>
        <v>0</v>
      </c>
      <c r="D65" s="590">
        <f ca="1"/>
        <v>0</v>
      </c>
      <c r="E65" s="590">
        <f ca="1"/>
        <v>0</v>
      </c>
      <c r="F65" s="590">
        <f ca="1"/>
        <v>0</v>
      </c>
      <c r="G65" s="590">
        <f ca="1"/>
        <v>0</v>
      </c>
      <c r="H65" s="590">
        <f ca="1"/>
        <v>0</v>
      </c>
      <c r="I65" s="590">
        <f ca="1"/>
        <v>0</v>
      </c>
      <c r="J65" s="590">
        <f ca="1"/>
        <v>0</v>
      </c>
      <c r="K65" s="590">
        <f ca="1"/>
        <v>0</v>
      </c>
      <c r="L65" s="590">
        <f ca="1"/>
        <v>0</v>
      </c>
      <c r="M65" s="599">
        <f ca="1"/>
        <v>0</v>
      </c>
      <c r="N65" s="583">
        <f t="shared" ca="1" si="6"/>
        <v>0</v>
      </c>
      <c r="O65" s="61"/>
    </row>
    <row r="66" spans="1:26" ht="15.75" customHeight="1" thickBot="1">
      <c r="A66" s="1974" t="str">
        <v/>
      </c>
      <c r="B66" s="591">
        <f t="array" aca="1" ref="B66:M66" ca="1">N251:Y251</f>
        <v>0</v>
      </c>
      <c r="C66" s="592">
        <f ca="1"/>
        <v>0</v>
      </c>
      <c r="D66" s="592">
        <f ca="1"/>
        <v>0</v>
      </c>
      <c r="E66" s="592">
        <f ca="1"/>
        <v>0</v>
      </c>
      <c r="F66" s="592">
        <f ca="1"/>
        <v>0</v>
      </c>
      <c r="G66" s="592">
        <f ca="1"/>
        <v>0</v>
      </c>
      <c r="H66" s="592">
        <f ca="1"/>
        <v>0</v>
      </c>
      <c r="I66" s="592">
        <f ca="1"/>
        <v>0</v>
      </c>
      <c r="J66" s="592">
        <f ca="1"/>
        <v>0</v>
      </c>
      <c r="K66" s="592">
        <f ca="1"/>
        <v>0</v>
      </c>
      <c r="L66" s="592">
        <f ca="1"/>
        <v>0</v>
      </c>
      <c r="M66" s="600">
        <f ca="1"/>
        <v>0</v>
      </c>
      <c r="N66" s="593">
        <f t="shared" ca="1" si="6"/>
        <v>0</v>
      </c>
      <c r="O66" s="61"/>
    </row>
    <row r="67" spans="1:26" ht="15.75" customHeight="1" thickBot="1">
      <c r="A67" s="103" t="str">
        <f>A$28</f>
        <v>Totales</v>
      </c>
      <c r="B67" s="595">
        <f t="shared" ref="B67:M67" ca="1" si="7">SUM(B59:B66)</f>
        <v>58.8</v>
      </c>
      <c r="C67" s="596">
        <f t="shared" ca="1" si="7"/>
        <v>73.500000000000014</v>
      </c>
      <c r="D67" s="596">
        <f t="shared" ca="1" si="7"/>
        <v>80.850000000000009</v>
      </c>
      <c r="E67" s="596">
        <f t="shared" ca="1" si="7"/>
        <v>77.175000000000011</v>
      </c>
      <c r="F67" s="596">
        <f t="shared" ca="1" si="7"/>
        <v>66.150000000000006</v>
      </c>
      <c r="G67" s="596">
        <f t="shared" ca="1" si="7"/>
        <v>62.474999999999994</v>
      </c>
      <c r="H67" s="596">
        <f t="shared" ca="1" si="7"/>
        <v>58.8</v>
      </c>
      <c r="I67" s="596">
        <f t="shared" ca="1" si="7"/>
        <v>44.1</v>
      </c>
      <c r="J67" s="596">
        <f t="shared" ca="1" si="7"/>
        <v>58.8</v>
      </c>
      <c r="K67" s="596">
        <f t="shared" ca="1" si="7"/>
        <v>69.825000000000003</v>
      </c>
      <c r="L67" s="596">
        <f t="shared" ca="1" si="7"/>
        <v>73.500000000000014</v>
      </c>
      <c r="M67" s="597">
        <f t="shared" ca="1" si="7"/>
        <v>88.2</v>
      </c>
      <c r="N67" s="594">
        <f t="shared" ca="1" si="6"/>
        <v>812.17500000000007</v>
      </c>
      <c r="O67" s="61"/>
    </row>
    <row r="68" spans="1:26">
      <c r="A68" s="1003" t="s">
        <v>892</v>
      </c>
      <c r="B68" s="1003">
        <f ca="1">SUM(B125:M125,B143:M143,B161:M161,B179:M179,B197:M197,B215:M215,B233:M233,B251:M251)</f>
        <v>0</v>
      </c>
    </row>
    <row r="69" spans="1:26" ht="15">
      <c r="A69" s="213"/>
    </row>
    <row r="70" spans="1:26" ht="18.75" thickBot="1">
      <c r="A70" s="1969" t="str">
        <f>'Distr CV 0'!A70</f>
        <v>Distribución de los costes de producción por meses de las unidades vendidas en el año</v>
      </c>
      <c r="I70" s="1969" t="str">
        <f>I$18</f>
        <v>IVA NO incluido</v>
      </c>
    </row>
    <row r="71" spans="1:26" s="445" customFormat="1" ht="32.25" customHeight="1" thickBot="1">
      <c r="A71" s="446" t="str">
        <f>A$19</f>
        <v>Costes producción</v>
      </c>
      <c r="B71" s="1987" t="str">
        <f t="array" ref="B71:M71">'Estimaciones Ventas'!B5:M5</f>
        <v>enero 
2026</v>
      </c>
      <c r="C71" s="1987" t="str">
        <v>febrero 
2026</v>
      </c>
      <c r="D71" s="1987" t="str">
        <v>marzo 
2026</v>
      </c>
      <c r="E71" s="1987" t="str">
        <v>abril 
2026</v>
      </c>
      <c r="F71" s="1987" t="str">
        <v>mayo 
2026</v>
      </c>
      <c r="G71" s="1987" t="str">
        <v>junio 
2026</v>
      </c>
      <c r="H71" s="1987" t="str">
        <v>julio 
2026</v>
      </c>
      <c r="I71" s="1987" t="str">
        <v>agosto 
2026</v>
      </c>
      <c r="J71" s="1987" t="str">
        <v>septiembre 
2026</v>
      </c>
      <c r="K71" s="1987" t="str">
        <v>octubre 
2026</v>
      </c>
      <c r="L71" s="1987" t="str">
        <v>noviembre 
2026</v>
      </c>
      <c r="M71" s="1987" t="str">
        <v>diciembre 
2026</v>
      </c>
      <c r="N71" s="2703" t="str">
        <f t="array" ref="N71:Y71">'Estimaciones Ventas'!B18:M18</f>
        <v>enero 
2027</v>
      </c>
      <c r="O71" s="2704" t="str">
        <v>febrero 
2027</v>
      </c>
      <c r="P71" s="2704" t="str">
        <v>marzo 
2027</v>
      </c>
      <c r="Q71" s="2704" t="str">
        <v>abril 
2027</v>
      </c>
      <c r="R71" s="2704" t="str">
        <v>mayo 
2027</v>
      </c>
      <c r="S71" s="2704" t="str">
        <v>junio 
2027</v>
      </c>
      <c r="T71" s="2704" t="str">
        <v>julio 
2027</v>
      </c>
      <c r="U71" s="2704" t="str">
        <v>agosto 
2027</v>
      </c>
      <c r="V71" s="2704" t="str">
        <v>septiembre 
2027</v>
      </c>
      <c r="W71" s="2704" t="str">
        <v>octubre 
2027</v>
      </c>
      <c r="X71" s="2704" t="str">
        <v>noviembre 
2027</v>
      </c>
      <c r="Y71" s="2705" t="str">
        <v>diciembre 
2027</v>
      </c>
      <c r="Z71" s="61"/>
    </row>
    <row r="72" spans="1:26" ht="15.75" customHeight="1">
      <c r="A72" s="1970" t="s">
        <v>862</v>
      </c>
      <c r="B72" s="1967"/>
      <c r="C72" s="1967"/>
      <c r="D72" s="1967"/>
      <c r="E72" s="1967"/>
      <c r="F72" s="1967"/>
      <c r="G72" s="1967"/>
      <c r="H72" s="1965"/>
      <c r="I72" s="1966"/>
      <c r="J72" s="1966"/>
      <c r="K72" s="1966"/>
      <c r="L72" s="1966"/>
      <c r="M72" s="1966"/>
      <c r="N72" s="588">
        <f t="array" aca="1" ref="N72" ca="1">SUM(B20:B27*Produccion!$N$8:$N$15)</f>
        <v>280</v>
      </c>
      <c r="O72" s="588">
        <f t="array" aca="1" ref="O72" ca="1">SUM(C20:C27*Produccion!$N$8:$N$15)</f>
        <v>350.00000000000006</v>
      </c>
      <c r="P72" s="588">
        <f t="array" aca="1" ref="P72" ca="1">SUM(D20:D27*Produccion!$N$8:$N$15)</f>
        <v>385.00000000000006</v>
      </c>
      <c r="Q72" s="588">
        <f t="array" aca="1" ref="Q72" ca="1">SUM(E20:E27*Produccion!$N$8:$N$15)</f>
        <v>367.50000000000006</v>
      </c>
      <c r="R72" s="588">
        <f t="array" aca="1" ref="R72" ca="1">SUM(F20:F27*Produccion!$N$8:$N$15)</f>
        <v>315.00000000000006</v>
      </c>
      <c r="S72" s="588">
        <f t="array" aca="1" ref="S72" ca="1">SUM(G20:G27*Produccion!$N$8:$N$15)</f>
        <v>297.5</v>
      </c>
      <c r="T72" s="588">
        <f t="array" aca="1" ref="T72" ca="1">SUM(H20:H27*Produccion!$N$8:$N$15)</f>
        <v>280</v>
      </c>
      <c r="U72" s="588">
        <f t="array" aca="1" ref="U72" ca="1">SUM(I20:I27*Produccion!$N$8:$N$15)</f>
        <v>210.00000000000003</v>
      </c>
      <c r="V72" s="588">
        <f t="array" aca="1" ref="V72" ca="1">SUM(J20:J27*Produccion!$N$8:$N$15)</f>
        <v>280</v>
      </c>
      <c r="W72" s="588">
        <f t="array" aca="1" ref="W72" ca="1">SUM(K20:K27*Produccion!$N$8:$N$15)</f>
        <v>332.50000000000006</v>
      </c>
      <c r="X72" s="588">
        <f t="array" aca="1" ref="X72" ca="1">SUM(L20:L27*Produccion!$N$8:$N$15)</f>
        <v>350.00000000000006</v>
      </c>
      <c r="Y72" s="1985">
        <f t="array" aca="1" ref="Y72" ca="1">SUM(M20:M27*Produccion!$N$8:$N$15)</f>
        <v>420.00000000000006</v>
      </c>
    </row>
    <row r="73" spans="1:26" ht="15.75" customHeight="1">
      <c r="A73" s="1971" t="s">
        <v>864</v>
      </c>
      <c r="B73" s="1967"/>
      <c r="C73" s="1967"/>
      <c r="D73" s="1967"/>
      <c r="E73" s="1967"/>
      <c r="F73" s="1967"/>
      <c r="G73" s="1967"/>
      <c r="H73" s="1967"/>
      <c r="I73" s="1964"/>
      <c r="J73" s="1964"/>
      <c r="K73" s="1964"/>
      <c r="L73" s="1964"/>
      <c r="M73" s="590">
        <f t="array" aca="1" ref="M73" ca="1">SUM(B20:B27*Produccion!$M$8:$M$15)</f>
        <v>0</v>
      </c>
      <c r="N73" s="590">
        <f t="array" aca="1" ref="N73" ca="1">SUM(C20:C27*Produccion!$M$8:$M$15)</f>
        <v>0</v>
      </c>
      <c r="O73" s="590">
        <f t="array" aca="1" ref="O73" ca="1">SUM(D20:D27*Produccion!$M$8:$M$15)</f>
        <v>0</v>
      </c>
      <c r="P73" s="590">
        <f t="array" aca="1" ref="P73" ca="1">SUM(E20:E27*Produccion!$M$8:$M$15)</f>
        <v>0</v>
      </c>
      <c r="Q73" s="590">
        <f t="array" aca="1" ref="Q73" ca="1">SUM(F20:F27*Produccion!$M$8:$M$15)</f>
        <v>0</v>
      </c>
      <c r="R73" s="590">
        <f t="array" aca="1" ref="R73" ca="1">SUM(G20:G27*Produccion!$M$8:$M$15)</f>
        <v>0</v>
      </c>
      <c r="S73" s="590">
        <f t="array" aca="1" ref="S73" ca="1">SUM(H20:H27*Produccion!$M$8:$M$15)</f>
        <v>0</v>
      </c>
      <c r="T73" s="590">
        <f t="array" aca="1" ref="T73" ca="1">SUM(I20:I27*Produccion!$M$8:$M$15)</f>
        <v>0</v>
      </c>
      <c r="U73" s="590">
        <f t="array" aca="1" ref="U73" ca="1">SUM(J20:J27*Produccion!$M$8:$M$15)</f>
        <v>0</v>
      </c>
      <c r="V73" s="590">
        <f t="array" aca="1" ref="V73" ca="1">SUM(K20:K27*Produccion!$M$8:$M$15)</f>
        <v>0</v>
      </c>
      <c r="W73" s="590">
        <f t="array" aca="1" ref="W73" ca="1">SUM(L20:L27*Produccion!$M$8:$M$15)</f>
        <v>0</v>
      </c>
      <c r="X73" s="590">
        <f t="array" aca="1" ref="X73" ca="1">SUM(M20:M27*Produccion!$M$8:$M$15)</f>
        <v>0</v>
      </c>
      <c r="Y73" s="1983">
        <f t="array" aca="1" ref="Y73:Y84" ca="1">'Distr CV 2'!M73:M84</f>
        <v>0</v>
      </c>
    </row>
    <row r="74" spans="1:26" ht="15.75" customHeight="1">
      <c r="A74" s="1971" t="s">
        <v>865</v>
      </c>
      <c r="B74" s="1967"/>
      <c r="C74" s="1967"/>
      <c r="D74" s="1967"/>
      <c r="E74" s="1967"/>
      <c r="F74" s="1967"/>
      <c r="G74" s="1967"/>
      <c r="H74" s="1967"/>
      <c r="I74" s="1964"/>
      <c r="J74" s="1964"/>
      <c r="K74" s="1964"/>
      <c r="L74" s="590">
        <f t="array" aca="1" ref="L74" ca="1">SUM(B20:B27*Produccion!$L$8:$L$15)</f>
        <v>0</v>
      </c>
      <c r="M74" s="590">
        <f t="array" aca="1" ref="M74" ca="1">SUM(C20:C27*Produccion!$L$8:$L$15)</f>
        <v>0</v>
      </c>
      <c r="N74" s="590">
        <f t="array" aca="1" ref="N74" ca="1">SUM(D20:D27*Produccion!$L$8:$L$15)</f>
        <v>0</v>
      </c>
      <c r="O74" s="590">
        <f t="array" aca="1" ref="O74" ca="1">SUM(E20:E27*Produccion!$L$8:$L$15)</f>
        <v>0</v>
      </c>
      <c r="P74" s="590">
        <f t="array" aca="1" ref="P74" ca="1">SUM(F20:F27*Produccion!$L$8:$L$15)</f>
        <v>0</v>
      </c>
      <c r="Q74" s="590">
        <f t="array" aca="1" ref="Q74" ca="1">SUM(G20:G27*Produccion!$L$8:$L$15)</f>
        <v>0</v>
      </c>
      <c r="R74" s="590">
        <f t="array" aca="1" ref="R74" ca="1">SUM(H20:H27*Produccion!$L$8:$L$15)</f>
        <v>0</v>
      </c>
      <c r="S74" s="590">
        <f t="array" aca="1" ref="S74" ca="1">SUM(I20:I27*Produccion!$L$8:$L$15)</f>
        <v>0</v>
      </c>
      <c r="T74" s="590">
        <f t="array" aca="1" ref="T74" ca="1">SUM(J20:J27*Produccion!$L$8:$L$15)</f>
        <v>0</v>
      </c>
      <c r="U74" s="590">
        <f t="array" aca="1" ref="U74" ca="1">SUM(K20:K27*Produccion!$L$8:$L$15)</f>
        <v>0</v>
      </c>
      <c r="V74" s="590">
        <f t="array" aca="1" ref="V74" ca="1">SUM(L20:L27*Produccion!$L$8:$L$15)</f>
        <v>0</v>
      </c>
      <c r="W74" s="590">
        <f t="array" aca="1" ref="W74" ca="1">SUM(M20:M27*Produccion!$L$8:$L$15)</f>
        <v>0</v>
      </c>
      <c r="X74" s="1964">
        <f t="array" aca="1" ref="X74:X84" ca="1">'Distr CV 2'!L74:L84</f>
        <v>0</v>
      </c>
      <c r="Y74" s="1983">
        <f ca="1"/>
        <v>0</v>
      </c>
    </row>
    <row r="75" spans="1:26" ht="15.75" customHeight="1">
      <c r="A75" s="1971" t="s">
        <v>866</v>
      </c>
      <c r="B75" s="1967"/>
      <c r="C75" s="1967"/>
      <c r="D75" s="1967"/>
      <c r="E75" s="1967"/>
      <c r="F75" s="1967"/>
      <c r="G75" s="1967"/>
      <c r="H75" s="1967"/>
      <c r="I75" s="1964"/>
      <c r="J75" s="1964"/>
      <c r="K75" s="590">
        <f t="array" aca="1" ref="K75" ca="1">SUM(B20:B27*Produccion!$K$8:$K$15)</f>
        <v>0</v>
      </c>
      <c r="L75" s="590">
        <f t="array" aca="1" ref="L75" ca="1">SUM(C20:C27*Produccion!$K$8:$K$15)</f>
        <v>0</v>
      </c>
      <c r="M75" s="590">
        <f t="array" aca="1" ref="M75" ca="1">SUM(D20:D27*Produccion!$K$8:$K$15)</f>
        <v>0</v>
      </c>
      <c r="N75" s="590">
        <f t="array" aca="1" ref="N75" ca="1">SUM(E20:E27*Produccion!$K$8:$K$15)</f>
        <v>0</v>
      </c>
      <c r="O75" s="590">
        <f t="array" aca="1" ref="O75" ca="1">SUM(F20:F27*Produccion!$K$8:$K$15)</f>
        <v>0</v>
      </c>
      <c r="P75" s="590">
        <f t="array" aca="1" ref="P75" ca="1">SUM(G20:G27*Produccion!$K$8:$K$15)</f>
        <v>0</v>
      </c>
      <c r="Q75" s="590">
        <f t="array" aca="1" ref="Q75" ca="1">SUM(H20:H27*Produccion!$K$8:$K$15)</f>
        <v>0</v>
      </c>
      <c r="R75" s="590">
        <f t="array" aca="1" ref="R75" ca="1">SUM(I20:I27*Produccion!$K$8:$K$15)</f>
        <v>0</v>
      </c>
      <c r="S75" s="590">
        <f t="array" aca="1" ref="S75" ca="1">SUM(J20:J27*Produccion!$K$8:$K$15)</f>
        <v>0</v>
      </c>
      <c r="T75" s="590">
        <f t="array" aca="1" ref="T75" ca="1">SUM(K20:K27*Produccion!$K$8:$K$15)</f>
        <v>0</v>
      </c>
      <c r="U75" s="590">
        <f t="array" aca="1" ref="U75" ca="1">SUM(L20:L27*Produccion!$K$8:$K$15)</f>
        <v>0</v>
      </c>
      <c r="V75" s="590">
        <f t="array" aca="1" ref="V75" ca="1">SUM(M20:M27*Produccion!$K$8:$K$15)</f>
        <v>0</v>
      </c>
      <c r="W75" s="1964">
        <f t="array" aca="1" ref="W75:W84" ca="1">'Distr CV 2'!K75:K84</f>
        <v>0</v>
      </c>
      <c r="X75" s="1964">
        <f ca="1"/>
        <v>0</v>
      </c>
      <c r="Y75" s="1983">
        <f ca="1"/>
        <v>0</v>
      </c>
    </row>
    <row r="76" spans="1:26" ht="15.75" customHeight="1">
      <c r="A76" s="1971" t="s">
        <v>867</v>
      </c>
      <c r="B76" s="1967"/>
      <c r="C76" s="1967"/>
      <c r="D76" s="1967"/>
      <c r="E76" s="1967"/>
      <c r="F76" s="1967"/>
      <c r="G76" s="1967"/>
      <c r="H76" s="1967"/>
      <c r="I76" s="1964"/>
      <c r="J76" s="590">
        <f t="array" aca="1" ref="J76" ca="1">SUM(B20:B27*Produccion!$J$8:$J$15)</f>
        <v>0</v>
      </c>
      <c r="K76" s="590">
        <f t="array" aca="1" ref="K76" ca="1">SUM(C20:C27*Produccion!$J$8:$J$15)</f>
        <v>0</v>
      </c>
      <c r="L76" s="590">
        <f t="array" aca="1" ref="L76" ca="1">SUM(D20:D27*Produccion!$J$8:$J$15)</f>
        <v>0</v>
      </c>
      <c r="M76" s="590">
        <f t="array" aca="1" ref="M76" ca="1">SUM(E20:E27*Produccion!$J$8:$J$15)</f>
        <v>0</v>
      </c>
      <c r="N76" s="590">
        <f t="array" aca="1" ref="N76" ca="1">SUM(F20:F27*Produccion!$J$8:$J$15)</f>
        <v>0</v>
      </c>
      <c r="O76" s="590">
        <f t="array" aca="1" ref="O76" ca="1">SUM(G20:G27*Produccion!$J$8:$J$15)</f>
        <v>0</v>
      </c>
      <c r="P76" s="590">
        <f t="array" aca="1" ref="P76" ca="1">SUM(H20:H27*Produccion!$J$8:$J$15)</f>
        <v>0</v>
      </c>
      <c r="Q76" s="590">
        <f t="array" aca="1" ref="Q76" ca="1">SUM(I20:I27*Produccion!$J$8:$J$15)</f>
        <v>0</v>
      </c>
      <c r="R76" s="590">
        <f t="array" aca="1" ref="R76" ca="1">SUM(J20:J27*Produccion!$J$8:$J$15)</f>
        <v>0</v>
      </c>
      <c r="S76" s="590">
        <f t="array" aca="1" ref="S76" ca="1">SUM(K20:K27*Produccion!$J$8:$J$15)</f>
        <v>0</v>
      </c>
      <c r="T76" s="590">
        <f t="array" aca="1" ref="T76" ca="1">SUM(L20:L27*Produccion!$J$8:$J$15)</f>
        <v>0</v>
      </c>
      <c r="U76" s="590">
        <f t="array" aca="1" ref="U76" ca="1">SUM(M20:M27*Produccion!$J$8:$J$15)</f>
        <v>0</v>
      </c>
      <c r="V76" s="1964">
        <f t="array" aca="1" ref="V76:V84" ca="1">'Distr CV 2'!J76:J84</f>
        <v>0</v>
      </c>
      <c r="W76" s="1964">
        <f ca="1"/>
        <v>0</v>
      </c>
      <c r="X76" s="1964">
        <f ca="1"/>
        <v>0</v>
      </c>
      <c r="Y76" s="1983">
        <f ca="1"/>
        <v>0</v>
      </c>
    </row>
    <row r="77" spans="1:26" ht="15.75" customHeight="1">
      <c r="A77" s="1971" t="s">
        <v>868</v>
      </c>
      <c r="B77" s="1967"/>
      <c r="C77" s="1967"/>
      <c r="D77" s="1967"/>
      <c r="E77" s="1967"/>
      <c r="F77" s="1967"/>
      <c r="G77" s="1967"/>
      <c r="H77" s="1967"/>
      <c r="I77" s="590">
        <f t="array" aca="1" ref="I77" ca="1">SUM(B20:B27*Produccion!$I$8:$I$15)</f>
        <v>0</v>
      </c>
      <c r="J77" s="590">
        <f t="array" aca="1" ref="J77" ca="1">SUM(C20:C27*Produccion!$I$8:$I$15)</f>
        <v>0</v>
      </c>
      <c r="K77" s="590">
        <f t="array" aca="1" ref="K77" ca="1">SUM(D20:D27*Produccion!$I$8:$I$15)</f>
        <v>0</v>
      </c>
      <c r="L77" s="590">
        <f t="array" aca="1" ref="L77" ca="1">SUM(E20:E27*Produccion!$I$8:$I$15)</f>
        <v>0</v>
      </c>
      <c r="M77" s="590">
        <f t="array" aca="1" ref="M77" ca="1">SUM(F20:F27*Produccion!$I$8:$I$15)</f>
        <v>0</v>
      </c>
      <c r="N77" s="590">
        <f t="array" aca="1" ref="N77" ca="1">SUM(G20:G27*Produccion!$I$8:$I$15)</f>
        <v>0</v>
      </c>
      <c r="O77" s="590">
        <f t="array" aca="1" ref="O77" ca="1">SUM(H20:H27*Produccion!$I$8:$I$15)</f>
        <v>0</v>
      </c>
      <c r="P77" s="590">
        <f t="array" aca="1" ref="P77" ca="1">SUM(I20:I27*Produccion!$I$8:$I$15)</f>
        <v>0</v>
      </c>
      <c r="Q77" s="590">
        <f t="array" aca="1" ref="Q77" ca="1">SUM(J20:J27*Produccion!$I$8:$I$15)</f>
        <v>0</v>
      </c>
      <c r="R77" s="590">
        <f t="array" aca="1" ref="R77" ca="1">SUM(K20:K27*Produccion!$I$8:$I$15)</f>
        <v>0</v>
      </c>
      <c r="S77" s="590">
        <f t="array" aca="1" ref="S77" ca="1">SUM(L20:L27*Produccion!$I$8:$I$15)</f>
        <v>0</v>
      </c>
      <c r="T77" s="590">
        <f t="array" aca="1" ref="T77" ca="1">SUM(M20:M27*Produccion!$I$8:$I$15)</f>
        <v>0</v>
      </c>
      <c r="U77" s="1964">
        <f t="array" aca="1" ref="U77:U84" ca="1">'Distr CV 2'!I77:I84</f>
        <v>0</v>
      </c>
      <c r="V77" s="1964">
        <f ca="1"/>
        <v>0</v>
      </c>
      <c r="W77" s="1964">
        <f ca="1"/>
        <v>0</v>
      </c>
      <c r="X77" s="1964">
        <f ca="1"/>
        <v>0</v>
      </c>
      <c r="Y77" s="1983">
        <f ca="1"/>
        <v>0</v>
      </c>
    </row>
    <row r="78" spans="1:26" ht="15.75" customHeight="1">
      <c r="A78" s="1971" t="s">
        <v>869</v>
      </c>
      <c r="B78" s="1967"/>
      <c r="C78" s="1967"/>
      <c r="D78" s="1967"/>
      <c r="E78" s="1967"/>
      <c r="F78" s="1967"/>
      <c r="G78" s="1967"/>
      <c r="H78" s="590">
        <f t="array" aca="1" ref="H78" ca="1">SUM(B20:B27*Produccion!$H$8:$H$15)</f>
        <v>0</v>
      </c>
      <c r="I78" s="590">
        <f t="array" aca="1" ref="I78" ca="1">SUM(C20:C27*Produccion!$H$8:$H$15)</f>
        <v>0</v>
      </c>
      <c r="J78" s="590">
        <f t="array" aca="1" ref="J78" ca="1">SUM(D20:D27*Produccion!$H$8:$H$15)</f>
        <v>0</v>
      </c>
      <c r="K78" s="590">
        <f t="array" aca="1" ref="K78" ca="1">SUM(E20:E27*Produccion!$H$8:$H$15)</f>
        <v>0</v>
      </c>
      <c r="L78" s="590">
        <f t="array" aca="1" ref="L78" ca="1">SUM(F20:F27*Produccion!$H$8:$H$15)</f>
        <v>0</v>
      </c>
      <c r="M78" s="590">
        <f t="array" aca="1" ref="M78" ca="1">SUM(G20:G27*Produccion!$H$8:$H$15)</f>
        <v>0</v>
      </c>
      <c r="N78" s="590">
        <f t="array" aca="1" ref="N78" ca="1">SUM(H20:H27*Produccion!$H$8:$H$15)</f>
        <v>0</v>
      </c>
      <c r="O78" s="590">
        <f t="array" aca="1" ref="O78" ca="1">SUM(I20:I27*Produccion!$H$8:$H$15)</f>
        <v>0</v>
      </c>
      <c r="P78" s="590">
        <f t="array" aca="1" ref="P78" ca="1">SUM(J20:J27*Produccion!$H$8:$H$15)</f>
        <v>0</v>
      </c>
      <c r="Q78" s="590">
        <f t="array" aca="1" ref="Q78" ca="1">SUM(K20:K27*Produccion!$H$8:$H$15)</f>
        <v>0</v>
      </c>
      <c r="R78" s="590">
        <f t="array" aca="1" ref="R78" ca="1">SUM(L20:L27*Produccion!$H$8:$H$15)</f>
        <v>0</v>
      </c>
      <c r="S78" s="590">
        <f t="array" aca="1" ref="S78" ca="1">SUM(M20:M27*Produccion!$H$8:$H$15)</f>
        <v>0</v>
      </c>
      <c r="T78" s="1964">
        <f t="array" aca="1" ref="T78:T84" ca="1">'Distr CV 2'!H78:H84</f>
        <v>0</v>
      </c>
      <c r="U78" s="1964">
        <f ca="1"/>
        <v>0</v>
      </c>
      <c r="V78" s="1964">
        <f ca="1"/>
        <v>0</v>
      </c>
      <c r="W78" s="1964">
        <f ca="1"/>
        <v>0</v>
      </c>
      <c r="X78" s="1964">
        <f ca="1"/>
        <v>0</v>
      </c>
      <c r="Y78" s="1983">
        <f ca="1"/>
        <v>0</v>
      </c>
    </row>
    <row r="79" spans="1:26" ht="15.75" customHeight="1">
      <c r="A79" s="1971" t="s">
        <v>870</v>
      </c>
      <c r="B79" s="1967"/>
      <c r="C79" s="1967"/>
      <c r="D79" s="1967"/>
      <c r="E79" s="1967"/>
      <c r="F79" s="1967"/>
      <c r="G79" s="592">
        <f t="array" aca="1" ref="G79" ca="1">SUM(B20:B27*Produccion!$G$8:$G$15)</f>
        <v>0</v>
      </c>
      <c r="H79" s="592">
        <f t="array" aca="1" ref="H79" ca="1">SUM(C20:C27*Produccion!$G$8:$G$15)</f>
        <v>0</v>
      </c>
      <c r="I79" s="592">
        <f t="array" aca="1" ref="I79" ca="1">SUM(D20:D27*Produccion!$G$8:$G$15)</f>
        <v>0</v>
      </c>
      <c r="J79" s="592">
        <f t="array" aca="1" ref="J79" ca="1">SUM(E20:E27*Produccion!$G$8:$G$15)</f>
        <v>0</v>
      </c>
      <c r="K79" s="592">
        <f t="array" aca="1" ref="K79" ca="1">SUM(F20:F27*Produccion!$G$8:$G$15)</f>
        <v>0</v>
      </c>
      <c r="L79" s="592">
        <f t="array" aca="1" ref="L79" ca="1">SUM(G20:G27*Produccion!$G$8:$G$15)</f>
        <v>0</v>
      </c>
      <c r="M79" s="592">
        <f t="array" aca="1" ref="M79" ca="1">SUM(H20:H27*Produccion!$G$8:$G$15)</f>
        <v>0</v>
      </c>
      <c r="N79" s="592">
        <f t="array" aca="1" ref="N79" ca="1">SUM(I20:I27*Produccion!$G$8:$G$15)</f>
        <v>0</v>
      </c>
      <c r="O79" s="592">
        <f t="array" aca="1" ref="O79" ca="1">SUM(J20:J27*Produccion!$G$8:$G$15)</f>
        <v>0</v>
      </c>
      <c r="P79" s="592">
        <f t="array" aca="1" ref="P79" ca="1">SUM(K20:K27*Produccion!$G$8:$G$15)</f>
        <v>0</v>
      </c>
      <c r="Q79" s="592">
        <f t="array" aca="1" ref="Q79" ca="1">SUM(L20:L27*Produccion!$G$8:$G$15)</f>
        <v>0</v>
      </c>
      <c r="R79" s="592">
        <f t="array" aca="1" ref="R79" ca="1">SUM(M20:M27*Produccion!$G$8:$G$15)</f>
        <v>0</v>
      </c>
      <c r="S79" s="1968">
        <f t="array" aca="1" ref="S79:S84" ca="1">'Distr CV 2'!G79:G84</f>
        <v>0</v>
      </c>
      <c r="T79" s="1968">
        <f ca="1"/>
        <v>0</v>
      </c>
      <c r="U79" s="1968">
        <f ca="1"/>
        <v>0</v>
      </c>
      <c r="V79" s="1968">
        <f ca="1"/>
        <v>0</v>
      </c>
      <c r="W79" s="1968">
        <f ca="1"/>
        <v>0</v>
      </c>
      <c r="X79" s="1968">
        <f ca="1"/>
        <v>0</v>
      </c>
      <c r="Y79" s="1986">
        <f ca="1"/>
        <v>0</v>
      </c>
    </row>
    <row r="80" spans="1:26" ht="15.75" customHeight="1">
      <c r="A80" s="1971" t="s">
        <v>871</v>
      </c>
      <c r="B80" s="1967"/>
      <c r="C80" s="1967"/>
      <c r="D80" s="1967"/>
      <c r="E80" s="1967"/>
      <c r="F80" s="592">
        <f t="array" aca="1" ref="F80" ca="1">SUM(B20:B27*Produccion!$F$8:$F$15)</f>
        <v>0</v>
      </c>
      <c r="G80" s="592">
        <f t="array" aca="1" ref="G80" ca="1">SUM(C20:C27*Produccion!$F$8:$F$15)</f>
        <v>0</v>
      </c>
      <c r="H80" s="592">
        <f t="array" aca="1" ref="H80" ca="1">SUM(D20:D27*Produccion!$F$8:$F$15)</f>
        <v>0</v>
      </c>
      <c r="I80" s="592">
        <f t="array" aca="1" ref="I80" ca="1">SUM(E20:E27*Produccion!$F$8:$F$15)</f>
        <v>0</v>
      </c>
      <c r="J80" s="592">
        <f t="array" aca="1" ref="J80" ca="1">SUM(F20:F27*Produccion!$F$8:$F$15)</f>
        <v>0</v>
      </c>
      <c r="K80" s="592">
        <f t="array" aca="1" ref="K80" ca="1">SUM(G20:G27*Produccion!$F$8:$F$15)</f>
        <v>0</v>
      </c>
      <c r="L80" s="592">
        <f t="array" aca="1" ref="L80" ca="1">SUM(H20:H27*Produccion!$F$8:$F$15)</f>
        <v>0</v>
      </c>
      <c r="M80" s="592">
        <f t="array" aca="1" ref="M80" ca="1">SUM(I20:I27*Produccion!$F$8:$F$15)</f>
        <v>0</v>
      </c>
      <c r="N80" s="592">
        <f t="array" aca="1" ref="N80" ca="1">SUM(J20:J27*Produccion!$F$8:$F$15)</f>
        <v>0</v>
      </c>
      <c r="O80" s="592">
        <f t="array" aca="1" ref="O80" ca="1">SUM(K20:K27*Produccion!$F$8:$F$15)</f>
        <v>0</v>
      </c>
      <c r="P80" s="592">
        <f t="array" aca="1" ref="P80" ca="1">SUM(L20:L27*Produccion!$F$8:$F$15)</f>
        <v>0</v>
      </c>
      <c r="Q80" s="592">
        <f t="array" aca="1" ref="Q80" ca="1">SUM(M20:M27*Produccion!$F$8:$F$15)</f>
        <v>0</v>
      </c>
      <c r="R80" s="1968">
        <f t="array" aca="1" ref="R80:R84" ca="1">'Distr CV 2'!F80:F84</f>
        <v>0</v>
      </c>
      <c r="S80" s="1968">
        <f ca="1"/>
        <v>0</v>
      </c>
      <c r="T80" s="1968">
        <f ca="1"/>
        <v>0</v>
      </c>
      <c r="U80" s="1968">
        <f ca="1"/>
        <v>0</v>
      </c>
      <c r="V80" s="1968">
        <f ca="1"/>
        <v>0</v>
      </c>
      <c r="W80" s="1968">
        <f ca="1"/>
        <v>0</v>
      </c>
      <c r="X80" s="1968">
        <f ca="1"/>
        <v>0</v>
      </c>
      <c r="Y80" s="1986">
        <f ca="1"/>
        <v>0</v>
      </c>
    </row>
    <row r="81" spans="1:26" ht="15.75" customHeight="1">
      <c r="A81" s="1971" t="s">
        <v>872</v>
      </c>
      <c r="B81" s="1967"/>
      <c r="C81" s="1967"/>
      <c r="D81" s="1967"/>
      <c r="E81" s="592">
        <f t="array" aca="1" ref="E81" ca="1">SUM(B20:B27*Produccion!$E$8:$E$15)</f>
        <v>0</v>
      </c>
      <c r="F81" s="592">
        <f t="array" aca="1" ref="F81" ca="1">SUM(C20:C27*Produccion!$E$8:$E$15)</f>
        <v>0</v>
      </c>
      <c r="G81" s="592">
        <f t="array" aca="1" ref="G81" ca="1">SUM(D20:D27*Produccion!$E$8:$E$15)</f>
        <v>0</v>
      </c>
      <c r="H81" s="592">
        <f t="array" aca="1" ref="H81" ca="1">SUM(E20:E27*Produccion!$E$8:$E$15)</f>
        <v>0</v>
      </c>
      <c r="I81" s="592">
        <f t="array" aca="1" ref="I81" ca="1">SUM(F20:F27*Produccion!$E$8:$E$15)</f>
        <v>0</v>
      </c>
      <c r="J81" s="592">
        <f t="array" aca="1" ref="J81" ca="1">SUM(G20:G27*Produccion!$E$8:$E$15)</f>
        <v>0</v>
      </c>
      <c r="K81" s="592">
        <f t="array" aca="1" ref="K81" ca="1">SUM(H20:H27*Produccion!$E$8:$E$15)</f>
        <v>0</v>
      </c>
      <c r="L81" s="592">
        <f t="array" aca="1" ref="L81" ca="1">SUM(I20:I27*Produccion!$E$8:$E$15)</f>
        <v>0</v>
      </c>
      <c r="M81" s="592">
        <f t="array" aca="1" ref="M81" ca="1">SUM(J20:J27*Produccion!$E$8:$E$15)</f>
        <v>0</v>
      </c>
      <c r="N81" s="592">
        <f t="array" aca="1" ref="N81" ca="1">SUM(K20:K27*Produccion!$E$8:$E$15)</f>
        <v>0</v>
      </c>
      <c r="O81" s="592">
        <f t="array" aca="1" ref="O81" ca="1">SUM(L20:L27*Produccion!$E$8:$E$15)</f>
        <v>0</v>
      </c>
      <c r="P81" s="592">
        <f t="array" aca="1" ref="P81" ca="1">SUM(M20:M27*Produccion!$E$8:$E$15)</f>
        <v>0</v>
      </c>
      <c r="Q81" s="1968">
        <f t="array" aca="1" ref="Q81:Q84" ca="1">'Distr CV 2'!E81:E84</f>
        <v>0</v>
      </c>
      <c r="R81" s="1968">
        <f ca="1"/>
        <v>0</v>
      </c>
      <c r="S81" s="1968">
        <f ca="1"/>
        <v>0</v>
      </c>
      <c r="T81" s="1968">
        <f ca="1"/>
        <v>0</v>
      </c>
      <c r="U81" s="1968">
        <f ca="1"/>
        <v>0</v>
      </c>
      <c r="V81" s="1968">
        <f ca="1"/>
        <v>0</v>
      </c>
      <c r="W81" s="1968">
        <f ca="1"/>
        <v>0</v>
      </c>
      <c r="X81" s="1968">
        <f ca="1"/>
        <v>0</v>
      </c>
      <c r="Y81" s="1986">
        <f ca="1"/>
        <v>0</v>
      </c>
    </row>
    <row r="82" spans="1:26" ht="15.75" customHeight="1">
      <c r="A82" s="1971" t="s">
        <v>873</v>
      </c>
      <c r="B82" s="1967"/>
      <c r="C82" s="1967"/>
      <c r="D82" s="591">
        <f t="array" aca="1" ref="D82" ca="1">SUM(B20:B27*Produccion!$D$8:$D$15)</f>
        <v>0</v>
      </c>
      <c r="E82" s="591">
        <f t="array" aca="1" ref="E82" ca="1">SUM(C20:C27*Produccion!$D$8:$D$15)</f>
        <v>0</v>
      </c>
      <c r="F82" s="591">
        <f t="array" aca="1" ref="F82" ca="1">SUM(D20:D27*Produccion!$D$8:$D$15)</f>
        <v>0</v>
      </c>
      <c r="G82" s="591">
        <f t="array" aca="1" ref="G82" ca="1">SUM(E20:E27*Produccion!$D$8:$D$15)</f>
        <v>0</v>
      </c>
      <c r="H82" s="591">
        <f t="array" aca="1" ref="H82" ca="1">SUM(F20:F27*Produccion!$D$8:$D$15)</f>
        <v>0</v>
      </c>
      <c r="I82" s="591">
        <f t="array" aca="1" ref="I82" ca="1">SUM(G20:G27*Produccion!$D$8:$D$15)</f>
        <v>0</v>
      </c>
      <c r="J82" s="591">
        <f t="array" aca="1" ref="J82" ca="1">SUM(H20:H27*Produccion!$D$8:$D$15)</f>
        <v>0</v>
      </c>
      <c r="K82" s="591">
        <f t="array" aca="1" ref="K82" ca="1">SUM(I20:I27*Produccion!$D$8:$D$15)</f>
        <v>0</v>
      </c>
      <c r="L82" s="591">
        <f t="array" aca="1" ref="L82" ca="1">SUM(J20:J27*Produccion!$D$8:$D$15)</f>
        <v>0</v>
      </c>
      <c r="M82" s="591">
        <f t="array" aca="1" ref="M82" ca="1">SUM(K20:K27*Produccion!$D$8:$D$15)</f>
        <v>0</v>
      </c>
      <c r="N82" s="591">
        <f t="array" aca="1" ref="N82" ca="1">SUM(L20:L27*Produccion!$D$8:$D$15)</f>
        <v>0</v>
      </c>
      <c r="O82" s="591">
        <f t="array" aca="1" ref="O82" ca="1">SUM(M20:M27*Produccion!$D$8:$D$15)</f>
        <v>0</v>
      </c>
      <c r="P82" s="1968">
        <f t="array" aca="1" ref="P82:P84" ca="1">'Distr CV 2'!D82:D84</f>
        <v>0</v>
      </c>
      <c r="Q82" s="1968">
        <f ca="1"/>
        <v>0</v>
      </c>
      <c r="R82" s="1968">
        <f ca="1"/>
        <v>0</v>
      </c>
      <c r="S82" s="1968">
        <f ca="1"/>
        <v>0</v>
      </c>
      <c r="T82" s="1968">
        <f ca="1"/>
        <v>0</v>
      </c>
      <c r="U82" s="1968">
        <f ca="1"/>
        <v>0</v>
      </c>
      <c r="V82" s="1968">
        <f ca="1"/>
        <v>0</v>
      </c>
      <c r="W82" s="1968">
        <f ca="1"/>
        <v>0</v>
      </c>
      <c r="X82" s="1968">
        <f ca="1"/>
        <v>0</v>
      </c>
      <c r="Y82" s="1986">
        <f ca="1"/>
        <v>0</v>
      </c>
    </row>
    <row r="83" spans="1:26" ht="15.75" customHeight="1">
      <c r="A83" s="1971" t="s">
        <v>874</v>
      </c>
      <c r="B83" s="1967"/>
      <c r="C83" s="592">
        <f t="array" aca="1" ref="C83" ca="1">SUM(B20:B27*Produccion!$C$8:$C$15)</f>
        <v>0</v>
      </c>
      <c r="D83" s="592">
        <f t="array" aca="1" ref="D83" ca="1">SUM(C20:C27*Produccion!$C$8:$C$15)</f>
        <v>0</v>
      </c>
      <c r="E83" s="592">
        <f t="array" aca="1" ref="E83" ca="1">SUM(D20:D27*Produccion!$C$8:$C$15)</f>
        <v>0</v>
      </c>
      <c r="F83" s="592">
        <f t="array" aca="1" ref="F83" ca="1">SUM(E20:E27*Produccion!$C$8:$C$15)</f>
        <v>0</v>
      </c>
      <c r="G83" s="592">
        <f t="array" aca="1" ref="G83" ca="1">SUM(F20:F27*Produccion!$C$8:$C$15)</f>
        <v>0</v>
      </c>
      <c r="H83" s="592">
        <f t="array" aca="1" ref="H83" ca="1">SUM(G20:G27*Produccion!$C$8:$C$15)</f>
        <v>0</v>
      </c>
      <c r="I83" s="592">
        <f t="array" aca="1" ref="I83" ca="1">SUM(H20:H27*Produccion!$C$8:$C$15)</f>
        <v>0</v>
      </c>
      <c r="J83" s="592">
        <f t="array" aca="1" ref="J83" ca="1">SUM(I20:I27*Produccion!$C$8:$C$15)</f>
        <v>0</v>
      </c>
      <c r="K83" s="592">
        <f t="array" aca="1" ref="K83" ca="1">SUM(J20:J27*Produccion!$C$8:$C$15)</f>
        <v>0</v>
      </c>
      <c r="L83" s="592">
        <f t="array" aca="1" ref="L83" ca="1">SUM(K20:K27*Produccion!$C$8:$C$15)</f>
        <v>0</v>
      </c>
      <c r="M83" s="592">
        <f t="array" aca="1" ref="M83" ca="1">SUM(L20:L27*Produccion!$C$8:$C$15)</f>
        <v>0</v>
      </c>
      <c r="N83" s="592">
        <f t="array" aca="1" ref="N83" ca="1">SUM(M20:M27*Produccion!$C$8:$C$15)</f>
        <v>0</v>
      </c>
      <c r="O83" s="1968">
        <f t="array" aca="1" ref="O83:O84" ca="1">'Distr CV 2'!C83:C84</f>
        <v>0</v>
      </c>
      <c r="P83" s="1968">
        <f ca="1"/>
        <v>0</v>
      </c>
      <c r="Q83" s="1968">
        <f ca="1"/>
        <v>0</v>
      </c>
      <c r="R83" s="1968">
        <f ca="1"/>
        <v>0</v>
      </c>
      <c r="S83" s="1968">
        <f ca="1"/>
        <v>0</v>
      </c>
      <c r="T83" s="1968">
        <f ca="1"/>
        <v>0</v>
      </c>
      <c r="U83" s="1968">
        <f ca="1"/>
        <v>0</v>
      </c>
      <c r="V83" s="1968">
        <f ca="1"/>
        <v>0</v>
      </c>
      <c r="W83" s="1968">
        <f ca="1"/>
        <v>0</v>
      </c>
      <c r="X83" s="1968">
        <f ca="1"/>
        <v>0</v>
      </c>
      <c r="Y83" s="1986">
        <f ca="1"/>
        <v>0</v>
      </c>
    </row>
    <row r="84" spans="1:26" ht="15.75" customHeight="1" thickBot="1">
      <c r="A84" s="1971" t="s">
        <v>875</v>
      </c>
      <c r="B84" s="592">
        <f t="array" aca="1" ref="B84" ca="1">SUM(B20:B27*Produccion!$B$8:$B$15)</f>
        <v>0</v>
      </c>
      <c r="C84" s="592">
        <f t="array" aca="1" ref="C84" ca="1">SUM(C20:C27*Produccion!$B$8:$B$15)</f>
        <v>0</v>
      </c>
      <c r="D84" s="592">
        <f t="array" aca="1" ref="D84" ca="1">SUM(D20:D27*Produccion!$B$8:$B$15)</f>
        <v>0</v>
      </c>
      <c r="E84" s="592">
        <f t="array" aca="1" ref="E84" ca="1">SUM(E20:E27*Produccion!$B$8:$B$15)</f>
        <v>0</v>
      </c>
      <c r="F84" s="592">
        <f t="array" aca="1" ref="F84" ca="1">SUM(F20:F27*Produccion!$B$8:$B$15)</f>
        <v>0</v>
      </c>
      <c r="G84" s="592">
        <f t="array" aca="1" ref="G84" ca="1">SUM(G20:G27*Produccion!$B$8:$B$15)</f>
        <v>0</v>
      </c>
      <c r="H84" s="592">
        <f t="array" aca="1" ref="H84" ca="1">SUM(H20:H27*Produccion!$B$8:$B$15)</f>
        <v>0</v>
      </c>
      <c r="I84" s="592">
        <f t="array" aca="1" ref="I84" ca="1">SUM(I20:I27*Produccion!$B$8:$B$15)</f>
        <v>0</v>
      </c>
      <c r="J84" s="592">
        <f t="array" aca="1" ref="J84" ca="1">SUM(J20:J27*Produccion!$B$8:$B$15)</f>
        <v>0</v>
      </c>
      <c r="K84" s="592">
        <f t="array" aca="1" ref="K84" ca="1">SUM(K20:K27*Produccion!$B$8:$B$15)</f>
        <v>0</v>
      </c>
      <c r="L84" s="592">
        <f t="array" aca="1" ref="L84" ca="1">SUM(L20:L27*Produccion!$B$8:$B$15)</f>
        <v>0</v>
      </c>
      <c r="M84" s="592">
        <f t="array" aca="1" ref="M84" ca="1">SUM(M20:M27*Produccion!$B$8:$B$15)</f>
        <v>0</v>
      </c>
      <c r="N84" s="1968">
        <f ca="1">'Distr CV 2'!B84</f>
        <v>0</v>
      </c>
      <c r="O84" s="1968">
        <f ca="1"/>
        <v>0</v>
      </c>
      <c r="P84" s="1968">
        <f ca="1"/>
        <v>0</v>
      </c>
      <c r="Q84" s="1968">
        <f ca="1"/>
        <v>0</v>
      </c>
      <c r="R84" s="1968">
        <f ca="1"/>
        <v>0</v>
      </c>
      <c r="S84" s="1968">
        <f ca="1"/>
        <v>0</v>
      </c>
      <c r="T84" s="1968">
        <f ca="1"/>
        <v>0</v>
      </c>
      <c r="U84" s="1968">
        <f ca="1"/>
        <v>0</v>
      </c>
      <c r="V84" s="1968">
        <f ca="1"/>
        <v>0</v>
      </c>
      <c r="W84" s="1968">
        <f ca="1"/>
        <v>0</v>
      </c>
      <c r="X84" s="1968">
        <f ca="1"/>
        <v>0</v>
      </c>
      <c r="Y84" s="1986">
        <f ca="1"/>
        <v>0</v>
      </c>
    </row>
    <row r="85" spans="1:26" ht="15.75" customHeight="1" thickBot="1">
      <c r="A85" s="103" t="str">
        <f>A$28</f>
        <v>Totales</v>
      </c>
      <c r="B85" s="596">
        <f t="shared" ref="B85:Y85" ca="1" si="8">SUM(B72:B84)</f>
        <v>0</v>
      </c>
      <c r="C85" s="596">
        <f t="shared" ca="1" si="8"/>
        <v>0</v>
      </c>
      <c r="D85" s="596">
        <f t="shared" ca="1" si="8"/>
        <v>0</v>
      </c>
      <c r="E85" s="596">
        <f t="shared" ca="1" si="8"/>
        <v>0</v>
      </c>
      <c r="F85" s="596">
        <f t="shared" ca="1" si="8"/>
        <v>0</v>
      </c>
      <c r="G85" s="596">
        <f ca="1">SUM(G72:G84)</f>
        <v>0</v>
      </c>
      <c r="H85" s="596">
        <f t="shared" ca="1" si="8"/>
        <v>0</v>
      </c>
      <c r="I85" s="596">
        <f t="shared" ca="1" si="8"/>
        <v>0</v>
      </c>
      <c r="J85" s="596">
        <f t="shared" ca="1" si="8"/>
        <v>0</v>
      </c>
      <c r="K85" s="596">
        <f t="shared" ca="1" si="8"/>
        <v>0</v>
      </c>
      <c r="L85" s="596">
        <f t="shared" ca="1" si="8"/>
        <v>0</v>
      </c>
      <c r="M85" s="596">
        <f t="shared" ca="1" si="8"/>
        <v>0</v>
      </c>
      <c r="N85" s="596">
        <f t="shared" ca="1" si="8"/>
        <v>280</v>
      </c>
      <c r="O85" s="596">
        <f t="shared" ca="1" si="8"/>
        <v>350.00000000000006</v>
      </c>
      <c r="P85" s="596">
        <f t="shared" ca="1" si="8"/>
        <v>385.00000000000006</v>
      </c>
      <c r="Q85" s="596">
        <f t="shared" ca="1" si="8"/>
        <v>367.50000000000006</v>
      </c>
      <c r="R85" s="596">
        <f t="shared" ca="1" si="8"/>
        <v>315.00000000000006</v>
      </c>
      <c r="S85" s="596">
        <f t="shared" ca="1" si="8"/>
        <v>297.5</v>
      </c>
      <c r="T85" s="596">
        <f t="shared" ca="1" si="8"/>
        <v>280</v>
      </c>
      <c r="U85" s="596">
        <f t="shared" ca="1" si="8"/>
        <v>210.00000000000003</v>
      </c>
      <c r="V85" s="596">
        <f t="shared" ca="1" si="8"/>
        <v>280</v>
      </c>
      <c r="W85" s="596">
        <f t="shared" ca="1" si="8"/>
        <v>332.50000000000006</v>
      </c>
      <c r="X85" s="596">
        <f t="shared" ca="1" si="8"/>
        <v>350.00000000000006</v>
      </c>
      <c r="Y85" s="1984">
        <f t="shared" ca="1" si="8"/>
        <v>420.00000000000006</v>
      </c>
    </row>
    <row r="86" spans="1:26">
      <c r="B86" s="61"/>
    </row>
    <row r="87" spans="1:26">
      <c r="B87" s="61">
        <f ca="1">SUM(B85:M85)</f>
        <v>0</v>
      </c>
    </row>
    <row r="88" spans="1:26">
      <c r="B88" s="61"/>
    </row>
    <row r="89" spans="1:26" ht="18.75" thickBot="1">
      <c r="A89" s="1969" t="str">
        <f>'Distr CV 0'!A89</f>
        <v>IVA de los costes de producción por meses de compra</v>
      </c>
      <c r="I89" s="1969"/>
    </row>
    <row r="90" spans="1:26" s="445" customFormat="1" ht="35.25" customHeight="1" thickBot="1">
      <c r="A90" s="446" t="str">
        <f>A$19</f>
        <v>Costes producción</v>
      </c>
      <c r="B90" s="1987" t="str">
        <f t="array" ref="B90:Y90">B$71:Y$71</f>
        <v>enero 
2026</v>
      </c>
      <c r="C90" s="1987" t="str">
        <v>febrero 
2026</v>
      </c>
      <c r="D90" s="1987" t="str">
        <v>marzo 
2026</v>
      </c>
      <c r="E90" s="1987" t="str">
        <v>abril 
2026</v>
      </c>
      <c r="F90" s="1987" t="str">
        <v>mayo 
2026</v>
      </c>
      <c r="G90" s="1987" t="str">
        <v>junio 
2026</v>
      </c>
      <c r="H90" s="1987" t="str">
        <v>julio 
2026</v>
      </c>
      <c r="I90" s="1987" t="str">
        <v>agosto 
2026</v>
      </c>
      <c r="J90" s="1987" t="str">
        <v>septiembre 
2026</v>
      </c>
      <c r="K90" s="1987" t="str">
        <v>octubre 
2026</v>
      </c>
      <c r="L90" s="1987" t="str">
        <v>noviembre 
2026</v>
      </c>
      <c r="M90" s="1987" t="str">
        <v>diciembre 
2026</v>
      </c>
      <c r="N90" s="2706" t="str">
        <v>enero 
2027</v>
      </c>
      <c r="O90" s="2707" t="str">
        <v>febrero 
2027</v>
      </c>
      <c r="P90" s="2707" t="str">
        <v>marzo 
2027</v>
      </c>
      <c r="Q90" s="2707" t="str">
        <v>abril 
2027</v>
      </c>
      <c r="R90" s="2707" t="str">
        <v>mayo 
2027</v>
      </c>
      <c r="S90" s="2707" t="str">
        <v>junio 
2027</v>
      </c>
      <c r="T90" s="2707" t="str">
        <v>julio 
2027</v>
      </c>
      <c r="U90" s="2707" t="str">
        <v>agosto 
2027</v>
      </c>
      <c r="V90" s="2707" t="str">
        <v>septiembre 
2027</v>
      </c>
      <c r="W90" s="2707" t="str">
        <v>octubre 
2027</v>
      </c>
      <c r="X90" s="2707" t="str">
        <v>noviembre 
2027</v>
      </c>
      <c r="Y90" s="2708" t="str">
        <v>diciembre 
2027</v>
      </c>
      <c r="Z90" s="61"/>
    </row>
    <row r="91" spans="1:26" ht="15.75" customHeight="1">
      <c r="A91" s="1970" t="str">
        <f t="array" ref="A91:A104">A$72:A$85</f>
        <v>mismo mes</v>
      </c>
      <c r="B91" s="1967"/>
      <c r="C91" s="1967"/>
      <c r="D91" s="1967"/>
      <c r="E91" s="1967"/>
      <c r="F91" s="1967"/>
      <c r="G91" s="1967"/>
      <c r="H91" s="1965"/>
      <c r="I91" s="1966"/>
      <c r="J91" s="1966"/>
      <c r="K91" s="1966"/>
      <c r="L91" s="1966"/>
      <c r="M91" s="1966"/>
      <c r="N91" s="588">
        <f t="array" aca="1" ref="N91" ca="1">SUM(B32:B39*Produccion!$N$8:$N$15)</f>
        <v>58.8</v>
      </c>
      <c r="O91" s="588">
        <f t="array" aca="1" ref="O91" ca="1">SUM(C32:C39*Produccion!$N$8:$N$15)</f>
        <v>73.500000000000014</v>
      </c>
      <c r="P91" s="588">
        <f t="array" aca="1" ref="P91" ca="1">SUM(D32:D39*Produccion!$N$8:$N$15)</f>
        <v>80.850000000000009</v>
      </c>
      <c r="Q91" s="588">
        <f t="array" aca="1" ref="Q91" ca="1">SUM(E32:E39*Produccion!$N$8:$N$15)</f>
        <v>77.175000000000011</v>
      </c>
      <c r="R91" s="588">
        <f t="array" aca="1" ref="R91" ca="1">SUM(F32:F39*Produccion!$N$8:$N$15)</f>
        <v>66.150000000000006</v>
      </c>
      <c r="S91" s="588">
        <f t="array" aca="1" ref="S91" ca="1">SUM(G32:G39*Produccion!$N$8:$N$15)</f>
        <v>62.474999999999994</v>
      </c>
      <c r="T91" s="588">
        <f t="array" aca="1" ref="T91" ca="1">SUM(H32:H39*Produccion!$N$8:$N$15)</f>
        <v>58.8</v>
      </c>
      <c r="U91" s="588">
        <f t="array" aca="1" ref="U91" ca="1">SUM(I32:I39*Produccion!$N$8:$N$15)</f>
        <v>44.1</v>
      </c>
      <c r="V91" s="588">
        <f t="array" aca="1" ref="V91" ca="1">SUM(J32:J39*Produccion!$N$8:$N$15)</f>
        <v>58.8</v>
      </c>
      <c r="W91" s="588">
        <f t="array" aca="1" ref="W91" ca="1">SUM(K32:K39*Produccion!$N$8:$N$15)</f>
        <v>69.825000000000003</v>
      </c>
      <c r="X91" s="588">
        <f t="array" aca="1" ref="X91" ca="1">SUM(L32:L39*Produccion!$N$8:$N$15)</f>
        <v>73.500000000000014</v>
      </c>
      <c r="Y91" s="1985">
        <f t="array" aca="1" ref="Y91" ca="1">SUM(M32:M39*Produccion!$N$8:$N$15)</f>
        <v>88.2</v>
      </c>
    </row>
    <row r="92" spans="1:26" ht="15.75" customHeight="1">
      <c r="A92" s="1971" t="str">
        <v>1 mes antes</v>
      </c>
      <c r="B92" s="1967"/>
      <c r="C92" s="1967"/>
      <c r="D92" s="1967"/>
      <c r="E92" s="1967"/>
      <c r="F92" s="1967"/>
      <c r="G92" s="1967"/>
      <c r="H92" s="1967"/>
      <c r="I92" s="1964"/>
      <c r="J92" s="1964"/>
      <c r="K92" s="1964"/>
      <c r="L92" s="1964"/>
      <c r="M92" s="590">
        <f t="array" aca="1" ref="M92" ca="1">SUM(B32:B39*Produccion!$M$8:$M$15)</f>
        <v>0</v>
      </c>
      <c r="N92" s="590">
        <f t="array" aca="1" ref="N92" ca="1">SUM(C32:C39*Produccion!$M$8:$M$15)</f>
        <v>0</v>
      </c>
      <c r="O92" s="590">
        <f t="array" aca="1" ref="O92" ca="1">SUM(D32:D39*Produccion!$M$8:$M$15)</f>
        <v>0</v>
      </c>
      <c r="P92" s="590">
        <f t="array" aca="1" ref="P92" ca="1">SUM(E32:E39*Produccion!$M$8:$M$15)</f>
        <v>0</v>
      </c>
      <c r="Q92" s="590">
        <f t="array" aca="1" ref="Q92" ca="1">SUM(F32:F39*Produccion!$M$8:$M$15)</f>
        <v>0</v>
      </c>
      <c r="R92" s="590">
        <f t="array" aca="1" ref="R92" ca="1">SUM(G32:G39*Produccion!$M$8:$M$15)</f>
        <v>0</v>
      </c>
      <c r="S92" s="590">
        <f t="array" aca="1" ref="S92" ca="1">SUM(H32:H39*Produccion!$M$8:$M$15)</f>
        <v>0</v>
      </c>
      <c r="T92" s="590">
        <f t="array" aca="1" ref="T92" ca="1">SUM(I32:I39*Produccion!$M$8:$M$15)</f>
        <v>0</v>
      </c>
      <c r="U92" s="590">
        <f t="array" aca="1" ref="U92" ca="1">SUM(J32:J39*Produccion!$M$8:$M$15)</f>
        <v>0</v>
      </c>
      <c r="V92" s="590">
        <f t="array" aca="1" ref="V92" ca="1">SUM(K32:K39*Produccion!$M$8:$M$15)</f>
        <v>0</v>
      </c>
      <c r="W92" s="590">
        <f t="array" aca="1" ref="W92" ca="1">SUM(L32:L39*Produccion!$M$8:$M$15)</f>
        <v>0</v>
      </c>
      <c r="X92" s="590">
        <f t="array" aca="1" ref="X92" ca="1">SUM(M32:M39*Produccion!$M$8:$M$15)</f>
        <v>0</v>
      </c>
      <c r="Y92" s="1983">
        <f t="array" aca="1" ref="Y92:Y103" ca="1">'Distr CV 2'!M92:M103</f>
        <v>0</v>
      </c>
    </row>
    <row r="93" spans="1:26" ht="15.75" customHeight="1">
      <c r="A93" s="1971" t="str">
        <v>2 meses antes</v>
      </c>
      <c r="B93" s="1967"/>
      <c r="C93" s="1967"/>
      <c r="D93" s="1967"/>
      <c r="E93" s="1967"/>
      <c r="F93" s="1967"/>
      <c r="G93" s="1967"/>
      <c r="H93" s="1967"/>
      <c r="I93" s="1964"/>
      <c r="J93" s="1964"/>
      <c r="K93" s="1964"/>
      <c r="L93" s="590">
        <f t="array" aca="1" ref="L93" ca="1">SUM(B32:B39*Produccion!$L$8:$L$15)</f>
        <v>0</v>
      </c>
      <c r="M93" s="590">
        <f t="array" aca="1" ref="M93" ca="1">SUM(C32:C39*Produccion!$L$8:$L$15)</f>
        <v>0</v>
      </c>
      <c r="N93" s="590">
        <f t="array" aca="1" ref="N93" ca="1">SUM(D32:D39*Produccion!$L$8:$L$15)</f>
        <v>0</v>
      </c>
      <c r="O93" s="590">
        <f t="array" aca="1" ref="O93" ca="1">SUM(E32:E39*Produccion!$L$8:$L$15)</f>
        <v>0</v>
      </c>
      <c r="P93" s="590">
        <f t="array" aca="1" ref="P93" ca="1">SUM(F32:F39*Produccion!$L$8:$L$15)</f>
        <v>0</v>
      </c>
      <c r="Q93" s="590">
        <f t="array" aca="1" ref="Q93" ca="1">SUM(G32:G39*Produccion!$L$8:$L$15)</f>
        <v>0</v>
      </c>
      <c r="R93" s="590">
        <f t="array" aca="1" ref="R93" ca="1">SUM(H32:H39*Produccion!$L$8:$L$15)</f>
        <v>0</v>
      </c>
      <c r="S93" s="590">
        <f t="array" aca="1" ref="S93" ca="1">SUM(I32:I39*Produccion!$L$8:$L$15)</f>
        <v>0</v>
      </c>
      <c r="T93" s="590">
        <f t="array" aca="1" ref="T93" ca="1">SUM(J32:J39*Produccion!$L$8:$L$15)</f>
        <v>0</v>
      </c>
      <c r="U93" s="590">
        <f t="array" aca="1" ref="U93" ca="1">SUM(K32:K39*Produccion!$L$8:$L$15)</f>
        <v>0</v>
      </c>
      <c r="V93" s="590">
        <f t="array" aca="1" ref="V93" ca="1">SUM(L32:L39*Produccion!$L$8:$L$15)</f>
        <v>0</v>
      </c>
      <c r="W93" s="590">
        <f t="array" aca="1" ref="W93" ca="1">SUM(M32:M39*Produccion!$L$8:$L$15)</f>
        <v>0</v>
      </c>
      <c r="X93" s="1964">
        <f t="array" aca="1" ref="X93:X103" ca="1">'Distr CV 2'!L93:L103</f>
        <v>0</v>
      </c>
      <c r="Y93" s="1983">
        <f ca="1"/>
        <v>0</v>
      </c>
    </row>
    <row r="94" spans="1:26" ht="15.75" customHeight="1">
      <c r="A94" s="1971" t="str">
        <v>3 meses antes</v>
      </c>
      <c r="B94" s="1967"/>
      <c r="C94" s="1967"/>
      <c r="D94" s="1967"/>
      <c r="E94" s="1967"/>
      <c r="F94" s="1967"/>
      <c r="G94" s="1967"/>
      <c r="H94" s="1967"/>
      <c r="I94" s="1964"/>
      <c r="J94" s="1964"/>
      <c r="K94" s="590">
        <f t="array" aca="1" ref="K94" ca="1">SUM(B32:B39*Produccion!$K$8:$K$15)</f>
        <v>0</v>
      </c>
      <c r="L94" s="590">
        <f t="array" aca="1" ref="L94" ca="1">SUM(C32:C39*Produccion!$K$8:$K$15)</f>
        <v>0</v>
      </c>
      <c r="M94" s="590">
        <f t="array" aca="1" ref="M94" ca="1">SUM(D32:D39*Produccion!$K$8:$K$15)</f>
        <v>0</v>
      </c>
      <c r="N94" s="590">
        <f t="array" aca="1" ref="N94" ca="1">SUM(E32:E39*Produccion!$K$8:$K$15)</f>
        <v>0</v>
      </c>
      <c r="O94" s="590">
        <f t="array" aca="1" ref="O94" ca="1">SUM(F32:F39*Produccion!$K$8:$K$15)</f>
        <v>0</v>
      </c>
      <c r="P94" s="590">
        <f t="array" aca="1" ref="P94" ca="1">SUM(G32:G39*Produccion!$K$8:$K$15)</f>
        <v>0</v>
      </c>
      <c r="Q94" s="590">
        <f t="array" aca="1" ref="Q94" ca="1">SUM(H32:H39*Produccion!$K$8:$K$15)</f>
        <v>0</v>
      </c>
      <c r="R94" s="590">
        <f t="array" aca="1" ref="R94" ca="1">SUM(I32:I39*Produccion!$K$8:$K$15)</f>
        <v>0</v>
      </c>
      <c r="S94" s="590">
        <f t="array" aca="1" ref="S94" ca="1">SUM(J32:J39*Produccion!$K$8:$K$15)</f>
        <v>0</v>
      </c>
      <c r="T94" s="590">
        <f t="array" aca="1" ref="T94" ca="1">SUM(K32:K39*Produccion!$K$8:$K$15)</f>
        <v>0</v>
      </c>
      <c r="U94" s="590">
        <f t="array" aca="1" ref="U94" ca="1">SUM(L32:L39*Produccion!$K$8:$K$15)</f>
        <v>0</v>
      </c>
      <c r="V94" s="590">
        <f t="array" aca="1" ref="V94" ca="1">SUM(M32:M39*Produccion!$K$8:$K$15)</f>
        <v>0</v>
      </c>
      <c r="W94" s="1964">
        <f t="array" aca="1" ref="W94:W103" ca="1">'Distr CV 2'!K94:K103</f>
        <v>0</v>
      </c>
      <c r="X94" s="1964">
        <f ca="1"/>
        <v>0</v>
      </c>
      <c r="Y94" s="1983">
        <f ca="1"/>
        <v>0</v>
      </c>
    </row>
    <row r="95" spans="1:26" ht="15.75" customHeight="1">
      <c r="A95" s="1971" t="str">
        <v>4 meses antes</v>
      </c>
      <c r="B95" s="1967"/>
      <c r="C95" s="1967"/>
      <c r="D95" s="1967"/>
      <c r="E95" s="1967"/>
      <c r="F95" s="1967"/>
      <c r="G95" s="1967"/>
      <c r="H95" s="1967"/>
      <c r="I95" s="1964"/>
      <c r="J95" s="590">
        <f t="array" aca="1" ref="J95" ca="1">SUM(B32:B39*Produccion!$J$8:$J$15)</f>
        <v>0</v>
      </c>
      <c r="K95" s="590">
        <f t="array" aca="1" ref="K95" ca="1">SUM(C32:C39*Produccion!$J$8:$J$15)</f>
        <v>0</v>
      </c>
      <c r="L95" s="590">
        <f t="array" aca="1" ref="L95" ca="1">SUM(D32:D39*Produccion!$J$8:$J$15)</f>
        <v>0</v>
      </c>
      <c r="M95" s="590">
        <f t="array" aca="1" ref="M95" ca="1">SUM(E32:E39*Produccion!$J$8:$J$15)</f>
        <v>0</v>
      </c>
      <c r="N95" s="590">
        <f t="array" aca="1" ref="N95" ca="1">SUM(F32:F39*Produccion!$J$8:$J$15)</f>
        <v>0</v>
      </c>
      <c r="O95" s="590">
        <f t="array" aca="1" ref="O95" ca="1">SUM(G32:G39*Produccion!$J$8:$J$15)</f>
        <v>0</v>
      </c>
      <c r="P95" s="590">
        <f t="array" aca="1" ref="P95" ca="1">SUM(H32:H39*Produccion!$J$8:$J$15)</f>
        <v>0</v>
      </c>
      <c r="Q95" s="590">
        <f t="array" aca="1" ref="Q95" ca="1">SUM(I32:I39*Produccion!$J$8:$J$15)</f>
        <v>0</v>
      </c>
      <c r="R95" s="590">
        <f t="array" aca="1" ref="R95" ca="1">SUM(J32:J39*Produccion!$J$8:$J$15)</f>
        <v>0</v>
      </c>
      <c r="S95" s="590">
        <f t="array" aca="1" ref="S95" ca="1">SUM(K32:K39*Produccion!$J$8:$J$15)</f>
        <v>0</v>
      </c>
      <c r="T95" s="590">
        <f t="array" aca="1" ref="T95" ca="1">SUM(L32:L39*Produccion!$J$8:$J$15)</f>
        <v>0</v>
      </c>
      <c r="U95" s="590">
        <f t="array" aca="1" ref="U95" ca="1">SUM(M32:M39*Produccion!$J$8:$J$15)</f>
        <v>0</v>
      </c>
      <c r="V95" s="1964">
        <f t="array" aca="1" ref="V95:V103" ca="1">'Distr CV 2'!J95:J103</f>
        <v>0</v>
      </c>
      <c r="W95" s="1964">
        <f ca="1"/>
        <v>0</v>
      </c>
      <c r="X95" s="1964">
        <f ca="1"/>
        <v>0</v>
      </c>
      <c r="Y95" s="1983">
        <f ca="1"/>
        <v>0</v>
      </c>
    </row>
    <row r="96" spans="1:26" ht="15.75" customHeight="1">
      <c r="A96" s="1971" t="str">
        <v>5 meses antes</v>
      </c>
      <c r="B96" s="1967"/>
      <c r="C96" s="1967"/>
      <c r="D96" s="1967"/>
      <c r="E96" s="1967"/>
      <c r="F96" s="1967"/>
      <c r="G96" s="1967"/>
      <c r="H96" s="1967"/>
      <c r="I96" s="590">
        <f t="array" aca="1" ref="I96" ca="1">SUM(B32:B39*Produccion!$I$8:$I$15)</f>
        <v>0</v>
      </c>
      <c r="J96" s="590">
        <f t="array" aca="1" ref="J96" ca="1">SUM(C32:C39*Produccion!$I$8:$I$15)</f>
        <v>0</v>
      </c>
      <c r="K96" s="590">
        <f t="array" aca="1" ref="K96" ca="1">SUM(D32:D39*Produccion!$I$8:$I$15)</f>
        <v>0</v>
      </c>
      <c r="L96" s="590">
        <f t="array" aca="1" ref="L96" ca="1">SUM(E32:E39*Produccion!$I$8:$I$15)</f>
        <v>0</v>
      </c>
      <c r="M96" s="590">
        <f t="array" aca="1" ref="M96" ca="1">SUM(F32:F39*Produccion!$I$8:$I$15)</f>
        <v>0</v>
      </c>
      <c r="N96" s="590">
        <f t="array" aca="1" ref="N96" ca="1">SUM(G32:G39*Produccion!$I$8:$I$15)</f>
        <v>0</v>
      </c>
      <c r="O96" s="590">
        <f t="array" aca="1" ref="O96" ca="1">SUM(H32:H39*Produccion!$I$8:$I$15)</f>
        <v>0</v>
      </c>
      <c r="P96" s="590">
        <f t="array" aca="1" ref="P96" ca="1">SUM(I32:I39*Produccion!$I$8:$I$15)</f>
        <v>0</v>
      </c>
      <c r="Q96" s="590">
        <f t="array" aca="1" ref="Q96" ca="1">SUM(J32:J39*Produccion!$I$8:$I$15)</f>
        <v>0</v>
      </c>
      <c r="R96" s="590">
        <f t="array" aca="1" ref="R96" ca="1">SUM(K32:K39*Produccion!$I$8:$I$15)</f>
        <v>0</v>
      </c>
      <c r="S96" s="590">
        <f t="array" aca="1" ref="S96" ca="1">SUM(L32:L39*Produccion!$I$8:$I$15)</f>
        <v>0</v>
      </c>
      <c r="T96" s="590">
        <f t="array" aca="1" ref="T96" ca="1">SUM(M32:M39*Produccion!$I$8:$I$15)</f>
        <v>0</v>
      </c>
      <c r="U96" s="1964">
        <f t="array" aca="1" ref="U96:U103" ca="1">'Distr CV 2'!I96:I103</f>
        <v>0</v>
      </c>
      <c r="V96" s="1964">
        <f ca="1"/>
        <v>0</v>
      </c>
      <c r="W96" s="1964">
        <f ca="1"/>
        <v>0</v>
      </c>
      <c r="X96" s="1964">
        <f ca="1"/>
        <v>0</v>
      </c>
      <c r="Y96" s="1983">
        <f ca="1"/>
        <v>0</v>
      </c>
    </row>
    <row r="97" spans="1:26" ht="15.75" customHeight="1">
      <c r="A97" s="1971" t="str">
        <v>6 meses antes</v>
      </c>
      <c r="B97" s="1967"/>
      <c r="C97" s="1967"/>
      <c r="D97" s="1967"/>
      <c r="E97" s="1967"/>
      <c r="F97" s="1967"/>
      <c r="G97" s="1967"/>
      <c r="H97" s="590">
        <f t="array" aca="1" ref="H97" ca="1">SUM(B32:B39*Produccion!$H$8:$H$15)</f>
        <v>0</v>
      </c>
      <c r="I97" s="590">
        <f t="array" aca="1" ref="I97" ca="1">SUM(C32:C39*Produccion!$H$8:$H$15)</f>
        <v>0</v>
      </c>
      <c r="J97" s="590">
        <f t="array" aca="1" ref="J97" ca="1">SUM(D32:D39*Produccion!$H$8:$H$15)</f>
        <v>0</v>
      </c>
      <c r="K97" s="590">
        <f t="array" aca="1" ref="K97" ca="1">SUM(E32:E39*Produccion!$H$8:$H$15)</f>
        <v>0</v>
      </c>
      <c r="L97" s="590">
        <f t="array" aca="1" ref="L97" ca="1">SUM(F32:F39*Produccion!$H$8:$H$15)</f>
        <v>0</v>
      </c>
      <c r="M97" s="590">
        <f t="array" aca="1" ref="M97" ca="1">SUM(G32:G39*Produccion!$H$8:$H$15)</f>
        <v>0</v>
      </c>
      <c r="N97" s="590">
        <f t="array" aca="1" ref="N97" ca="1">SUM(H32:H39*Produccion!$H$8:$H$15)</f>
        <v>0</v>
      </c>
      <c r="O97" s="590">
        <f t="array" aca="1" ref="O97" ca="1">SUM(I32:I39*Produccion!$H$8:$H$15)</f>
        <v>0</v>
      </c>
      <c r="P97" s="590">
        <f t="array" aca="1" ref="P97" ca="1">SUM(J32:J39*Produccion!$H$8:$H$15)</f>
        <v>0</v>
      </c>
      <c r="Q97" s="590">
        <f t="array" aca="1" ref="Q97" ca="1">SUM(K32:K39*Produccion!$H$8:$H$15)</f>
        <v>0</v>
      </c>
      <c r="R97" s="590">
        <f t="array" aca="1" ref="R97" ca="1">SUM(L32:L39*Produccion!$H$8:$H$15)</f>
        <v>0</v>
      </c>
      <c r="S97" s="590">
        <f t="array" aca="1" ref="S97" ca="1">SUM(M32:M39*Produccion!$H$8:$H$15)</f>
        <v>0</v>
      </c>
      <c r="T97" s="1964">
        <f t="array" aca="1" ref="T97:T103" ca="1">'Distr CV 2'!H97:H103</f>
        <v>0</v>
      </c>
      <c r="U97" s="1964">
        <f ca="1"/>
        <v>0</v>
      </c>
      <c r="V97" s="1964">
        <f ca="1"/>
        <v>0</v>
      </c>
      <c r="W97" s="1964">
        <f ca="1"/>
        <v>0</v>
      </c>
      <c r="X97" s="1964">
        <f ca="1"/>
        <v>0</v>
      </c>
      <c r="Y97" s="1983">
        <f ca="1"/>
        <v>0</v>
      </c>
    </row>
    <row r="98" spans="1:26" ht="15.75" customHeight="1">
      <c r="A98" s="1971" t="str">
        <v>7 meses antes</v>
      </c>
      <c r="B98" s="1967"/>
      <c r="C98" s="1967"/>
      <c r="D98" s="1967"/>
      <c r="E98" s="1967"/>
      <c r="F98" s="1967"/>
      <c r="G98" s="592">
        <f t="array" aca="1" ref="G98" ca="1">SUM(B32:B39*Produccion!$G$8:$G$15)</f>
        <v>0</v>
      </c>
      <c r="H98" s="592">
        <f t="array" aca="1" ref="H98" ca="1">SUM(C32:C39*Produccion!$G$8:$G$15)</f>
        <v>0</v>
      </c>
      <c r="I98" s="592">
        <f t="array" aca="1" ref="I98" ca="1">SUM(D32:D39*Produccion!$G$8:$G$15)</f>
        <v>0</v>
      </c>
      <c r="J98" s="592">
        <f t="array" aca="1" ref="J98" ca="1">SUM(E32:E39*Produccion!$G$8:$G$15)</f>
        <v>0</v>
      </c>
      <c r="K98" s="592">
        <f t="array" aca="1" ref="K98" ca="1">SUM(F32:F39*Produccion!$G$8:$G$15)</f>
        <v>0</v>
      </c>
      <c r="L98" s="592">
        <f t="array" aca="1" ref="L98" ca="1">SUM(G32:G39*Produccion!$G$8:$G$15)</f>
        <v>0</v>
      </c>
      <c r="M98" s="592">
        <f t="array" aca="1" ref="M98" ca="1">SUM(H32:H39*Produccion!$G$8:$G$15)</f>
        <v>0</v>
      </c>
      <c r="N98" s="592">
        <f t="array" aca="1" ref="N98" ca="1">SUM(I32:I39*Produccion!$G$8:$G$15)</f>
        <v>0</v>
      </c>
      <c r="O98" s="592">
        <f t="array" aca="1" ref="O98" ca="1">SUM(J32:J39*Produccion!$G$8:$G$15)</f>
        <v>0</v>
      </c>
      <c r="P98" s="592">
        <f t="array" aca="1" ref="P98" ca="1">SUM(K32:K39*Produccion!$G$8:$G$15)</f>
        <v>0</v>
      </c>
      <c r="Q98" s="592">
        <f t="array" aca="1" ref="Q98" ca="1">SUM(L32:L39*Produccion!$G$8:$G$15)</f>
        <v>0</v>
      </c>
      <c r="R98" s="592">
        <f t="array" aca="1" ref="R98" ca="1">SUM(M32:M39*Produccion!$G$8:$G$15)</f>
        <v>0</v>
      </c>
      <c r="S98" s="1968">
        <f t="array" aca="1" ref="S98:S103" ca="1">'Distr CV 2'!G98:G103</f>
        <v>0</v>
      </c>
      <c r="T98" s="1968">
        <f ca="1"/>
        <v>0</v>
      </c>
      <c r="U98" s="1968">
        <f ca="1"/>
        <v>0</v>
      </c>
      <c r="V98" s="1968">
        <f ca="1"/>
        <v>0</v>
      </c>
      <c r="W98" s="1968">
        <f ca="1"/>
        <v>0</v>
      </c>
      <c r="X98" s="1968">
        <f ca="1"/>
        <v>0</v>
      </c>
      <c r="Y98" s="1986">
        <f ca="1"/>
        <v>0</v>
      </c>
    </row>
    <row r="99" spans="1:26" ht="15.75" customHeight="1">
      <c r="A99" s="1971" t="str">
        <v>8 meses antes</v>
      </c>
      <c r="B99" s="1967"/>
      <c r="C99" s="1967"/>
      <c r="D99" s="1967"/>
      <c r="E99" s="1967"/>
      <c r="F99" s="592">
        <f t="array" aca="1" ref="F99" ca="1">SUM(B32:B39*Produccion!$F$8:$F$15)</f>
        <v>0</v>
      </c>
      <c r="G99" s="592">
        <f t="array" aca="1" ref="G99" ca="1">SUM(C32:C39*Produccion!$F$8:$F$15)</f>
        <v>0</v>
      </c>
      <c r="H99" s="592">
        <f t="array" aca="1" ref="H99" ca="1">SUM(D32:D39*Produccion!$F$8:$F$15)</f>
        <v>0</v>
      </c>
      <c r="I99" s="592">
        <f t="array" aca="1" ref="I99" ca="1">SUM(E32:E39*Produccion!$F$8:$F$15)</f>
        <v>0</v>
      </c>
      <c r="J99" s="592">
        <f t="array" aca="1" ref="J99" ca="1">SUM(F32:F39*Produccion!$F$8:$F$15)</f>
        <v>0</v>
      </c>
      <c r="K99" s="592">
        <f t="array" aca="1" ref="K99" ca="1">SUM(G32:G39*Produccion!$F$8:$F$15)</f>
        <v>0</v>
      </c>
      <c r="L99" s="592">
        <f t="array" aca="1" ref="L99" ca="1">SUM(H32:H39*Produccion!$F$8:$F$15)</f>
        <v>0</v>
      </c>
      <c r="M99" s="592">
        <f t="array" aca="1" ref="M99" ca="1">SUM(I32:I39*Produccion!$F$8:$F$15)</f>
        <v>0</v>
      </c>
      <c r="N99" s="592">
        <f t="array" aca="1" ref="N99" ca="1">SUM(J32:J39*Produccion!$F$8:$F$15)</f>
        <v>0</v>
      </c>
      <c r="O99" s="592">
        <f t="array" aca="1" ref="O99" ca="1">SUM(K32:K39*Produccion!$F$8:$F$15)</f>
        <v>0</v>
      </c>
      <c r="P99" s="592">
        <f t="array" aca="1" ref="P99" ca="1">SUM(L32:L39*Produccion!$F$8:$F$15)</f>
        <v>0</v>
      </c>
      <c r="Q99" s="592">
        <f t="array" aca="1" ref="Q99" ca="1">SUM(M32:M39*Produccion!$F$8:$F$15)</f>
        <v>0</v>
      </c>
      <c r="R99" s="1968">
        <f t="array" aca="1" ref="R99:R103" ca="1">'Distr CV 2'!F99:F103</f>
        <v>0</v>
      </c>
      <c r="S99" s="1968">
        <f ca="1"/>
        <v>0</v>
      </c>
      <c r="T99" s="1968">
        <f ca="1"/>
        <v>0</v>
      </c>
      <c r="U99" s="1968">
        <f ca="1"/>
        <v>0</v>
      </c>
      <c r="V99" s="1968">
        <f ca="1"/>
        <v>0</v>
      </c>
      <c r="W99" s="1968">
        <f ca="1"/>
        <v>0</v>
      </c>
      <c r="X99" s="1968">
        <f ca="1"/>
        <v>0</v>
      </c>
      <c r="Y99" s="1986">
        <f ca="1"/>
        <v>0</v>
      </c>
    </row>
    <row r="100" spans="1:26" ht="15.75" customHeight="1">
      <c r="A100" s="1971" t="str">
        <v>9 meses antes</v>
      </c>
      <c r="B100" s="1967"/>
      <c r="C100" s="1967"/>
      <c r="D100" s="1967"/>
      <c r="E100" s="592">
        <f t="array" aca="1" ref="E100" ca="1">SUM(B32:B39*Produccion!$E$8:$E$15)</f>
        <v>0</v>
      </c>
      <c r="F100" s="592">
        <f t="array" aca="1" ref="F100" ca="1">SUM(C32:C39*Produccion!$E$8:$E$15)</f>
        <v>0</v>
      </c>
      <c r="G100" s="592">
        <f t="array" aca="1" ref="G100" ca="1">SUM(D32:D39*Produccion!$E$8:$E$15)</f>
        <v>0</v>
      </c>
      <c r="H100" s="592">
        <f t="array" aca="1" ref="H100" ca="1">SUM(E32:E39*Produccion!$E$8:$E$15)</f>
        <v>0</v>
      </c>
      <c r="I100" s="592">
        <f t="array" aca="1" ref="I100" ca="1">SUM(F32:F39*Produccion!$E$8:$E$15)</f>
        <v>0</v>
      </c>
      <c r="J100" s="592">
        <f t="array" aca="1" ref="J100" ca="1">SUM(G32:G39*Produccion!$E$8:$E$15)</f>
        <v>0</v>
      </c>
      <c r="K100" s="592">
        <f t="array" aca="1" ref="K100" ca="1">SUM(H32:H39*Produccion!$E$8:$E$15)</f>
        <v>0</v>
      </c>
      <c r="L100" s="592">
        <f t="array" aca="1" ref="L100" ca="1">SUM(I32:I39*Produccion!$E$8:$E$15)</f>
        <v>0</v>
      </c>
      <c r="M100" s="592">
        <f t="array" aca="1" ref="M100" ca="1">SUM(J32:J39*Produccion!$E$8:$E$15)</f>
        <v>0</v>
      </c>
      <c r="N100" s="592">
        <f t="array" aca="1" ref="N100" ca="1">SUM(K32:K39*Produccion!$E$8:$E$15)</f>
        <v>0</v>
      </c>
      <c r="O100" s="592">
        <f t="array" aca="1" ref="O100" ca="1">SUM(L32:L39*Produccion!$E$8:$E$15)</f>
        <v>0</v>
      </c>
      <c r="P100" s="592">
        <f t="array" aca="1" ref="P100" ca="1">SUM(M32:M39*Produccion!$E$8:$E$15)</f>
        <v>0</v>
      </c>
      <c r="Q100" s="1968">
        <f t="array" aca="1" ref="Q100:Q103" ca="1">'Distr CV 2'!E100:E103</f>
        <v>0</v>
      </c>
      <c r="R100" s="1968">
        <f ca="1"/>
        <v>0</v>
      </c>
      <c r="S100" s="1968">
        <f ca="1"/>
        <v>0</v>
      </c>
      <c r="T100" s="1968">
        <f ca="1"/>
        <v>0</v>
      </c>
      <c r="U100" s="1968">
        <f ca="1"/>
        <v>0</v>
      </c>
      <c r="V100" s="1968">
        <f ca="1"/>
        <v>0</v>
      </c>
      <c r="W100" s="1968">
        <f ca="1"/>
        <v>0</v>
      </c>
      <c r="X100" s="1968">
        <f ca="1"/>
        <v>0</v>
      </c>
      <c r="Y100" s="1986">
        <f ca="1"/>
        <v>0</v>
      </c>
    </row>
    <row r="101" spans="1:26" ht="15.75" customHeight="1">
      <c r="A101" s="1971" t="str">
        <v>10 meses antes</v>
      </c>
      <c r="B101" s="1967"/>
      <c r="C101" s="1967"/>
      <c r="D101" s="591">
        <f t="array" aca="1" ref="D101" ca="1">SUM(B32:B39*Produccion!$D$8:$D$15)</f>
        <v>0</v>
      </c>
      <c r="E101" s="591">
        <f t="array" aca="1" ref="E101" ca="1">SUM(C32:C39*Produccion!$D$8:$D$15)</f>
        <v>0</v>
      </c>
      <c r="F101" s="591">
        <f t="array" aca="1" ref="F101" ca="1">SUM(D32:D39*Produccion!$D$8:$D$15)</f>
        <v>0</v>
      </c>
      <c r="G101" s="591">
        <f t="array" aca="1" ref="G101" ca="1">SUM(E32:E39*Produccion!$D$8:$D$15)</f>
        <v>0</v>
      </c>
      <c r="H101" s="591">
        <f t="array" aca="1" ref="H101" ca="1">SUM(F32:F39*Produccion!$D$8:$D$15)</f>
        <v>0</v>
      </c>
      <c r="I101" s="591">
        <f t="array" aca="1" ref="I101" ca="1">SUM(G32:G39*Produccion!$D$8:$D$15)</f>
        <v>0</v>
      </c>
      <c r="J101" s="591">
        <f t="array" aca="1" ref="J101" ca="1">SUM(H32:H39*Produccion!$D$8:$D$15)</f>
        <v>0</v>
      </c>
      <c r="K101" s="591">
        <f t="array" aca="1" ref="K101" ca="1">SUM(I32:I39*Produccion!$D$8:$D$15)</f>
        <v>0</v>
      </c>
      <c r="L101" s="591">
        <f t="array" aca="1" ref="L101" ca="1">SUM(J32:J39*Produccion!$D$8:$D$15)</f>
        <v>0</v>
      </c>
      <c r="M101" s="591">
        <f t="array" aca="1" ref="M101" ca="1">SUM(K32:K39*Produccion!$D$8:$D$15)</f>
        <v>0</v>
      </c>
      <c r="N101" s="591">
        <f t="array" aca="1" ref="N101" ca="1">SUM(L32:L39*Produccion!$D$8:$D$15)</f>
        <v>0</v>
      </c>
      <c r="O101" s="591">
        <f t="array" aca="1" ref="O101" ca="1">SUM(M32:M39*Produccion!$D$8:$D$15)</f>
        <v>0</v>
      </c>
      <c r="P101" s="1968">
        <f t="array" aca="1" ref="P101:P103" ca="1">'Distr CV 2'!D101:D103</f>
        <v>0</v>
      </c>
      <c r="Q101" s="1968">
        <f ca="1"/>
        <v>0</v>
      </c>
      <c r="R101" s="1968">
        <f ca="1"/>
        <v>0</v>
      </c>
      <c r="S101" s="1968">
        <f ca="1"/>
        <v>0</v>
      </c>
      <c r="T101" s="1968">
        <f ca="1"/>
        <v>0</v>
      </c>
      <c r="U101" s="1968">
        <f ca="1"/>
        <v>0</v>
      </c>
      <c r="V101" s="1968">
        <f ca="1"/>
        <v>0</v>
      </c>
      <c r="W101" s="1968">
        <f ca="1"/>
        <v>0</v>
      </c>
      <c r="X101" s="1968">
        <f ca="1"/>
        <v>0</v>
      </c>
      <c r="Y101" s="1986">
        <f ca="1"/>
        <v>0</v>
      </c>
    </row>
    <row r="102" spans="1:26" ht="15.75" customHeight="1">
      <c r="A102" s="1971" t="str">
        <v>11 meses antes</v>
      </c>
      <c r="B102" s="1967"/>
      <c r="C102" s="592">
        <f t="array" aca="1" ref="C102" ca="1">SUM(B32:B39*Produccion!$C$8:$C$15)</f>
        <v>0</v>
      </c>
      <c r="D102" s="592">
        <f t="array" aca="1" ref="D102" ca="1">SUM(C32:C39*Produccion!$C$8:$C$15)</f>
        <v>0</v>
      </c>
      <c r="E102" s="592">
        <f t="array" aca="1" ref="E102" ca="1">SUM(D32:D39*Produccion!$C$8:$C$15)</f>
        <v>0</v>
      </c>
      <c r="F102" s="592">
        <f t="array" aca="1" ref="F102" ca="1">SUM(E32:E39*Produccion!$C$8:$C$15)</f>
        <v>0</v>
      </c>
      <c r="G102" s="592">
        <f t="array" aca="1" ref="G102" ca="1">SUM(F32:F39*Produccion!$C$8:$C$15)</f>
        <v>0</v>
      </c>
      <c r="H102" s="592">
        <f t="array" aca="1" ref="H102" ca="1">SUM(G32:G39*Produccion!$C$8:$C$15)</f>
        <v>0</v>
      </c>
      <c r="I102" s="592">
        <f t="array" aca="1" ref="I102" ca="1">SUM(H32:H39*Produccion!$C$8:$C$15)</f>
        <v>0</v>
      </c>
      <c r="J102" s="592">
        <f t="array" aca="1" ref="J102" ca="1">SUM(I32:I39*Produccion!$C$8:$C$15)</f>
        <v>0</v>
      </c>
      <c r="K102" s="592">
        <f t="array" aca="1" ref="K102" ca="1">SUM(J32:J39*Produccion!$C$8:$C$15)</f>
        <v>0</v>
      </c>
      <c r="L102" s="592">
        <f t="array" aca="1" ref="L102" ca="1">SUM(K32:K39*Produccion!$C$8:$C$15)</f>
        <v>0</v>
      </c>
      <c r="M102" s="592">
        <f t="array" aca="1" ref="M102" ca="1">SUM(L32:L39*Produccion!$C$8:$C$15)</f>
        <v>0</v>
      </c>
      <c r="N102" s="592">
        <f t="array" aca="1" ref="N102" ca="1">SUM(M32:M39*Produccion!$C$8:$C$15)</f>
        <v>0</v>
      </c>
      <c r="O102" s="1968">
        <f ca="1">'Distr CV 2'!C102</f>
        <v>0</v>
      </c>
      <c r="P102" s="1968">
        <f ca="1"/>
        <v>0</v>
      </c>
      <c r="Q102" s="1968">
        <f ca="1"/>
        <v>0</v>
      </c>
      <c r="R102" s="1968">
        <f ca="1"/>
        <v>0</v>
      </c>
      <c r="S102" s="1968">
        <f ca="1"/>
        <v>0</v>
      </c>
      <c r="T102" s="1968">
        <f ca="1"/>
        <v>0</v>
      </c>
      <c r="U102" s="1968">
        <f ca="1"/>
        <v>0</v>
      </c>
      <c r="V102" s="1968">
        <f ca="1"/>
        <v>0</v>
      </c>
      <c r="W102" s="1968">
        <f ca="1"/>
        <v>0</v>
      </c>
      <c r="X102" s="1968">
        <f ca="1"/>
        <v>0</v>
      </c>
      <c r="Y102" s="1986">
        <f ca="1"/>
        <v>0</v>
      </c>
    </row>
    <row r="103" spans="1:26" ht="15.75" customHeight="1" thickBot="1">
      <c r="A103" s="1971" t="str">
        <v>12 meses antes</v>
      </c>
      <c r="B103" s="592">
        <f t="array" aca="1" ref="B103" ca="1">SUM(B32:B39*Produccion!$B$8:$B$15)</f>
        <v>0</v>
      </c>
      <c r="C103" s="592">
        <f t="array" aca="1" ref="C103" ca="1">SUM(C32:C39*Produccion!$B$8:$B$15)</f>
        <v>0</v>
      </c>
      <c r="D103" s="592">
        <f t="array" aca="1" ref="D103" ca="1">SUM(D32:D39*Produccion!$B$8:$B$15)</f>
        <v>0</v>
      </c>
      <c r="E103" s="592">
        <f t="array" aca="1" ref="E103" ca="1">SUM(E32:E39*Produccion!$B$8:$B$15)</f>
        <v>0</v>
      </c>
      <c r="F103" s="592">
        <f t="array" aca="1" ref="F103" ca="1">SUM(F32:F39*Produccion!$B$8:$B$15)</f>
        <v>0</v>
      </c>
      <c r="G103" s="592">
        <f t="array" aca="1" ref="G103" ca="1">SUM(G32:G39*Produccion!$B$8:$B$15)</f>
        <v>0</v>
      </c>
      <c r="H103" s="592">
        <f t="array" aca="1" ref="H103" ca="1">SUM(H32:H39*Produccion!$B$8:$B$15)</f>
        <v>0</v>
      </c>
      <c r="I103" s="592">
        <f t="array" aca="1" ref="I103" ca="1">SUM(I32:I39*Produccion!$B$8:$B$15)</f>
        <v>0</v>
      </c>
      <c r="J103" s="592">
        <f t="array" aca="1" ref="J103" ca="1">SUM(J32:J39*Produccion!$B$8:$B$15)</f>
        <v>0</v>
      </c>
      <c r="K103" s="592">
        <f t="array" aca="1" ref="K103" ca="1">SUM(K32:K39*Produccion!$B$8:$B$15)</f>
        <v>0</v>
      </c>
      <c r="L103" s="592">
        <f t="array" aca="1" ref="L103" ca="1">SUM(L32:L39*Produccion!$B$8:$B$15)</f>
        <v>0</v>
      </c>
      <c r="M103" s="592">
        <f t="array" aca="1" ref="M103" ca="1">SUM(M32:M39*Produccion!$B$8:$B$15)</f>
        <v>0</v>
      </c>
      <c r="N103" s="1968">
        <f ca="1">'Distr CV 2'!B103</f>
        <v>0</v>
      </c>
      <c r="O103" s="1968">
        <f ca="1">'Distr CV 2'!C103</f>
        <v>0</v>
      </c>
      <c r="P103" s="1968">
        <f ca="1"/>
        <v>0</v>
      </c>
      <c r="Q103" s="1968">
        <f ca="1"/>
        <v>0</v>
      </c>
      <c r="R103" s="1968">
        <f ca="1"/>
        <v>0</v>
      </c>
      <c r="S103" s="1968">
        <f ca="1"/>
        <v>0</v>
      </c>
      <c r="T103" s="1968">
        <f ca="1"/>
        <v>0</v>
      </c>
      <c r="U103" s="1968">
        <f ca="1"/>
        <v>0</v>
      </c>
      <c r="V103" s="1968">
        <f ca="1"/>
        <v>0</v>
      </c>
      <c r="W103" s="1968">
        <f ca="1"/>
        <v>0</v>
      </c>
      <c r="X103" s="1968">
        <f ca="1"/>
        <v>0</v>
      </c>
      <c r="Y103" s="1986">
        <f ca="1"/>
        <v>0</v>
      </c>
    </row>
    <row r="104" spans="1:26" ht="15.75" customHeight="1" thickBot="1">
      <c r="A104" s="103" t="str">
        <v>Totales</v>
      </c>
      <c r="B104" s="596">
        <f t="shared" ref="B104:Y104" ca="1" si="9">SUM(B91:B103)</f>
        <v>0</v>
      </c>
      <c r="C104" s="596">
        <f t="shared" ca="1" si="9"/>
        <v>0</v>
      </c>
      <c r="D104" s="596">
        <f t="shared" ca="1" si="9"/>
        <v>0</v>
      </c>
      <c r="E104" s="596">
        <f t="shared" ca="1" si="9"/>
        <v>0</v>
      </c>
      <c r="F104" s="596">
        <f t="shared" ca="1" si="9"/>
        <v>0</v>
      </c>
      <c r="G104" s="596">
        <f t="shared" ca="1" si="9"/>
        <v>0</v>
      </c>
      <c r="H104" s="596">
        <f t="shared" ca="1" si="9"/>
        <v>0</v>
      </c>
      <c r="I104" s="596">
        <f t="shared" ca="1" si="9"/>
        <v>0</v>
      </c>
      <c r="J104" s="596">
        <f t="shared" ca="1" si="9"/>
        <v>0</v>
      </c>
      <c r="K104" s="596">
        <f t="shared" ca="1" si="9"/>
        <v>0</v>
      </c>
      <c r="L104" s="596">
        <f t="shared" ca="1" si="9"/>
        <v>0</v>
      </c>
      <c r="M104" s="596">
        <f t="shared" ca="1" si="9"/>
        <v>0</v>
      </c>
      <c r="N104" s="596">
        <f t="shared" ca="1" si="9"/>
        <v>58.8</v>
      </c>
      <c r="O104" s="596">
        <f t="shared" ca="1" si="9"/>
        <v>73.500000000000014</v>
      </c>
      <c r="P104" s="596">
        <f t="shared" ca="1" si="9"/>
        <v>80.850000000000009</v>
      </c>
      <c r="Q104" s="596">
        <f t="shared" ca="1" si="9"/>
        <v>77.175000000000011</v>
      </c>
      <c r="R104" s="596">
        <f t="shared" ca="1" si="9"/>
        <v>66.150000000000006</v>
      </c>
      <c r="S104" s="596">
        <f t="shared" ca="1" si="9"/>
        <v>62.474999999999994</v>
      </c>
      <c r="T104" s="596">
        <f t="shared" ca="1" si="9"/>
        <v>58.8</v>
      </c>
      <c r="U104" s="596">
        <f t="shared" ca="1" si="9"/>
        <v>44.1</v>
      </c>
      <c r="V104" s="596">
        <f t="shared" ca="1" si="9"/>
        <v>58.8</v>
      </c>
      <c r="W104" s="596">
        <f t="shared" ca="1" si="9"/>
        <v>69.825000000000003</v>
      </c>
      <c r="X104" s="596">
        <f t="shared" ca="1" si="9"/>
        <v>73.500000000000014</v>
      </c>
      <c r="Y104" s="1984">
        <f t="shared" ca="1" si="9"/>
        <v>88.2</v>
      </c>
    </row>
    <row r="106" spans="1:26">
      <c r="A106" s="232" t="str">
        <f>'Datos Básicos'!A28&amp;" del pendiente anterior"</f>
        <v>IVA del pendiente anterior</v>
      </c>
      <c r="B106" s="61">
        <f ca="1">SUM(B104:M104)</f>
        <v>0</v>
      </c>
    </row>
    <row r="108" spans="1:26">
      <c r="F108" s="61" t="s">
        <v>885</v>
      </c>
      <c r="K108" s="61" t="s">
        <v>887</v>
      </c>
    </row>
    <row r="109" spans="1:26" ht="18.75" thickBot="1">
      <c r="A109" s="1969" t="str">
        <f>'Distr CV 0'!A109</f>
        <v>Compras / costes de producción por meses de producto o servicio</v>
      </c>
      <c r="I109" s="1969" t="str">
        <f>I$18</f>
        <v>IVA NO incluido</v>
      </c>
      <c r="K109" s="1981">
        <f>Parametros!$F$24</f>
        <v>0.21</v>
      </c>
    </row>
    <row r="110" spans="1:26" s="445" customFormat="1" ht="30" customHeight="1" thickBot="1">
      <c r="A110" s="446" t="s">
        <v>886</v>
      </c>
      <c r="B110" s="1987" t="str">
        <f t="array" ref="B110:Y110">B$71:Y$71</f>
        <v>enero 
2026</v>
      </c>
      <c r="C110" s="1987" t="str">
        <v>febrero 
2026</v>
      </c>
      <c r="D110" s="1987" t="str">
        <v>marzo 
2026</v>
      </c>
      <c r="E110" s="1987" t="str">
        <v>abril 
2026</v>
      </c>
      <c r="F110" s="1987" t="str">
        <v>mayo 
2026</v>
      </c>
      <c r="G110" s="1987" t="str">
        <v>junio 
2026</v>
      </c>
      <c r="H110" s="1987" t="str">
        <v>julio 
2026</v>
      </c>
      <c r="I110" s="1987" t="str">
        <v>agosto 
2026</v>
      </c>
      <c r="J110" s="1987" t="str">
        <v>septiembre 
2026</v>
      </c>
      <c r="K110" s="1987" t="str">
        <v>octubre 
2026</v>
      </c>
      <c r="L110" s="1987" t="str">
        <v>noviembre 
2026</v>
      </c>
      <c r="M110" s="1987" t="str">
        <v>diciembre 
2026</v>
      </c>
      <c r="N110" s="2703" t="str">
        <v>enero 
2027</v>
      </c>
      <c r="O110" s="2704" t="str">
        <v>febrero 
2027</v>
      </c>
      <c r="P110" s="2704" t="str">
        <v>marzo 
2027</v>
      </c>
      <c r="Q110" s="2704" t="str">
        <v>abril 
2027</v>
      </c>
      <c r="R110" s="2704" t="str">
        <v>mayo 
2027</v>
      </c>
      <c r="S110" s="2704" t="str">
        <v>junio 
2027</v>
      </c>
      <c r="T110" s="2704" t="str">
        <v>julio 
2027</v>
      </c>
      <c r="U110" s="2704" t="str">
        <v>agosto 
2027</v>
      </c>
      <c r="V110" s="2704" t="str">
        <v>septiembre 
2027</v>
      </c>
      <c r="W110" s="2704" t="str">
        <v>octubre 
2027</v>
      </c>
      <c r="X110" s="2704" t="str">
        <v>noviembre 
2027</v>
      </c>
      <c r="Y110" s="2705" t="str">
        <v>diciembre 
2027</v>
      </c>
      <c r="Z110" s="61"/>
    </row>
    <row r="111" spans="1:26">
      <c r="A111" s="1970" t="str">
        <f t="array" ref="A111:A123">A$72:A$84</f>
        <v>mismo mes</v>
      </c>
      <c r="B111" s="1967"/>
      <c r="C111" s="1967"/>
      <c r="D111" s="1967"/>
      <c r="E111" s="1967"/>
      <c r="F111" s="1967"/>
      <c r="G111" s="1967"/>
      <c r="H111" s="1967"/>
      <c r="I111" s="1967"/>
      <c r="J111" s="1967"/>
      <c r="K111" s="1967"/>
      <c r="L111" s="1967"/>
      <c r="M111" s="1967"/>
      <c r="N111" s="592">
        <f t="array" aca="1" ref="N111:Y111" ca="1">B$20:M20*Produccion!$N$8</f>
        <v>280</v>
      </c>
      <c r="O111" s="592">
        <f ca="1"/>
        <v>350.00000000000006</v>
      </c>
      <c r="P111" s="592">
        <f ca="1"/>
        <v>385.00000000000006</v>
      </c>
      <c r="Q111" s="592">
        <f ca="1"/>
        <v>367.50000000000006</v>
      </c>
      <c r="R111" s="592">
        <f ca="1"/>
        <v>315.00000000000006</v>
      </c>
      <c r="S111" s="592">
        <f ca="1"/>
        <v>297.5</v>
      </c>
      <c r="T111" s="592">
        <f ca="1"/>
        <v>280</v>
      </c>
      <c r="U111" s="592">
        <f ca="1"/>
        <v>210.00000000000003</v>
      </c>
      <c r="V111" s="592">
        <f ca="1"/>
        <v>280</v>
      </c>
      <c r="W111" s="592">
        <f ca="1"/>
        <v>332.50000000000006</v>
      </c>
      <c r="X111" s="592">
        <f ca="1"/>
        <v>350.00000000000006</v>
      </c>
      <c r="Y111" s="1982">
        <f ca="1"/>
        <v>420.00000000000006</v>
      </c>
    </row>
    <row r="112" spans="1:26">
      <c r="A112" s="1971" t="str">
        <v>1 mes antes</v>
      </c>
      <c r="B112" s="1967"/>
      <c r="C112" s="1967"/>
      <c r="D112" s="1967"/>
      <c r="E112" s="1967"/>
      <c r="F112" s="1967"/>
      <c r="G112" s="1967"/>
      <c r="H112" s="1967"/>
      <c r="I112" s="1967"/>
      <c r="J112" s="1967"/>
      <c r="K112" s="1967"/>
      <c r="L112" s="1967"/>
      <c r="M112" s="592">
        <f t="array" aca="1" ref="M112:X112" ca="1">B$20:M20*Produccion!$M$8</f>
        <v>0</v>
      </c>
      <c r="N112" s="592">
        <f ca="1"/>
        <v>0</v>
      </c>
      <c r="O112" s="592">
        <f ca="1"/>
        <v>0</v>
      </c>
      <c r="P112" s="592">
        <f ca="1"/>
        <v>0</v>
      </c>
      <c r="Q112" s="592">
        <f ca="1"/>
        <v>0</v>
      </c>
      <c r="R112" s="592">
        <f ca="1"/>
        <v>0</v>
      </c>
      <c r="S112" s="592">
        <f ca="1"/>
        <v>0</v>
      </c>
      <c r="T112" s="592">
        <f ca="1"/>
        <v>0</v>
      </c>
      <c r="U112" s="592">
        <f ca="1"/>
        <v>0</v>
      </c>
      <c r="V112" s="592">
        <f ca="1"/>
        <v>0</v>
      </c>
      <c r="W112" s="592">
        <f ca="1"/>
        <v>0</v>
      </c>
      <c r="X112" s="592">
        <f ca="1"/>
        <v>0</v>
      </c>
      <c r="Y112" s="1983">
        <f t="array" aca="1" ref="Y112:Y123" ca="1">'Distr CV 2'!M112:M123</f>
        <v>0</v>
      </c>
    </row>
    <row r="113" spans="1:25">
      <c r="A113" s="1971" t="str">
        <v>2 meses antes</v>
      </c>
      <c r="B113" s="1967"/>
      <c r="C113" s="1967"/>
      <c r="D113" s="1967"/>
      <c r="E113" s="1967"/>
      <c r="F113" s="1967"/>
      <c r="G113" s="1967"/>
      <c r="H113" s="1967"/>
      <c r="I113" s="1967"/>
      <c r="J113" s="1967"/>
      <c r="K113" s="1967"/>
      <c r="L113" s="592">
        <f t="array" aca="1" ref="L113:W113" ca="1">B$20:M20*Produccion!$L$8</f>
        <v>0</v>
      </c>
      <c r="M113" s="592">
        <f ca="1"/>
        <v>0</v>
      </c>
      <c r="N113" s="592">
        <f ca="1"/>
        <v>0</v>
      </c>
      <c r="O113" s="592">
        <f ca="1"/>
        <v>0</v>
      </c>
      <c r="P113" s="592">
        <f ca="1"/>
        <v>0</v>
      </c>
      <c r="Q113" s="592">
        <f ca="1"/>
        <v>0</v>
      </c>
      <c r="R113" s="592">
        <f ca="1"/>
        <v>0</v>
      </c>
      <c r="S113" s="592">
        <f ca="1"/>
        <v>0</v>
      </c>
      <c r="T113" s="592">
        <f ca="1"/>
        <v>0</v>
      </c>
      <c r="U113" s="592">
        <f ca="1"/>
        <v>0</v>
      </c>
      <c r="V113" s="592">
        <f ca="1"/>
        <v>0</v>
      </c>
      <c r="W113" s="592">
        <f ca="1"/>
        <v>0</v>
      </c>
      <c r="X113" s="1964">
        <f t="array" aca="1" ref="X113:X123" ca="1">'Distr CV 2'!L113:L123</f>
        <v>0</v>
      </c>
      <c r="Y113" s="1983">
        <f ca="1"/>
        <v>0</v>
      </c>
    </row>
    <row r="114" spans="1:25">
      <c r="A114" s="1971" t="str">
        <v>3 meses antes</v>
      </c>
      <c r="B114" s="1967"/>
      <c r="C114" s="1967"/>
      <c r="D114" s="1967"/>
      <c r="E114" s="1967"/>
      <c r="F114" s="1967"/>
      <c r="G114" s="1967"/>
      <c r="H114" s="1967"/>
      <c r="I114" s="1967"/>
      <c r="J114" s="1967"/>
      <c r="K114" s="592">
        <f t="array" aca="1" ref="K114:V114" ca="1">B$20:M20*Produccion!$K$8</f>
        <v>0</v>
      </c>
      <c r="L114" s="592">
        <f ca="1"/>
        <v>0</v>
      </c>
      <c r="M114" s="592">
        <f ca="1"/>
        <v>0</v>
      </c>
      <c r="N114" s="592">
        <f ca="1"/>
        <v>0</v>
      </c>
      <c r="O114" s="592">
        <f ca="1"/>
        <v>0</v>
      </c>
      <c r="P114" s="592">
        <f ca="1"/>
        <v>0</v>
      </c>
      <c r="Q114" s="592">
        <f ca="1"/>
        <v>0</v>
      </c>
      <c r="R114" s="592">
        <f ca="1"/>
        <v>0</v>
      </c>
      <c r="S114" s="592">
        <f ca="1"/>
        <v>0</v>
      </c>
      <c r="T114" s="592">
        <f ca="1"/>
        <v>0</v>
      </c>
      <c r="U114" s="592">
        <f ca="1"/>
        <v>0</v>
      </c>
      <c r="V114" s="592">
        <f ca="1"/>
        <v>0</v>
      </c>
      <c r="W114" s="1964">
        <f t="array" aca="1" ref="W114:W123" ca="1">'Distr CV 2'!K114:K123</f>
        <v>0</v>
      </c>
      <c r="X114" s="1964">
        <f ca="1"/>
        <v>0</v>
      </c>
      <c r="Y114" s="1983">
        <f ca="1"/>
        <v>0</v>
      </c>
    </row>
    <row r="115" spans="1:25">
      <c r="A115" s="1971" t="str">
        <v>4 meses antes</v>
      </c>
      <c r="B115" s="1967"/>
      <c r="C115" s="1967"/>
      <c r="D115" s="1967"/>
      <c r="E115" s="1967"/>
      <c r="F115" s="1967"/>
      <c r="G115" s="1967"/>
      <c r="H115" s="1967"/>
      <c r="I115" s="1967"/>
      <c r="J115" s="592">
        <f t="array" aca="1" ref="J115:U115" ca="1">B$20:M20*Produccion!$J$8</f>
        <v>0</v>
      </c>
      <c r="K115" s="592">
        <f ca="1"/>
        <v>0</v>
      </c>
      <c r="L115" s="592">
        <f ca="1"/>
        <v>0</v>
      </c>
      <c r="M115" s="592">
        <f ca="1"/>
        <v>0</v>
      </c>
      <c r="N115" s="592">
        <f ca="1"/>
        <v>0</v>
      </c>
      <c r="O115" s="592">
        <f ca="1"/>
        <v>0</v>
      </c>
      <c r="P115" s="592">
        <f ca="1"/>
        <v>0</v>
      </c>
      <c r="Q115" s="592">
        <f ca="1"/>
        <v>0</v>
      </c>
      <c r="R115" s="592">
        <f ca="1"/>
        <v>0</v>
      </c>
      <c r="S115" s="592">
        <f ca="1"/>
        <v>0</v>
      </c>
      <c r="T115" s="592">
        <f ca="1"/>
        <v>0</v>
      </c>
      <c r="U115" s="592">
        <f ca="1"/>
        <v>0</v>
      </c>
      <c r="V115" s="1964">
        <f t="array" aca="1" ref="V115:V123" ca="1">'Distr CV 2'!J115:J123</f>
        <v>0</v>
      </c>
      <c r="W115" s="1964">
        <f ca="1"/>
        <v>0</v>
      </c>
      <c r="X115" s="1964">
        <f ca="1"/>
        <v>0</v>
      </c>
      <c r="Y115" s="1983">
        <f ca="1"/>
        <v>0</v>
      </c>
    </row>
    <row r="116" spans="1:25">
      <c r="A116" s="1971" t="str">
        <v>5 meses antes</v>
      </c>
      <c r="B116" s="1967"/>
      <c r="C116" s="1967"/>
      <c r="D116" s="1967"/>
      <c r="E116" s="1967"/>
      <c r="F116" s="1967"/>
      <c r="G116" s="1967"/>
      <c r="H116" s="1967"/>
      <c r="I116" s="592">
        <f t="array" aca="1" ref="I116:T116" ca="1">B$20:M20*Produccion!$I$8</f>
        <v>0</v>
      </c>
      <c r="J116" s="592">
        <f ca="1"/>
        <v>0</v>
      </c>
      <c r="K116" s="592">
        <f ca="1"/>
        <v>0</v>
      </c>
      <c r="L116" s="592">
        <f ca="1"/>
        <v>0</v>
      </c>
      <c r="M116" s="592">
        <f ca="1"/>
        <v>0</v>
      </c>
      <c r="N116" s="592">
        <f ca="1"/>
        <v>0</v>
      </c>
      <c r="O116" s="592">
        <f ca="1"/>
        <v>0</v>
      </c>
      <c r="P116" s="592">
        <f ca="1"/>
        <v>0</v>
      </c>
      <c r="Q116" s="592">
        <f ca="1"/>
        <v>0</v>
      </c>
      <c r="R116" s="592">
        <f ca="1"/>
        <v>0</v>
      </c>
      <c r="S116" s="592">
        <f ca="1"/>
        <v>0</v>
      </c>
      <c r="T116" s="592">
        <f ca="1"/>
        <v>0</v>
      </c>
      <c r="U116" s="1964">
        <f t="array" aca="1" ref="U116:U123" ca="1">'Distr CV 2'!I116:I123</f>
        <v>0</v>
      </c>
      <c r="V116" s="1964">
        <f ca="1"/>
        <v>0</v>
      </c>
      <c r="W116" s="1964">
        <f ca="1"/>
        <v>0</v>
      </c>
      <c r="X116" s="1964">
        <f ca="1"/>
        <v>0</v>
      </c>
      <c r="Y116" s="1983">
        <f ca="1"/>
        <v>0</v>
      </c>
    </row>
    <row r="117" spans="1:25">
      <c r="A117" s="1971" t="str">
        <v>6 meses antes</v>
      </c>
      <c r="B117" s="1967"/>
      <c r="C117" s="1967"/>
      <c r="D117" s="1967"/>
      <c r="E117" s="1967"/>
      <c r="F117" s="1967"/>
      <c r="G117" s="1967"/>
      <c r="H117" s="592">
        <f t="array" aca="1" ref="H117:S117" ca="1">B$20:M20*Produccion!$H$8</f>
        <v>0</v>
      </c>
      <c r="I117" s="592">
        <f ca="1"/>
        <v>0</v>
      </c>
      <c r="J117" s="592">
        <f ca="1"/>
        <v>0</v>
      </c>
      <c r="K117" s="592">
        <f ca="1"/>
        <v>0</v>
      </c>
      <c r="L117" s="592">
        <f ca="1"/>
        <v>0</v>
      </c>
      <c r="M117" s="592">
        <f ca="1"/>
        <v>0</v>
      </c>
      <c r="N117" s="592">
        <f ca="1"/>
        <v>0</v>
      </c>
      <c r="O117" s="592">
        <f ca="1"/>
        <v>0</v>
      </c>
      <c r="P117" s="592">
        <f ca="1"/>
        <v>0</v>
      </c>
      <c r="Q117" s="592">
        <f ca="1"/>
        <v>0</v>
      </c>
      <c r="R117" s="592">
        <f ca="1"/>
        <v>0</v>
      </c>
      <c r="S117" s="592">
        <f ca="1"/>
        <v>0</v>
      </c>
      <c r="T117" s="1964">
        <f t="array" aca="1" ref="T117:T123" ca="1">'Distr CV 2'!H117:H123</f>
        <v>0</v>
      </c>
      <c r="U117" s="1964">
        <f ca="1"/>
        <v>0</v>
      </c>
      <c r="V117" s="1964">
        <f ca="1"/>
        <v>0</v>
      </c>
      <c r="W117" s="1964">
        <f ca="1"/>
        <v>0</v>
      </c>
      <c r="X117" s="1964">
        <f ca="1"/>
        <v>0</v>
      </c>
      <c r="Y117" s="1983">
        <f ca="1"/>
        <v>0</v>
      </c>
    </row>
    <row r="118" spans="1:25">
      <c r="A118" s="1971" t="str">
        <v>7 meses antes</v>
      </c>
      <c r="B118" s="1967"/>
      <c r="C118" s="1967"/>
      <c r="D118" s="1967"/>
      <c r="E118" s="1967"/>
      <c r="F118" s="1967"/>
      <c r="G118" s="592">
        <f t="array" aca="1" ref="G118:R118" ca="1">B$20:M20*Produccion!$G$8</f>
        <v>0</v>
      </c>
      <c r="H118" s="592">
        <f ca="1"/>
        <v>0</v>
      </c>
      <c r="I118" s="592">
        <f ca="1"/>
        <v>0</v>
      </c>
      <c r="J118" s="592">
        <f ca="1"/>
        <v>0</v>
      </c>
      <c r="K118" s="592">
        <f ca="1"/>
        <v>0</v>
      </c>
      <c r="L118" s="592">
        <f ca="1"/>
        <v>0</v>
      </c>
      <c r="M118" s="592">
        <f ca="1"/>
        <v>0</v>
      </c>
      <c r="N118" s="592">
        <f ca="1"/>
        <v>0</v>
      </c>
      <c r="O118" s="592">
        <f ca="1"/>
        <v>0</v>
      </c>
      <c r="P118" s="592">
        <f ca="1"/>
        <v>0</v>
      </c>
      <c r="Q118" s="592">
        <f ca="1"/>
        <v>0</v>
      </c>
      <c r="R118" s="592">
        <f ca="1"/>
        <v>0</v>
      </c>
      <c r="S118" s="1968">
        <f t="array" aca="1" ref="S118:S123" ca="1">'Distr CV 2'!G118:G123</f>
        <v>0</v>
      </c>
      <c r="T118" s="1968">
        <f ca="1"/>
        <v>0</v>
      </c>
      <c r="U118" s="1968">
        <f ca="1"/>
        <v>0</v>
      </c>
      <c r="V118" s="1968">
        <f ca="1"/>
        <v>0</v>
      </c>
      <c r="W118" s="1968">
        <f ca="1"/>
        <v>0</v>
      </c>
      <c r="X118" s="1968">
        <f ca="1"/>
        <v>0</v>
      </c>
      <c r="Y118" s="1986">
        <f ca="1"/>
        <v>0</v>
      </c>
    </row>
    <row r="119" spans="1:25">
      <c r="A119" s="1971" t="str">
        <v>8 meses antes</v>
      </c>
      <c r="B119" s="1967"/>
      <c r="C119" s="1967"/>
      <c r="D119" s="1967"/>
      <c r="E119" s="1967"/>
      <c r="F119" s="592">
        <f t="array" aca="1" ref="F119:Q119" ca="1">B$20:M20*Produccion!$F$8</f>
        <v>0</v>
      </c>
      <c r="G119" s="592">
        <f ca="1"/>
        <v>0</v>
      </c>
      <c r="H119" s="592">
        <f ca="1"/>
        <v>0</v>
      </c>
      <c r="I119" s="592">
        <f ca="1"/>
        <v>0</v>
      </c>
      <c r="J119" s="592">
        <f ca="1"/>
        <v>0</v>
      </c>
      <c r="K119" s="592">
        <f ca="1"/>
        <v>0</v>
      </c>
      <c r="L119" s="592">
        <f ca="1"/>
        <v>0</v>
      </c>
      <c r="M119" s="592">
        <f ca="1"/>
        <v>0</v>
      </c>
      <c r="N119" s="592">
        <f ca="1"/>
        <v>0</v>
      </c>
      <c r="O119" s="592">
        <f ca="1"/>
        <v>0</v>
      </c>
      <c r="P119" s="592">
        <f ca="1"/>
        <v>0</v>
      </c>
      <c r="Q119" s="592">
        <f ca="1"/>
        <v>0</v>
      </c>
      <c r="R119" s="1968">
        <f t="array" aca="1" ref="R119:R123" ca="1">'Distr CV 2'!F119:F123</f>
        <v>0</v>
      </c>
      <c r="S119" s="1968">
        <f ca="1"/>
        <v>0</v>
      </c>
      <c r="T119" s="1968">
        <f ca="1"/>
        <v>0</v>
      </c>
      <c r="U119" s="1968">
        <f ca="1"/>
        <v>0</v>
      </c>
      <c r="V119" s="1968">
        <f ca="1"/>
        <v>0</v>
      </c>
      <c r="W119" s="1968">
        <f ca="1"/>
        <v>0</v>
      </c>
      <c r="X119" s="1968">
        <f ca="1"/>
        <v>0</v>
      </c>
      <c r="Y119" s="1986">
        <f ca="1"/>
        <v>0</v>
      </c>
    </row>
    <row r="120" spans="1:25">
      <c r="A120" s="1971" t="str">
        <v>9 meses antes</v>
      </c>
      <c r="B120" s="1967"/>
      <c r="C120" s="1967"/>
      <c r="D120" s="1967"/>
      <c r="E120" s="592">
        <f t="array" aca="1" ref="E120:P120" ca="1">B$20:M20*Produccion!$E$8</f>
        <v>0</v>
      </c>
      <c r="F120" s="592">
        <f ca="1"/>
        <v>0</v>
      </c>
      <c r="G120" s="592">
        <f ca="1"/>
        <v>0</v>
      </c>
      <c r="H120" s="592">
        <f ca="1"/>
        <v>0</v>
      </c>
      <c r="I120" s="592">
        <f ca="1"/>
        <v>0</v>
      </c>
      <c r="J120" s="592">
        <f ca="1"/>
        <v>0</v>
      </c>
      <c r="K120" s="592">
        <f ca="1"/>
        <v>0</v>
      </c>
      <c r="L120" s="592">
        <f ca="1"/>
        <v>0</v>
      </c>
      <c r="M120" s="592">
        <f ca="1"/>
        <v>0</v>
      </c>
      <c r="N120" s="592">
        <f ca="1"/>
        <v>0</v>
      </c>
      <c r="O120" s="592">
        <f ca="1"/>
        <v>0</v>
      </c>
      <c r="P120" s="592">
        <f ca="1"/>
        <v>0</v>
      </c>
      <c r="Q120" s="1968">
        <f t="array" aca="1" ref="Q120:Q123" ca="1">'Distr CV 2'!E120:E123</f>
        <v>0</v>
      </c>
      <c r="R120" s="1968">
        <f ca="1"/>
        <v>0</v>
      </c>
      <c r="S120" s="1968">
        <f ca="1"/>
        <v>0</v>
      </c>
      <c r="T120" s="1968">
        <f ca="1"/>
        <v>0</v>
      </c>
      <c r="U120" s="1968">
        <f ca="1"/>
        <v>0</v>
      </c>
      <c r="V120" s="1968">
        <f ca="1"/>
        <v>0</v>
      </c>
      <c r="W120" s="1968">
        <f ca="1"/>
        <v>0</v>
      </c>
      <c r="X120" s="1968">
        <f ca="1"/>
        <v>0</v>
      </c>
      <c r="Y120" s="1986">
        <f ca="1"/>
        <v>0</v>
      </c>
    </row>
    <row r="121" spans="1:25">
      <c r="A121" s="1971" t="str">
        <v>10 meses antes</v>
      </c>
      <c r="B121" s="1967"/>
      <c r="C121" s="1967"/>
      <c r="D121" s="592">
        <f t="array" aca="1" ref="D121:O121" ca="1">B$20:M20*Produccion!$D$8</f>
        <v>0</v>
      </c>
      <c r="E121" s="592">
        <f ca="1"/>
        <v>0</v>
      </c>
      <c r="F121" s="592">
        <f ca="1"/>
        <v>0</v>
      </c>
      <c r="G121" s="592">
        <f ca="1"/>
        <v>0</v>
      </c>
      <c r="H121" s="592">
        <f ca="1"/>
        <v>0</v>
      </c>
      <c r="I121" s="592">
        <f ca="1"/>
        <v>0</v>
      </c>
      <c r="J121" s="592">
        <f ca="1"/>
        <v>0</v>
      </c>
      <c r="K121" s="592">
        <f ca="1"/>
        <v>0</v>
      </c>
      <c r="L121" s="592">
        <f ca="1"/>
        <v>0</v>
      </c>
      <c r="M121" s="592">
        <f ca="1"/>
        <v>0</v>
      </c>
      <c r="N121" s="592">
        <f ca="1"/>
        <v>0</v>
      </c>
      <c r="O121" s="592">
        <f ca="1"/>
        <v>0</v>
      </c>
      <c r="P121" s="1968">
        <f t="array" aca="1" ref="P121:P123" ca="1">'Distr CV 2'!D121:D123</f>
        <v>0</v>
      </c>
      <c r="Q121" s="1968">
        <f ca="1"/>
        <v>0</v>
      </c>
      <c r="R121" s="1968">
        <f ca="1"/>
        <v>0</v>
      </c>
      <c r="S121" s="1968">
        <f ca="1"/>
        <v>0</v>
      </c>
      <c r="T121" s="1968">
        <f ca="1"/>
        <v>0</v>
      </c>
      <c r="U121" s="1968">
        <f ca="1"/>
        <v>0</v>
      </c>
      <c r="V121" s="1968">
        <f ca="1"/>
        <v>0</v>
      </c>
      <c r="W121" s="1968">
        <f ca="1"/>
        <v>0</v>
      </c>
      <c r="X121" s="1968">
        <f ca="1"/>
        <v>0</v>
      </c>
      <c r="Y121" s="1986">
        <f ca="1"/>
        <v>0</v>
      </c>
    </row>
    <row r="122" spans="1:25">
      <c r="A122" s="1971" t="str">
        <v>11 meses antes</v>
      </c>
      <c r="B122" s="1967"/>
      <c r="C122" s="592">
        <f t="array" aca="1" ref="C122:N122" ca="1">B$20:M20*Produccion!$C$8</f>
        <v>0</v>
      </c>
      <c r="D122" s="592">
        <f ca="1"/>
        <v>0</v>
      </c>
      <c r="E122" s="592">
        <f ca="1"/>
        <v>0</v>
      </c>
      <c r="F122" s="592">
        <f ca="1"/>
        <v>0</v>
      </c>
      <c r="G122" s="592">
        <f ca="1"/>
        <v>0</v>
      </c>
      <c r="H122" s="592">
        <f ca="1"/>
        <v>0</v>
      </c>
      <c r="I122" s="592">
        <f ca="1"/>
        <v>0</v>
      </c>
      <c r="J122" s="592">
        <f ca="1"/>
        <v>0</v>
      </c>
      <c r="K122" s="592">
        <f ca="1"/>
        <v>0</v>
      </c>
      <c r="L122" s="592">
        <f ca="1"/>
        <v>0</v>
      </c>
      <c r="M122" s="592">
        <f ca="1"/>
        <v>0</v>
      </c>
      <c r="N122" s="592">
        <f ca="1"/>
        <v>0</v>
      </c>
      <c r="O122" s="1968">
        <f ca="1">'Distr CV 2'!C122</f>
        <v>0</v>
      </c>
      <c r="P122" s="1968">
        <f ca="1"/>
        <v>0</v>
      </c>
      <c r="Q122" s="1968">
        <f ca="1"/>
        <v>0</v>
      </c>
      <c r="R122" s="1968">
        <f ca="1"/>
        <v>0</v>
      </c>
      <c r="S122" s="1968">
        <f ca="1"/>
        <v>0</v>
      </c>
      <c r="T122" s="1968">
        <f ca="1"/>
        <v>0</v>
      </c>
      <c r="U122" s="1968">
        <f ca="1"/>
        <v>0</v>
      </c>
      <c r="V122" s="1968">
        <f ca="1"/>
        <v>0</v>
      </c>
      <c r="W122" s="1968">
        <f ca="1"/>
        <v>0</v>
      </c>
      <c r="X122" s="1968">
        <f ca="1"/>
        <v>0</v>
      </c>
      <c r="Y122" s="1986">
        <f ca="1"/>
        <v>0</v>
      </c>
    </row>
    <row r="123" spans="1:25" ht="13.5" thickBot="1">
      <c r="A123" s="1971" t="str">
        <v>12 meses antes</v>
      </c>
      <c r="B123" s="592">
        <f t="array" aca="1" ref="B123:M123" ca="1">B$20:M20*Produccion!$B$8</f>
        <v>0</v>
      </c>
      <c r="C123" s="592">
        <f ca="1"/>
        <v>0</v>
      </c>
      <c r="D123" s="592">
        <f ca="1"/>
        <v>0</v>
      </c>
      <c r="E123" s="592">
        <f ca="1"/>
        <v>0</v>
      </c>
      <c r="F123" s="592">
        <f ca="1"/>
        <v>0</v>
      </c>
      <c r="G123" s="592">
        <f ca="1"/>
        <v>0</v>
      </c>
      <c r="H123" s="592">
        <f ca="1"/>
        <v>0</v>
      </c>
      <c r="I123" s="592">
        <f ca="1"/>
        <v>0</v>
      </c>
      <c r="J123" s="592">
        <f ca="1"/>
        <v>0</v>
      </c>
      <c r="K123" s="592">
        <f ca="1"/>
        <v>0</v>
      </c>
      <c r="L123" s="592">
        <f ca="1"/>
        <v>0</v>
      </c>
      <c r="M123" s="592">
        <f ca="1"/>
        <v>0</v>
      </c>
      <c r="N123" s="1968">
        <f ca="1">'Distr CV 2'!B123</f>
        <v>0</v>
      </c>
      <c r="O123" s="1968">
        <f ca="1">'Distr CV 2'!C123</f>
        <v>0</v>
      </c>
      <c r="P123" s="1968">
        <f ca="1"/>
        <v>0</v>
      </c>
      <c r="Q123" s="1968">
        <f ca="1"/>
        <v>0</v>
      </c>
      <c r="R123" s="1968">
        <f ca="1"/>
        <v>0</v>
      </c>
      <c r="S123" s="1968">
        <f ca="1"/>
        <v>0</v>
      </c>
      <c r="T123" s="1968">
        <f ca="1"/>
        <v>0</v>
      </c>
      <c r="U123" s="1968">
        <f ca="1"/>
        <v>0</v>
      </c>
      <c r="V123" s="1968">
        <f ca="1"/>
        <v>0</v>
      </c>
      <c r="W123" s="1968">
        <f ca="1"/>
        <v>0</v>
      </c>
      <c r="X123" s="1968">
        <f ca="1"/>
        <v>0</v>
      </c>
      <c r="Y123" s="1986">
        <f ca="1"/>
        <v>0</v>
      </c>
    </row>
    <row r="124" spans="1:25" ht="15.75" customHeight="1" thickBot="1">
      <c r="A124" s="103" t="str">
        <f>"Totales CV "&amp;A$8</f>
        <v>Totales CV producto o servicio</v>
      </c>
      <c r="B124" s="596">
        <f t="shared" ref="B124:Y124" ca="1" si="10">SUM(B111:B123)</f>
        <v>0</v>
      </c>
      <c r="C124" s="596">
        <f t="shared" ca="1" si="10"/>
        <v>0</v>
      </c>
      <c r="D124" s="596">
        <f t="shared" ca="1" si="10"/>
        <v>0</v>
      </c>
      <c r="E124" s="596">
        <f t="shared" ca="1" si="10"/>
        <v>0</v>
      </c>
      <c r="F124" s="596">
        <f t="shared" ca="1" si="10"/>
        <v>0</v>
      </c>
      <c r="G124" s="596">
        <f t="shared" ca="1" si="10"/>
        <v>0</v>
      </c>
      <c r="H124" s="596">
        <f t="shared" ca="1" si="10"/>
        <v>0</v>
      </c>
      <c r="I124" s="596">
        <f t="shared" ca="1" si="10"/>
        <v>0</v>
      </c>
      <c r="J124" s="596">
        <f t="shared" ca="1" si="10"/>
        <v>0</v>
      </c>
      <c r="K124" s="596">
        <f t="shared" ca="1" si="10"/>
        <v>0</v>
      </c>
      <c r="L124" s="596">
        <f t="shared" ca="1" si="10"/>
        <v>0</v>
      </c>
      <c r="M124" s="596">
        <f t="shared" ca="1" si="10"/>
        <v>0</v>
      </c>
      <c r="N124" s="596">
        <f t="shared" ca="1" si="10"/>
        <v>280</v>
      </c>
      <c r="O124" s="596">
        <f t="shared" ca="1" si="10"/>
        <v>350.00000000000006</v>
      </c>
      <c r="P124" s="596">
        <f t="shared" ca="1" si="10"/>
        <v>385.00000000000006</v>
      </c>
      <c r="Q124" s="596">
        <f t="shared" ca="1" si="10"/>
        <v>367.50000000000006</v>
      </c>
      <c r="R124" s="596">
        <f t="shared" ca="1" si="10"/>
        <v>315.00000000000006</v>
      </c>
      <c r="S124" s="596">
        <f t="shared" ca="1" si="10"/>
        <v>297.5</v>
      </c>
      <c r="T124" s="596">
        <f t="shared" ca="1" si="10"/>
        <v>280</v>
      </c>
      <c r="U124" s="596">
        <f t="shared" ca="1" si="10"/>
        <v>210.00000000000003</v>
      </c>
      <c r="V124" s="596">
        <f t="shared" ca="1" si="10"/>
        <v>280</v>
      </c>
      <c r="W124" s="596">
        <f t="shared" ca="1" si="10"/>
        <v>332.50000000000006</v>
      </c>
      <c r="X124" s="596">
        <f t="shared" ca="1" si="10"/>
        <v>350.00000000000006</v>
      </c>
      <c r="Y124" s="1984">
        <f t="shared" ca="1" si="10"/>
        <v>420.00000000000006</v>
      </c>
    </row>
    <row r="125" spans="1:25" ht="15.75" customHeight="1" thickBot="1">
      <c r="A125" s="103" t="str">
        <f>'Datos Básicos'!A28&amp;" sop. CV "&amp;$A$8</f>
        <v>IVA sop. CV producto o servicio</v>
      </c>
      <c r="B125" s="596">
        <f t="array" aca="1" ref="B125:Y125" ca="1">$K$109*B124:Y124</f>
        <v>0</v>
      </c>
      <c r="C125" s="596">
        <f ca="1"/>
        <v>0</v>
      </c>
      <c r="D125" s="596">
        <f ca="1"/>
        <v>0</v>
      </c>
      <c r="E125" s="596">
        <f ca="1"/>
        <v>0</v>
      </c>
      <c r="F125" s="596">
        <f ca="1"/>
        <v>0</v>
      </c>
      <c r="G125" s="596">
        <f ca="1"/>
        <v>0</v>
      </c>
      <c r="H125" s="596">
        <f ca="1"/>
        <v>0</v>
      </c>
      <c r="I125" s="596">
        <f ca="1"/>
        <v>0</v>
      </c>
      <c r="J125" s="596">
        <f ca="1"/>
        <v>0</v>
      </c>
      <c r="K125" s="596">
        <f ca="1"/>
        <v>0</v>
      </c>
      <c r="L125" s="596">
        <f ca="1"/>
        <v>0</v>
      </c>
      <c r="M125" s="596">
        <f ca="1"/>
        <v>0</v>
      </c>
      <c r="N125" s="596">
        <f ca="1"/>
        <v>58.8</v>
      </c>
      <c r="O125" s="596">
        <f ca="1"/>
        <v>73.500000000000014</v>
      </c>
      <c r="P125" s="596">
        <f ca="1"/>
        <v>80.850000000000009</v>
      </c>
      <c r="Q125" s="596">
        <f ca="1"/>
        <v>77.175000000000011</v>
      </c>
      <c r="R125" s="596">
        <f ca="1"/>
        <v>66.150000000000006</v>
      </c>
      <c r="S125" s="596">
        <f ca="1"/>
        <v>62.474999999999994</v>
      </c>
      <c r="T125" s="596">
        <f ca="1"/>
        <v>58.8</v>
      </c>
      <c r="U125" s="596">
        <f ca="1"/>
        <v>44.1</v>
      </c>
      <c r="V125" s="596">
        <f ca="1"/>
        <v>58.8</v>
      </c>
      <c r="W125" s="596">
        <f ca="1"/>
        <v>69.825000000000003</v>
      </c>
      <c r="X125" s="596">
        <f ca="1"/>
        <v>73.500000000000014</v>
      </c>
      <c r="Y125" s="1984">
        <f ca="1"/>
        <v>88.2</v>
      </c>
    </row>
    <row r="127" spans="1:25" ht="18.75" thickBot="1">
      <c r="A127" s="1969" t="str">
        <f>'Distr CV 0'!A127</f>
        <v xml:space="preserve">Compras / costes de producción por meses de </v>
      </c>
      <c r="I127" s="1969" t="str">
        <f>I$18</f>
        <v>IVA NO incluido</v>
      </c>
      <c r="K127" s="1981">
        <f>Parametros!$F$25</f>
        <v>0.21</v>
      </c>
    </row>
    <row r="128" spans="1:25" ht="30" customHeight="1" thickBot="1">
      <c r="A128" s="446" t="str">
        <f>A$110</f>
        <v>mes de compra / coste</v>
      </c>
      <c r="B128" s="1987" t="str">
        <f t="array" ref="B128:Y128">B$71:Y$71</f>
        <v>enero 
2026</v>
      </c>
      <c r="C128" s="1987" t="str">
        <v>febrero 
2026</v>
      </c>
      <c r="D128" s="1987" t="str">
        <v>marzo 
2026</v>
      </c>
      <c r="E128" s="1987" t="str">
        <v>abril 
2026</v>
      </c>
      <c r="F128" s="1987" t="str">
        <v>mayo 
2026</v>
      </c>
      <c r="G128" s="1987" t="str">
        <v>junio 
2026</v>
      </c>
      <c r="H128" s="1987" t="str">
        <v>julio 
2026</v>
      </c>
      <c r="I128" s="1987" t="str">
        <v>agosto 
2026</v>
      </c>
      <c r="J128" s="1987" t="str">
        <v>septiembre 
2026</v>
      </c>
      <c r="K128" s="1987" t="str">
        <v>octubre 
2026</v>
      </c>
      <c r="L128" s="1987" t="str">
        <v>noviembre 
2026</v>
      </c>
      <c r="M128" s="1987" t="str">
        <v>diciembre 
2026</v>
      </c>
      <c r="N128" s="2706" t="str">
        <v>enero 
2027</v>
      </c>
      <c r="O128" s="2707" t="str">
        <v>febrero 
2027</v>
      </c>
      <c r="P128" s="2707" t="str">
        <v>marzo 
2027</v>
      </c>
      <c r="Q128" s="2707" t="str">
        <v>abril 
2027</v>
      </c>
      <c r="R128" s="2707" t="str">
        <v>mayo 
2027</v>
      </c>
      <c r="S128" s="2707" t="str">
        <v>junio 
2027</v>
      </c>
      <c r="T128" s="2707" t="str">
        <v>julio 
2027</v>
      </c>
      <c r="U128" s="2707" t="str">
        <v>agosto 
2027</v>
      </c>
      <c r="V128" s="2707" t="str">
        <v>septiembre 
2027</v>
      </c>
      <c r="W128" s="2707" t="str">
        <v>octubre 
2027</v>
      </c>
      <c r="X128" s="2707" t="str">
        <v>noviembre 
2027</v>
      </c>
      <c r="Y128" s="2708" t="str">
        <v>diciembre 
2027</v>
      </c>
    </row>
    <row r="129" spans="1:25">
      <c r="A129" s="1970" t="str">
        <f t="array" ref="A129:A141">A$72:A$84</f>
        <v>mismo mes</v>
      </c>
      <c r="B129" s="1967"/>
      <c r="C129" s="1967"/>
      <c r="D129" s="1967"/>
      <c r="E129" s="1967"/>
      <c r="F129" s="1967"/>
      <c r="G129" s="1967"/>
      <c r="H129" s="1967"/>
      <c r="I129" s="1967"/>
      <c r="J129" s="1967"/>
      <c r="K129" s="1967"/>
      <c r="L129" s="1967"/>
      <c r="M129" s="1967"/>
      <c r="N129" s="592">
        <f t="array" aca="1" ref="N129:Y129" ca="1">B21:M21*Produccion!$N$9</f>
        <v>0</v>
      </c>
      <c r="O129" s="592">
        <f ca="1"/>
        <v>0</v>
      </c>
      <c r="P129" s="592">
        <f ca="1"/>
        <v>0</v>
      </c>
      <c r="Q129" s="592">
        <f ca="1"/>
        <v>0</v>
      </c>
      <c r="R129" s="592">
        <f ca="1"/>
        <v>0</v>
      </c>
      <c r="S129" s="592">
        <f ca="1"/>
        <v>0</v>
      </c>
      <c r="T129" s="592">
        <f ca="1"/>
        <v>0</v>
      </c>
      <c r="U129" s="592">
        <f ca="1"/>
        <v>0</v>
      </c>
      <c r="V129" s="592">
        <f ca="1"/>
        <v>0</v>
      </c>
      <c r="W129" s="592">
        <f ca="1"/>
        <v>0</v>
      </c>
      <c r="X129" s="592">
        <f ca="1"/>
        <v>0</v>
      </c>
      <c r="Y129" s="1982">
        <f ca="1"/>
        <v>0</v>
      </c>
    </row>
    <row r="130" spans="1:25">
      <c r="A130" s="1971" t="str">
        <v>1 mes antes</v>
      </c>
      <c r="B130" s="1967"/>
      <c r="C130" s="1967"/>
      <c r="D130" s="1967"/>
      <c r="E130" s="1967"/>
      <c r="F130" s="1967"/>
      <c r="G130" s="1967"/>
      <c r="H130" s="1967"/>
      <c r="I130" s="1967"/>
      <c r="J130" s="1967"/>
      <c r="K130" s="1967"/>
      <c r="L130" s="1967"/>
      <c r="M130" s="592">
        <f t="array" aca="1" ref="M130:X130" ca="1">B21:M21*Produccion!$M$9</f>
        <v>0</v>
      </c>
      <c r="N130" s="592">
        <f ca="1"/>
        <v>0</v>
      </c>
      <c r="O130" s="592">
        <f ca="1"/>
        <v>0</v>
      </c>
      <c r="P130" s="592">
        <f ca="1"/>
        <v>0</v>
      </c>
      <c r="Q130" s="592">
        <f ca="1"/>
        <v>0</v>
      </c>
      <c r="R130" s="592">
        <f ca="1"/>
        <v>0</v>
      </c>
      <c r="S130" s="592">
        <f ca="1"/>
        <v>0</v>
      </c>
      <c r="T130" s="592">
        <f ca="1"/>
        <v>0</v>
      </c>
      <c r="U130" s="592">
        <f ca="1"/>
        <v>0</v>
      </c>
      <c r="V130" s="592">
        <f ca="1"/>
        <v>0</v>
      </c>
      <c r="W130" s="592">
        <f ca="1"/>
        <v>0</v>
      </c>
      <c r="X130" s="592">
        <f ca="1"/>
        <v>0</v>
      </c>
      <c r="Y130" s="1983">
        <f t="array" aca="1" ref="Y130:Y141" ca="1">'Distr CV 2'!M130:M141</f>
        <v>0</v>
      </c>
    </row>
    <row r="131" spans="1:25">
      <c r="A131" s="1971" t="str">
        <v>2 meses antes</v>
      </c>
      <c r="B131" s="1967"/>
      <c r="C131" s="1967"/>
      <c r="D131" s="1967"/>
      <c r="E131" s="1967"/>
      <c r="F131" s="1967"/>
      <c r="G131" s="1967"/>
      <c r="H131" s="1967"/>
      <c r="I131" s="1967"/>
      <c r="J131" s="1967"/>
      <c r="K131" s="1967"/>
      <c r="L131" s="592">
        <f t="array" aca="1" ref="L131:W131" ca="1">B21:M21*Produccion!$L$9</f>
        <v>0</v>
      </c>
      <c r="M131" s="592">
        <f ca="1"/>
        <v>0</v>
      </c>
      <c r="N131" s="592">
        <f ca="1"/>
        <v>0</v>
      </c>
      <c r="O131" s="592">
        <f ca="1"/>
        <v>0</v>
      </c>
      <c r="P131" s="592">
        <f ca="1"/>
        <v>0</v>
      </c>
      <c r="Q131" s="592">
        <f ca="1"/>
        <v>0</v>
      </c>
      <c r="R131" s="592">
        <f ca="1"/>
        <v>0</v>
      </c>
      <c r="S131" s="592">
        <f ca="1"/>
        <v>0</v>
      </c>
      <c r="T131" s="592">
        <f ca="1"/>
        <v>0</v>
      </c>
      <c r="U131" s="592">
        <f ca="1"/>
        <v>0</v>
      </c>
      <c r="V131" s="592">
        <f ca="1"/>
        <v>0</v>
      </c>
      <c r="W131" s="592">
        <f ca="1"/>
        <v>0</v>
      </c>
      <c r="X131" s="1964">
        <f t="array" aca="1" ref="X131:X141" ca="1">'Distr CV 2'!L131:L141</f>
        <v>0</v>
      </c>
      <c r="Y131" s="1983">
        <f ca="1"/>
        <v>0</v>
      </c>
    </row>
    <row r="132" spans="1:25">
      <c r="A132" s="1971" t="str">
        <v>3 meses antes</v>
      </c>
      <c r="B132" s="1967"/>
      <c r="C132" s="1967"/>
      <c r="D132" s="1967"/>
      <c r="E132" s="1967"/>
      <c r="F132" s="1967"/>
      <c r="G132" s="1967"/>
      <c r="H132" s="1967"/>
      <c r="I132" s="1967"/>
      <c r="J132" s="1967"/>
      <c r="K132" s="592">
        <f t="array" aca="1" ref="K132:V132" ca="1">B21:M21*Produccion!$K$9</f>
        <v>0</v>
      </c>
      <c r="L132" s="592">
        <f ca="1"/>
        <v>0</v>
      </c>
      <c r="M132" s="592">
        <f ca="1"/>
        <v>0</v>
      </c>
      <c r="N132" s="592">
        <f ca="1"/>
        <v>0</v>
      </c>
      <c r="O132" s="592">
        <f ca="1"/>
        <v>0</v>
      </c>
      <c r="P132" s="592">
        <f ca="1"/>
        <v>0</v>
      </c>
      <c r="Q132" s="592">
        <f ca="1"/>
        <v>0</v>
      </c>
      <c r="R132" s="592">
        <f ca="1"/>
        <v>0</v>
      </c>
      <c r="S132" s="592">
        <f ca="1"/>
        <v>0</v>
      </c>
      <c r="T132" s="592">
        <f ca="1"/>
        <v>0</v>
      </c>
      <c r="U132" s="592">
        <f ca="1"/>
        <v>0</v>
      </c>
      <c r="V132" s="592">
        <f ca="1"/>
        <v>0</v>
      </c>
      <c r="W132" s="1964">
        <f t="array" aca="1" ref="W132:W141" ca="1">'Distr CV 2'!K132:K141</f>
        <v>0</v>
      </c>
      <c r="X132" s="1964">
        <f ca="1"/>
        <v>0</v>
      </c>
      <c r="Y132" s="1983">
        <f ca="1"/>
        <v>0</v>
      </c>
    </row>
    <row r="133" spans="1:25">
      <c r="A133" s="1971" t="str">
        <v>4 meses antes</v>
      </c>
      <c r="B133" s="1967"/>
      <c r="C133" s="1967"/>
      <c r="D133" s="1967"/>
      <c r="E133" s="1967"/>
      <c r="F133" s="1967"/>
      <c r="G133" s="1967"/>
      <c r="H133" s="1967"/>
      <c r="I133" s="1967"/>
      <c r="J133" s="592">
        <f t="array" aca="1" ref="J133:U133" ca="1">B21:M21*Produccion!$J$9</f>
        <v>0</v>
      </c>
      <c r="K133" s="592">
        <f ca="1"/>
        <v>0</v>
      </c>
      <c r="L133" s="592">
        <f ca="1"/>
        <v>0</v>
      </c>
      <c r="M133" s="592">
        <f ca="1"/>
        <v>0</v>
      </c>
      <c r="N133" s="592">
        <f ca="1"/>
        <v>0</v>
      </c>
      <c r="O133" s="592">
        <f ca="1"/>
        <v>0</v>
      </c>
      <c r="P133" s="592">
        <f ca="1"/>
        <v>0</v>
      </c>
      <c r="Q133" s="592">
        <f ca="1"/>
        <v>0</v>
      </c>
      <c r="R133" s="592">
        <f ca="1"/>
        <v>0</v>
      </c>
      <c r="S133" s="592">
        <f ca="1"/>
        <v>0</v>
      </c>
      <c r="T133" s="592">
        <f ca="1"/>
        <v>0</v>
      </c>
      <c r="U133" s="592">
        <f ca="1"/>
        <v>0</v>
      </c>
      <c r="V133" s="1964">
        <f t="array" aca="1" ref="V133:V141" ca="1">'Distr CV 2'!J133:J141</f>
        <v>0</v>
      </c>
      <c r="W133" s="1964">
        <f ca="1"/>
        <v>0</v>
      </c>
      <c r="X133" s="1964">
        <f ca="1"/>
        <v>0</v>
      </c>
      <c r="Y133" s="1983">
        <f ca="1"/>
        <v>0</v>
      </c>
    </row>
    <row r="134" spans="1:25">
      <c r="A134" s="1971" t="str">
        <v>5 meses antes</v>
      </c>
      <c r="B134" s="1967"/>
      <c r="C134" s="1967"/>
      <c r="D134" s="1967"/>
      <c r="E134" s="1967"/>
      <c r="F134" s="1967"/>
      <c r="G134" s="1967"/>
      <c r="H134" s="1967"/>
      <c r="I134" s="592">
        <f t="array" aca="1" ref="I134:T134" ca="1">B21:M21*Produccion!$I$9</f>
        <v>0</v>
      </c>
      <c r="J134" s="592">
        <f ca="1"/>
        <v>0</v>
      </c>
      <c r="K134" s="592">
        <f ca="1"/>
        <v>0</v>
      </c>
      <c r="L134" s="592">
        <f ca="1"/>
        <v>0</v>
      </c>
      <c r="M134" s="592">
        <f ca="1"/>
        <v>0</v>
      </c>
      <c r="N134" s="592">
        <f ca="1"/>
        <v>0</v>
      </c>
      <c r="O134" s="592">
        <f ca="1"/>
        <v>0</v>
      </c>
      <c r="P134" s="592">
        <f ca="1"/>
        <v>0</v>
      </c>
      <c r="Q134" s="592">
        <f ca="1"/>
        <v>0</v>
      </c>
      <c r="R134" s="592">
        <f ca="1"/>
        <v>0</v>
      </c>
      <c r="S134" s="592">
        <f ca="1"/>
        <v>0</v>
      </c>
      <c r="T134" s="592">
        <f ca="1"/>
        <v>0</v>
      </c>
      <c r="U134" s="1964">
        <f t="array" aca="1" ref="U134:U141" ca="1">'Distr CV 2'!I134:I141</f>
        <v>0</v>
      </c>
      <c r="V134" s="1964">
        <f ca="1"/>
        <v>0</v>
      </c>
      <c r="W134" s="1964">
        <f ca="1"/>
        <v>0</v>
      </c>
      <c r="X134" s="1964">
        <f ca="1"/>
        <v>0</v>
      </c>
      <c r="Y134" s="1983">
        <f ca="1"/>
        <v>0</v>
      </c>
    </row>
    <row r="135" spans="1:25">
      <c r="A135" s="1971" t="str">
        <v>6 meses antes</v>
      </c>
      <c r="B135" s="1967"/>
      <c r="C135" s="1967"/>
      <c r="D135" s="1967"/>
      <c r="E135" s="1967"/>
      <c r="F135" s="1967"/>
      <c r="G135" s="1967"/>
      <c r="H135" s="592">
        <f t="array" aca="1" ref="H135:S135" ca="1">B21:M21*Produccion!$H$9</f>
        <v>0</v>
      </c>
      <c r="I135" s="592">
        <f ca="1"/>
        <v>0</v>
      </c>
      <c r="J135" s="592">
        <f ca="1"/>
        <v>0</v>
      </c>
      <c r="K135" s="592">
        <f ca="1"/>
        <v>0</v>
      </c>
      <c r="L135" s="592">
        <f ca="1"/>
        <v>0</v>
      </c>
      <c r="M135" s="592">
        <f ca="1"/>
        <v>0</v>
      </c>
      <c r="N135" s="592">
        <f ca="1"/>
        <v>0</v>
      </c>
      <c r="O135" s="592">
        <f ca="1"/>
        <v>0</v>
      </c>
      <c r="P135" s="592">
        <f ca="1"/>
        <v>0</v>
      </c>
      <c r="Q135" s="592">
        <f ca="1"/>
        <v>0</v>
      </c>
      <c r="R135" s="592">
        <f ca="1"/>
        <v>0</v>
      </c>
      <c r="S135" s="592">
        <f ca="1"/>
        <v>0</v>
      </c>
      <c r="T135" s="1964">
        <f t="array" aca="1" ref="T135:T141" ca="1">'Distr CV 2'!H135:H141</f>
        <v>0</v>
      </c>
      <c r="U135" s="1964">
        <f ca="1"/>
        <v>0</v>
      </c>
      <c r="V135" s="1964">
        <f ca="1"/>
        <v>0</v>
      </c>
      <c r="W135" s="1964">
        <f ca="1"/>
        <v>0</v>
      </c>
      <c r="X135" s="1964">
        <f ca="1"/>
        <v>0</v>
      </c>
      <c r="Y135" s="1983">
        <f ca="1"/>
        <v>0</v>
      </c>
    </row>
    <row r="136" spans="1:25">
      <c r="A136" s="1971" t="str">
        <v>7 meses antes</v>
      </c>
      <c r="B136" s="1967"/>
      <c r="C136" s="1967"/>
      <c r="D136" s="1967"/>
      <c r="E136" s="1967"/>
      <c r="F136" s="1967"/>
      <c r="G136" s="592">
        <f t="array" aca="1" ref="G136:R136" ca="1">B21:M21*Produccion!$G$9</f>
        <v>0</v>
      </c>
      <c r="H136" s="592">
        <f ca="1"/>
        <v>0</v>
      </c>
      <c r="I136" s="592">
        <f ca="1"/>
        <v>0</v>
      </c>
      <c r="J136" s="592">
        <f ca="1"/>
        <v>0</v>
      </c>
      <c r="K136" s="592">
        <f ca="1"/>
        <v>0</v>
      </c>
      <c r="L136" s="592">
        <f ca="1"/>
        <v>0</v>
      </c>
      <c r="M136" s="592">
        <f ca="1"/>
        <v>0</v>
      </c>
      <c r="N136" s="592">
        <f ca="1"/>
        <v>0</v>
      </c>
      <c r="O136" s="592">
        <f ca="1"/>
        <v>0</v>
      </c>
      <c r="P136" s="592">
        <f ca="1"/>
        <v>0</v>
      </c>
      <c r="Q136" s="592">
        <f ca="1"/>
        <v>0</v>
      </c>
      <c r="R136" s="592">
        <f ca="1"/>
        <v>0</v>
      </c>
      <c r="S136" s="1968">
        <f t="array" aca="1" ref="S136:S141" ca="1">'Distr CV 2'!G136:G141</f>
        <v>0</v>
      </c>
      <c r="T136" s="1968">
        <f ca="1"/>
        <v>0</v>
      </c>
      <c r="U136" s="1968">
        <f ca="1"/>
        <v>0</v>
      </c>
      <c r="V136" s="1968">
        <f ca="1"/>
        <v>0</v>
      </c>
      <c r="W136" s="1968">
        <f ca="1"/>
        <v>0</v>
      </c>
      <c r="X136" s="1968">
        <f ca="1"/>
        <v>0</v>
      </c>
      <c r="Y136" s="1986">
        <f ca="1"/>
        <v>0</v>
      </c>
    </row>
    <row r="137" spans="1:25">
      <c r="A137" s="1971" t="str">
        <v>8 meses antes</v>
      </c>
      <c r="B137" s="1967"/>
      <c r="C137" s="1967"/>
      <c r="D137" s="1967"/>
      <c r="E137" s="1967"/>
      <c r="F137" s="592">
        <f t="array" aca="1" ref="F137:Q137" ca="1">B21:M21*Produccion!$F$9</f>
        <v>0</v>
      </c>
      <c r="G137" s="592">
        <f ca="1"/>
        <v>0</v>
      </c>
      <c r="H137" s="592">
        <f ca="1"/>
        <v>0</v>
      </c>
      <c r="I137" s="592">
        <f ca="1"/>
        <v>0</v>
      </c>
      <c r="J137" s="592">
        <f ca="1"/>
        <v>0</v>
      </c>
      <c r="K137" s="592">
        <f ca="1"/>
        <v>0</v>
      </c>
      <c r="L137" s="592">
        <f ca="1"/>
        <v>0</v>
      </c>
      <c r="M137" s="592">
        <f ca="1"/>
        <v>0</v>
      </c>
      <c r="N137" s="592">
        <f ca="1"/>
        <v>0</v>
      </c>
      <c r="O137" s="592">
        <f ca="1"/>
        <v>0</v>
      </c>
      <c r="P137" s="592">
        <f ca="1"/>
        <v>0</v>
      </c>
      <c r="Q137" s="592">
        <f ca="1"/>
        <v>0</v>
      </c>
      <c r="R137" s="1968">
        <f t="array" aca="1" ref="R137:R141" ca="1">'Distr CV 2'!F137:F141</f>
        <v>0</v>
      </c>
      <c r="S137" s="1968">
        <f ca="1"/>
        <v>0</v>
      </c>
      <c r="T137" s="1968">
        <f ca="1"/>
        <v>0</v>
      </c>
      <c r="U137" s="1968">
        <f ca="1"/>
        <v>0</v>
      </c>
      <c r="V137" s="1968">
        <f ca="1"/>
        <v>0</v>
      </c>
      <c r="W137" s="1968">
        <f ca="1"/>
        <v>0</v>
      </c>
      <c r="X137" s="1968">
        <f ca="1"/>
        <v>0</v>
      </c>
      <c r="Y137" s="1986">
        <f ca="1"/>
        <v>0</v>
      </c>
    </row>
    <row r="138" spans="1:25">
      <c r="A138" s="1971" t="str">
        <v>9 meses antes</v>
      </c>
      <c r="B138" s="1967"/>
      <c r="C138" s="1967"/>
      <c r="D138" s="1967"/>
      <c r="E138" s="592">
        <f t="array" aca="1" ref="E138:P138" ca="1">B21:M21*Produccion!$E$9</f>
        <v>0</v>
      </c>
      <c r="F138" s="592">
        <f ca="1"/>
        <v>0</v>
      </c>
      <c r="G138" s="592">
        <f ca="1"/>
        <v>0</v>
      </c>
      <c r="H138" s="592">
        <f ca="1"/>
        <v>0</v>
      </c>
      <c r="I138" s="592">
        <f ca="1"/>
        <v>0</v>
      </c>
      <c r="J138" s="592">
        <f ca="1"/>
        <v>0</v>
      </c>
      <c r="K138" s="592">
        <f ca="1"/>
        <v>0</v>
      </c>
      <c r="L138" s="592">
        <f ca="1"/>
        <v>0</v>
      </c>
      <c r="M138" s="592">
        <f ca="1"/>
        <v>0</v>
      </c>
      <c r="N138" s="592">
        <f ca="1"/>
        <v>0</v>
      </c>
      <c r="O138" s="592">
        <f ca="1"/>
        <v>0</v>
      </c>
      <c r="P138" s="592">
        <f ca="1"/>
        <v>0</v>
      </c>
      <c r="Q138" s="1968">
        <f t="array" aca="1" ref="Q138:Q141" ca="1">'Distr CV 2'!E138:E141</f>
        <v>0</v>
      </c>
      <c r="R138" s="1968">
        <f ca="1"/>
        <v>0</v>
      </c>
      <c r="S138" s="1968">
        <f ca="1"/>
        <v>0</v>
      </c>
      <c r="T138" s="1968">
        <f ca="1"/>
        <v>0</v>
      </c>
      <c r="U138" s="1968">
        <f ca="1"/>
        <v>0</v>
      </c>
      <c r="V138" s="1968">
        <f ca="1"/>
        <v>0</v>
      </c>
      <c r="W138" s="1968">
        <f ca="1"/>
        <v>0</v>
      </c>
      <c r="X138" s="1968">
        <f ca="1"/>
        <v>0</v>
      </c>
      <c r="Y138" s="1986">
        <f ca="1"/>
        <v>0</v>
      </c>
    </row>
    <row r="139" spans="1:25">
      <c r="A139" s="1971" t="str">
        <v>10 meses antes</v>
      </c>
      <c r="B139" s="1967"/>
      <c r="C139" s="1967"/>
      <c r="D139" s="592">
        <f t="array" aca="1" ref="D139:O139" ca="1">B21:M21*Produccion!$D$9</f>
        <v>0</v>
      </c>
      <c r="E139" s="592">
        <f ca="1"/>
        <v>0</v>
      </c>
      <c r="F139" s="592">
        <f ca="1"/>
        <v>0</v>
      </c>
      <c r="G139" s="592">
        <f ca="1"/>
        <v>0</v>
      </c>
      <c r="H139" s="592">
        <f ca="1"/>
        <v>0</v>
      </c>
      <c r="I139" s="592">
        <f ca="1"/>
        <v>0</v>
      </c>
      <c r="J139" s="592">
        <f ca="1"/>
        <v>0</v>
      </c>
      <c r="K139" s="592">
        <f ca="1"/>
        <v>0</v>
      </c>
      <c r="L139" s="592">
        <f ca="1"/>
        <v>0</v>
      </c>
      <c r="M139" s="592">
        <f ca="1"/>
        <v>0</v>
      </c>
      <c r="N139" s="592">
        <f ca="1"/>
        <v>0</v>
      </c>
      <c r="O139" s="592">
        <f ca="1"/>
        <v>0</v>
      </c>
      <c r="P139" s="1968">
        <f t="array" aca="1" ref="P139:P141" ca="1">'Distr CV 2'!D139:D141</f>
        <v>0</v>
      </c>
      <c r="Q139" s="1968">
        <f ca="1"/>
        <v>0</v>
      </c>
      <c r="R139" s="1968">
        <f ca="1"/>
        <v>0</v>
      </c>
      <c r="S139" s="1968">
        <f ca="1"/>
        <v>0</v>
      </c>
      <c r="T139" s="1968">
        <f ca="1"/>
        <v>0</v>
      </c>
      <c r="U139" s="1968">
        <f ca="1"/>
        <v>0</v>
      </c>
      <c r="V139" s="1968">
        <f ca="1"/>
        <v>0</v>
      </c>
      <c r="W139" s="1968">
        <f ca="1"/>
        <v>0</v>
      </c>
      <c r="X139" s="1968">
        <f ca="1"/>
        <v>0</v>
      </c>
      <c r="Y139" s="1986">
        <f ca="1"/>
        <v>0</v>
      </c>
    </row>
    <row r="140" spans="1:25">
      <c r="A140" s="1971" t="str">
        <v>11 meses antes</v>
      </c>
      <c r="B140" s="1967"/>
      <c r="C140" s="592">
        <f t="array" aca="1" ref="C140:N140" ca="1">B21:M21*Produccion!$C$9</f>
        <v>0</v>
      </c>
      <c r="D140" s="592">
        <f ca="1"/>
        <v>0</v>
      </c>
      <c r="E140" s="592">
        <f ca="1"/>
        <v>0</v>
      </c>
      <c r="F140" s="592">
        <f ca="1"/>
        <v>0</v>
      </c>
      <c r="G140" s="592">
        <f ca="1"/>
        <v>0</v>
      </c>
      <c r="H140" s="592">
        <f ca="1"/>
        <v>0</v>
      </c>
      <c r="I140" s="592">
        <f ca="1"/>
        <v>0</v>
      </c>
      <c r="J140" s="592">
        <f ca="1"/>
        <v>0</v>
      </c>
      <c r="K140" s="592">
        <f ca="1"/>
        <v>0</v>
      </c>
      <c r="L140" s="592">
        <f ca="1"/>
        <v>0</v>
      </c>
      <c r="M140" s="592">
        <f ca="1"/>
        <v>0</v>
      </c>
      <c r="N140" s="592">
        <f ca="1"/>
        <v>0</v>
      </c>
      <c r="O140" s="1968">
        <f ca="1">'Distr CV 2'!C140</f>
        <v>0</v>
      </c>
      <c r="P140" s="1968">
        <f ca="1"/>
        <v>0</v>
      </c>
      <c r="Q140" s="1968">
        <f ca="1"/>
        <v>0</v>
      </c>
      <c r="R140" s="1968">
        <f ca="1"/>
        <v>0</v>
      </c>
      <c r="S140" s="1968">
        <f ca="1"/>
        <v>0</v>
      </c>
      <c r="T140" s="1968">
        <f ca="1"/>
        <v>0</v>
      </c>
      <c r="U140" s="1968">
        <f ca="1"/>
        <v>0</v>
      </c>
      <c r="V140" s="1968">
        <f ca="1"/>
        <v>0</v>
      </c>
      <c r="W140" s="1968">
        <f ca="1"/>
        <v>0</v>
      </c>
      <c r="X140" s="1968">
        <f ca="1"/>
        <v>0</v>
      </c>
      <c r="Y140" s="1986">
        <f ca="1"/>
        <v>0</v>
      </c>
    </row>
    <row r="141" spans="1:25" ht="13.5" thickBot="1">
      <c r="A141" s="1971" t="str">
        <v>12 meses antes</v>
      </c>
      <c r="B141" s="592">
        <f t="array" aca="1" ref="B141:M141" ca="1">B21:M21*Produccion!$B$9</f>
        <v>0</v>
      </c>
      <c r="C141" s="592">
        <f ca="1"/>
        <v>0</v>
      </c>
      <c r="D141" s="592">
        <f ca="1"/>
        <v>0</v>
      </c>
      <c r="E141" s="592">
        <f ca="1"/>
        <v>0</v>
      </c>
      <c r="F141" s="592">
        <f ca="1"/>
        <v>0</v>
      </c>
      <c r="G141" s="592">
        <f ca="1"/>
        <v>0</v>
      </c>
      <c r="H141" s="592">
        <f ca="1"/>
        <v>0</v>
      </c>
      <c r="I141" s="592">
        <f ca="1"/>
        <v>0</v>
      </c>
      <c r="J141" s="592">
        <f ca="1"/>
        <v>0</v>
      </c>
      <c r="K141" s="592">
        <f ca="1"/>
        <v>0</v>
      </c>
      <c r="L141" s="592">
        <f ca="1"/>
        <v>0</v>
      </c>
      <c r="M141" s="592">
        <f ca="1"/>
        <v>0</v>
      </c>
      <c r="N141" s="1967">
        <f ca="1">'Distr CV 2'!B141</f>
        <v>0</v>
      </c>
      <c r="O141" s="1968">
        <f ca="1">'Distr CV 2'!C141</f>
        <v>0</v>
      </c>
      <c r="P141" s="1968">
        <f ca="1"/>
        <v>0</v>
      </c>
      <c r="Q141" s="1968">
        <f ca="1"/>
        <v>0</v>
      </c>
      <c r="R141" s="1968">
        <f ca="1"/>
        <v>0</v>
      </c>
      <c r="S141" s="1968">
        <f ca="1"/>
        <v>0</v>
      </c>
      <c r="T141" s="1968">
        <f ca="1"/>
        <v>0</v>
      </c>
      <c r="U141" s="1968">
        <f ca="1"/>
        <v>0</v>
      </c>
      <c r="V141" s="1968">
        <f ca="1"/>
        <v>0</v>
      </c>
      <c r="W141" s="1968">
        <f ca="1"/>
        <v>0</v>
      </c>
      <c r="X141" s="1968">
        <f ca="1"/>
        <v>0</v>
      </c>
      <c r="Y141" s="1986">
        <f ca="1"/>
        <v>0</v>
      </c>
    </row>
    <row r="142" spans="1:25" ht="13.5" thickBot="1">
      <c r="A142" s="103" t="str">
        <f>"Totales CV "&amp;A$9</f>
        <v xml:space="preserve">Totales CV </v>
      </c>
      <c r="B142" s="596">
        <f t="shared" ref="B142:Y142" ca="1" si="11">SUM(B129:B141)</f>
        <v>0</v>
      </c>
      <c r="C142" s="596">
        <f t="shared" ca="1" si="11"/>
        <v>0</v>
      </c>
      <c r="D142" s="596">
        <f t="shared" ca="1" si="11"/>
        <v>0</v>
      </c>
      <c r="E142" s="596">
        <f t="shared" ca="1" si="11"/>
        <v>0</v>
      </c>
      <c r="F142" s="596">
        <f t="shared" ca="1" si="11"/>
        <v>0</v>
      </c>
      <c r="G142" s="596">
        <f t="shared" ca="1" si="11"/>
        <v>0</v>
      </c>
      <c r="H142" s="596">
        <f t="shared" ca="1" si="11"/>
        <v>0</v>
      </c>
      <c r="I142" s="596">
        <f t="shared" ca="1" si="11"/>
        <v>0</v>
      </c>
      <c r="J142" s="596">
        <f t="shared" ca="1" si="11"/>
        <v>0</v>
      </c>
      <c r="K142" s="596">
        <f t="shared" ca="1" si="11"/>
        <v>0</v>
      </c>
      <c r="L142" s="596">
        <f t="shared" ca="1" si="11"/>
        <v>0</v>
      </c>
      <c r="M142" s="596">
        <f t="shared" ca="1" si="11"/>
        <v>0</v>
      </c>
      <c r="N142" s="596">
        <f t="shared" ca="1" si="11"/>
        <v>0</v>
      </c>
      <c r="O142" s="596">
        <f t="shared" ca="1" si="11"/>
        <v>0</v>
      </c>
      <c r="P142" s="596">
        <f t="shared" ca="1" si="11"/>
        <v>0</v>
      </c>
      <c r="Q142" s="596">
        <f t="shared" ca="1" si="11"/>
        <v>0</v>
      </c>
      <c r="R142" s="596">
        <f t="shared" ca="1" si="11"/>
        <v>0</v>
      </c>
      <c r="S142" s="596">
        <f t="shared" ca="1" si="11"/>
        <v>0</v>
      </c>
      <c r="T142" s="596">
        <f t="shared" ca="1" si="11"/>
        <v>0</v>
      </c>
      <c r="U142" s="596">
        <f t="shared" ca="1" si="11"/>
        <v>0</v>
      </c>
      <c r="V142" s="596">
        <f t="shared" ca="1" si="11"/>
        <v>0</v>
      </c>
      <c r="W142" s="596">
        <f t="shared" ca="1" si="11"/>
        <v>0</v>
      </c>
      <c r="X142" s="596">
        <f t="shared" ca="1" si="11"/>
        <v>0</v>
      </c>
      <c r="Y142" s="1984">
        <f t="shared" ca="1" si="11"/>
        <v>0</v>
      </c>
    </row>
    <row r="143" spans="1:25" ht="13.5" thickBot="1">
      <c r="A143" s="103" t="str">
        <f>'Datos Básicos'!A28&amp;" sop. CV "&amp;$A$9</f>
        <v xml:space="preserve">IVA sop. CV </v>
      </c>
      <c r="B143" s="596">
        <f t="array" aca="1" ref="B143:Y143" ca="1">$K$127*B142:Y142</f>
        <v>0</v>
      </c>
      <c r="C143" s="596">
        <f ca="1"/>
        <v>0</v>
      </c>
      <c r="D143" s="596">
        <f ca="1"/>
        <v>0</v>
      </c>
      <c r="E143" s="596">
        <f ca="1"/>
        <v>0</v>
      </c>
      <c r="F143" s="596">
        <f ca="1"/>
        <v>0</v>
      </c>
      <c r="G143" s="596">
        <f ca="1"/>
        <v>0</v>
      </c>
      <c r="H143" s="596">
        <f ca="1"/>
        <v>0</v>
      </c>
      <c r="I143" s="596">
        <f ca="1"/>
        <v>0</v>
      </c>
      <c r="J143" s="596">
        <f ca="1"/>
        <v>0</v>
      </c>
      <c r="K143" s="596">
        <f ca="1"/>
        <v>0</v>
      </c>
      <c r="L143" s="596">
        <f ca="1"/>
        <v>0</v>
      </c>
      <c r="M143" s="596">
        <f ca="1"/>
        <v>0</v>
      </c>
      <c r="N143" s="596">
        <f ca="1"/>
        <v>0</v>
      </c>
      <c r="O143" s="596">
        <f ca="1"/>
        <v>0</v>
      </c>
      <c r="P143" s="596">
        <f ca="1"/>
        <v>0</v>
      </c>
      <c r="Q143" s="596">
        <f ca="1"/>
        <v>0</v>
      </c>
      <c r="R143" s="596">
        <f ca="1"/>
        <v>0</v>
      </c>
      <c r="S143" s="596">
        <f ca="1"/>
        <v>0</v>
      </c>
      <c r="T143" s="596">
        <f ca="1"/>
        <v>0</v>
      </c>
      <c r="U143" s="596">
        <f ca="1"/>
        <v>0</v>
      </c>
      <c r="V143" s="596">
        <f ca="1"/>
        <v>0</v>
      </c>
      <c r="W143" s="596">
        <f ca="1"/>
        <v>0</v>
      </c>
      <c r="X143" s="596">
        <f ca="1"/>
        <v>0</v>
      </c>
      <c r="Y143" s="1984">
        <f ca="1"/>
        <v>0</v>
      </c>
    </row>
    <row r="145" spans="1:25" ht="18.75" thickBot="1">
      <c r="A145" s="1969" t="str">
        <f>'Distr CV 0'!A145</f>
        <v xml:space="preserve">Compras / costes de producción por meses de </v>
      </c>
      <c r="I145" s="1969" t="str">
        <f>I$18</f>
        <v>IVA NO incluido</v>
      </c>
      <c r="K145" s="1981">
        <f>Parametros!$F$26</f>
        <v>0.21</v>
      </c>
    </row>
    <row r="146" spans="1:25" ht="30" customHeight="1" thickBot="1">
      <c r="A146" s="446" t="str">
        <f>A$110</f>
        <v>mes de compra / coste</v>
      </c>
      <c r="B146" s="1987" t="str">
        <f t="array" ref="B146:Y146">B$71:Y$71</f>
        <v>enero 
2026</v>
      </c>
      <c r="C146" s="1987" t="str">
        <v>febrero 
2026</v>
      </c>
      <c r="D146" s="1987" t="str">
        <v>marzo 
2026</v>
      </c>
      <c r="E146" s="1987" t="str">
        <v>abril 
2026</v>
      </c>
      <c r="F146" s="1987" t="str">
        <v>mayo 
2026</v>
      </c>
      <c r="G146" s="1987" t="str">
        <v>junio 
2026</v>
      </c>
      <c r="H146" s="1987" t="str">
        <v>julio 
2026</v>
      </c>
      <c r="I146" s="1987" t="str">
        <v>agosto 
2026</v>
      </c>
      <c r="J146" s="1987" t="str">
        <v>septiembre 
2026</v>
      </c>
      <c r="K146" s="1987" t="str">
        <v>octubre 
2026</v>
      </c>
      <c r="L146" s="1987" t="str">
        <v>noviembre 
2026</v>
      </c>
      <c r="M146" s="1987" t="str">
        <v>diciembre 
2026</v>
      </c>
      <c r="N146" s="2706" t="str">
        <v>enero 
2027</v>
      </c>
      <c r="O146" s="2707" t="str">
        <v>febrero 
2027</v>
      </c>
      <c r="P146" s="2707" t="str">
        <v>marzo 
2027</v>
      </c>
      <c r="Q146" s="2707" t="str">
        <v>abril 
2027</v>
      </c>
      <c r="R146" s="2707" t="str">
        <v>mayo 
2027</v>
      </c>
      <c r="S146" s="2707" t="str">
        <v>junio 
2027</v>
      </c>
      <c r="T146" s="2707" t="str">
        <v>julio 
2027</v>
      </c>
      <c r="U146" s="2707" t="str">
        <v>agosto 
2027</v>
      </c>
      <c r="V146" s="2707" t="str">
        <v>septiembre 
2027</v>
      </c>
      <c r="W146" s="2707" t="str">
        <v>octubre 
2027</v>
      </c>
      <c r="X146" s="2707" t="str">
        <v>noviembre 
2027</v>
      </c>
      <c r="Y146" s="2708" t="str">
        <v>diciembre 
2027</v>
      </c>
    </row>
    <row r="147" spans="1:25">
      <c r="A147" s="1970" t="str">
        <f t="array" ref="A147:A159">A$72:A$84</f>
        <v>mismo mes</v>
      </c>
      <c r="B147" s="1967"/>
      <c r="C147" s="1967"/>
      <c r="D147" s="1967"/>
      <c r="E147" s="1967"/>
      <c r="F147" s="1967"/>
      <c r="G147" s="1967"/>
      <c r="H147" s="1967"/>
      <c r="I147" s="1967"/>
      <c r="J147" s="1967"/>
      <c r="K147" s="1967"/>
      <c r="L147" s="1967"/>
      <c r="M147" s="1967"/>
      <c r="N147" s="592">
        <f t="array" aca="1" ref="N147:Y147" ca="1">B22:M22*Produccion!$N$10</f>
        <v>0</v>
      </c>
      <c r="O147" s="592">
        <f ca="1"/>
        <v>0</v>
      </c>
      <c r="P147" s="592">
        <f ca="1"/>
        <v>0</v>
      </c>
      <c r="Q147" s="592">
        <f ca="1"/>
        <v>0</v>
      </c>
      <c r="R147" s="592">
        <f ca="1"/>
        <v>0</v>
      </c>
      <c r="S147" s="592">
        <f ca="1"/>
        <v>0</v>
      </c>
      <c r="T147" s="592">
        <f ca="1"/>
        <v>0</v>
      </c>
      <c r="U147" s="592">
        <f ca="1"/>
        <v>0</v>
      </c>
      <c r="V147" s="592">
        <f ca="1"/>
        <v>0</v>
      </c>
      <c r="W147" s="592">
        <f ca="1"/>
        <v>0</v>
      </c>
      <c r="X147" s="592">
        <f ca="1"/>
        <v>0</v>
      </c>
      <c r="Y147" s="1982">
        <f ca="1"/>
        <v>0</v>
      </c>
    </row>
    <row r="148" spans="1:25">
      <c r="A148" s="1971" t="str">
        <v>1 mes antes</v>
      </c>
      <c r="B148" s="1967"/>
      <c r="C148" s="1967"/>
      <c r="D148" s="1967"/>
      <c r="E148" s="1967"/>
      <c r="F148" s="1967"/>
      <c r="G148" s="1967"/>
      <c r="H148" s="1967"/>
      <c r="I148" s="1967"/>
      <c r="J148" s="1967"/>
      <c r="K148" s="1967"/>
      <c r="L148" s="1967"/>
      <c r="M148" s="592">
        <f t="array" aca="1" ref="M148:X148" ca="1">B22:M22*Produccion!$M$10</f>
        <v>0</v>
      </c>
      <c r="N148" s="592">
        <f ca="1"/>
        <v>0</v>
      </c>
      <c r="O148" s="592">
        <f ca="1"/>
        <v>0</v>
      </c>
      <c r="P148" s="592">
        <f ca="1"/>
        <v>0</v>
      </c>
      <c r="Q148" s="592">
        <f ca="1"/>
        <v>0</v>
      </c>
      <c r="R148" s="592">
        <f ca="1"/>
        <v>0</v>
      </c>
      <c r="S148" s="592">
        <f ca="1"/>
        <v>0</v>
      </c>
      <c r="T148" s="592">
        <f ca="1"/>
        <v>0</v>
      </c>
      <c r="U148" s="592">
        <f ca="1"/>
        <v>0</v>
      </c>
      <c r="V148" s="592">
        <f ca="1"/>
        <v>0</v>
      </c>
      <c r="W148" s="592">
        <f ca="1"/>
        <v>0</v>
      </c>
      <c r="X148" s="592">
        <f ca="1"/>
        <v>0</v>
      </c>
      <c r="Y148" s="1983">
        <f t="array" aca="1" ref="Y148:Y159" ca="1">'Distr CV 2'!M148:M159</f>
        <v>0</v>
      </c>
    </row>
    <row r="149" spans="1:25">
      <c r="A149" s="1971" t="str">
        <v>2 meses antes</v>
      </c>
      <c r="B149" s="1967"/>
      <c r="C149" s="1967"/>
      <c r="D149" s="1967"/>
      <c r="E149" s="1967"/>
      <c r="F149" s="1967"/>
      <c r="G149" s="1967"/>
      <c r="H149" s="1967"/>
      <c r="I149" s="1967"/>
      <c r="J149" s="1967"/>
      <c r="K149" s="1967"/>
      <c r="L149" s="592">
        <f t="array" aca="1" ref="L149:W149" ca="1">B22:M22*Produccion!$L$10</f>
        <v>0</v>
      </c>
      <c r="M149" s="592">
        <f ca="1"/>
        <v>0</v>
      </c>
      <c r="N149" s="592">
        <f ca="1"/>
        <v>0</v>
      </c>
      <c r="O149" s="592">
        <f ca="1"/>
        <v>0</v>
      </c>
      <c r="P149" s="592">
        <f ca="1"/>
        <v>0</v>
      </c>
      <c r="Q149" s="592">
        <f ca="1"/>
        <v>0</v>
      </c>
      <c r="R149" s="592">
        <f ca="1"/>
        <v>0</v>
      </c>
      <c r="S149" s="592">
        <f ca="1"/>
        <v>0</v>
      </c>
      <c r="T149" s="592">
        <f ca="1"/>
        <v>0</v>
      </c>
      <c r="U149" s="592">
        <f ca="1"/>
        <v>0</v>
      </c>
      <c r="V149" s="592">
        <f ca="1"/>
        <v>0</v>
      </c>
      <c r="W149" s="592">
        <f ca="1"/>
        <v>0</v>
      </c>
      <c r="X149" s="1964">
        <f t="array" aca="1" ref="X149:X159" ca="1">'Distr CV 2'!L149:L159</f>
        <v>0</v>
      </c>
      <c r="Y149" s="1983">
        <f ca="1"/>
        <v>0</v>
      </c>
    </row>
    <row r="150" spans="1:25">
      <c r="A150" s="1971" t="str">
        <v>3 meses antes</v>
      </c>
      <c r="B150" s="1967"/>
      <c r="C150" s="1967"/>
      <c r="D150" s="1967"/>
      <c r="E150" s="1967"/>
      <c r="F150" s="1967"/>
      <c r="G150" s="1967"/>
      <c r="H150" s="1967"/>
      <c r="I150" s="1967"/>
      <c r="J150" s="1967"/>
      <c r="K150" s="592">
        <f t="array" aca="1" ref="K150:V150" ca="1">B22:M22*Produccion!$K$10</f>
        <v>0</v>
      </c>
      <c r="L150" s="592">
        <f ca="1"/>
        <v>0</v>
      </c>
      <c r="M150" s="592">
        <f ca="1"/>
        <v>0</v>
      </c>
      <c r="N150" s="592">
        <f ca="1"/>
        <v>0</v>
      </c>
      <c r="O150" s="592">
        <f ca="1"/>
        <v>0</v>
      </c>
      <c r="P150" s="592">
        <f ca="1"/>
        <v>0</v>
      </c>
      <c r="Q150" s="592">
        <f ca="1"/>
        <v>0</v>
      </c>
      <c r="R150" s="592">
        <f ca="1"/>
        <v>0</v>
      </c>
      <c r="S150" s="592">
        <f ca="1"/>
        <v>0</v>
      </c>
      <c r="T150" s="592">
        <f ca="1"/>
        <v>0</v>
      </c>
      <c r="U150" s="592">
        <f ca="1"/>
        <v>0</v>
      </c>
      <c r="V150" s="592">
        <f ca="1"/>
        <v>0</v>
      </c>
      <c r="W150" s="1964">
        <f t="array" aca="1" ref="W150:W159" ca="1">'Distr CV 2'!K150:K159</f>
        <v>0</v>
      </c>
      <c r="X150" s="1964">
        <f ca="1"/>
        <v>0</v>
      </c>
      <c r="Y150" s="1983">
        <f ca="1"/>
        <v>0</v>
      </c>
    </row>
    <row r="151" spans="1:25">
      <c r="A151" s="1971" t="str">
        <v>4 meses antes</v>
      </c>
      <c r="B151" s="1967"/>
      <c r="C151" s="1967"/>
      <c r="D151" s="1967"/>
      <c r="E151" s="1967"/>
      <c r="F151" s="1967"/>
      <c r="G151" s="1967"/>
      <c r="H151" s="1967"/>
      <c r="I151" s="1967"/>
      <c r="J151" s="592">
        <f t="array" aca="1" ref="J151:U151" ca="1">B22:M22*Produccion!$J$10</f>
        <v>0</v>
      </c>
      <c r="K151" s="592">
        <f ca="1"/>
        <v>0</v>
      </c>
      <c r="L151" s="592">
        <f ca="1"/>
        <v>0</v>
      </c>
      <c r="M151" s="592">
        <f ca="1"/>
        <v>0</v>
      </c>
      <c r="N151" s="592">
        <f ca="1"/>
        <v>0</v>
      </c>
      <c r="O151" s="592">
        <f ca="1"/>
        <v>0</v>
      </c>
      <c r="P151" s="592">
        <f ca="1"/>
        <v>0</v>
      </c>
      <c r="Q151" s="592">
        <f ca="1"/>
        <v>0</v>
      </c>
      <c r="R151" s="592">
        <f ca="1"/>
        <v>0</v>
      </c>
      <c r="S151" s="592">
        <f ca="1"/>
        <v>0</v>
      </c>
      <c r="T151" s="592">
        <f ca="1"/>
        <v>0</v>
      </c>
      <c r="U151" s="592">
        <f ca="1"/>
        <v>0</v>
      </c>
      <c r="V151" s="1964">
        <f t="array" aca="1" ref="V151:V159" ca="1">'Distr CV 2'!J151:J159</f>
        <v>0</v>
      </c>
      <c r="W151" s="1964">
        <f ca="1"/>
        <v>0</v>
      </c>
      <c r="X151" s="1964">
        <f ca="1"/>
        <v>0</v>
      </c>
      <c r="Y151" s="1983">
        <f ca="1"/>
        <v>0</v>
      </c>
    </row>
    <row r="152" spans="1:25">
      <c r="A152" s="1971" t="str">
        <v>5 meses antes</v>
      </c>
      <c r="B152" s="1967"/>
      <c r="C152" s="1967"/>
      <c r="D152" s="1967"/>
      <c r="E152" s="1967"/>
      <c r="F152" s="1967"/>
      <c r="G152" s="1967"/>
      <c r="H152" s="1967"/>
      <c r="I152" s="592">
        <f t="array" aca="1" ref="I152:T152" ca="1">B22:M22*Produccion!$I$10</f>
        <v>0</v>
      </c>
      <c r="J152" s="592">
        <f ca="1"/>
        <v>0</v>
      </c>
      <c r="K152" s="592">
        <f ca="1"/>
        <v>0</v>
      </c>
      <c r="L152" s="592">
        <f ca="1"/>
        <v>0</v>
      </c>
      <c r="M152" s="592">
        <f ca="1"/>
        <v>0</v>
      </c>
      <c r="N152" s="592">
        <f ca="1"/>
        <v>0</v>
      </c>
      <c r="O152" s="592">
        <f ca="1"/>
        <v>0</v>
      </c>
      <c r="P152" s="592">
        <f ca="1"/>
        <v>0</v>
      </c>
      <c r="Q152" s="592">
        <f ca="1"/>
        <v>0</v>
      </c>
      <c r="R152" s="592">
        <f ca="1"/>
        <v>0</v>
      </c>
      <c r="S152" s="592">
        <f ca="1"/>
        <v>0</v>
      </c>
      <c r="T152" s="592">
        <f ca="1"/>
        <v>0</v>
      </c>
      <c r="U152" s="1964">
        <f t="array" aca="1" ref="U152:U159" ca="1">'Distr CV 2'!I152:I159</f>
        <v>0</v>
      </c>
      <c r="V152" s="1964">
        <f ca="1"/>
        <v>0</v>
      </c>
      <c r="W152" s="1964">
        <f ca="1"/>
        <v>0</v>
      </c>
      <c r="X152" s="1964">
        <f ca="1"/>
        <v>0</v>
      </c>
      <c r="Y152" s="1983">
        <f ca="1"/>
        <v>0</v>
      </c>
    </row>
    <row r="153" spans="1:25">
      <c r="A153" s="1971" t="str">
        <v>6 meses antes</v>
      </c>
      <c r="B153" s="1967"/>
      <c r="C153" s="1967"/>
      <c r="D153" s="1967"/>
      <c r="E153" s="1967"/>
      <c r="F153" s="1967"/>
      <c r="G153" s="1967"/>
      <c r="H153" s="592">
        <f t="array" aca="1" ref="H153:S153" ca="1">B22:M22*Produccion!$H$10</f>
        <v>0</v>
      </c>
      <c r="I153" s="592">
        <f ca="1"/>
        <v>0</v>
      </c>
      <c r="J153" s="592">
        <f ca="1"/>
        <v>0</v>
      </c>
      <c r="K153" s="592">
        <f ca="1"/>
        <v>0</v>
      </c>
      <c r="L153" s="592">
        <f ca="1"/>
        <v>0</v>
      </c>
      <c r="M153" s="592">
        <f ca="1"/>
        <v>0</v>
      </c>
      <c r="N153" s="592">
        <f ca="1"/>
        <v>0</v>
      </c>
      <c r="O153" s="592">
        <f ca="1"/>
        <v>0</v>
      </c>
      <c r="P153" s="592">
        <f ca="1"/>
        <v>0</v>
      </c>
      <c r="Q153" s="592">
        <f ca="1"/>
        <v>0</v>
      </c>
      <c r="R153" s="592">
        <f ca="1"/>
        <v>0</v>
      </c>
      <c r="S153" s="592">
        <f ca="1"/>
        <v>0</v>
      </c>
      <c r="T153" s="1964">
        <f t="array" aca="1" ref="T153:T159" ca="1">'Distr CV 2'!H153:H159</f>
        <v>0</v>
      </c>
      <c r="U153" s="1964">
        <f ca="1"/>
        <v>0</v>
      </c>
      <c r="V153" s="1964">
        <f ca="1"/>
        <v>0</v>
      </c>
      <c r="W153" s="1964">
        <f ca="1"/>
        <v>0</v>
      </c>
      <c r="X153" s="1964">
        <f ca="1"/>
        <v>0</v>
      </c>
      <c r="Y153" s="1983">
        <f ca="1"/>
        <v>0</v>
      </c>
    </row>
    <row r="154" spans="1:25">
      <c r="A154" s="1971" t="str">
        <v>7 meses antes</v>
      </c>
      <c r="B154" s="1967"/>
      <c r="C154" s="1967"/>
      <c r="D154" s="1967"/>
      <c r="E154" s="1967"/>
      <c r="F154" s="1967"/>
      <c r="G154" s="592">
        <f t="array" aca="1" ref="G154:R154" ca="1">B22:M22*Produccion!$G$10</f>
        <v>0</v>
      </c>
      <c r="H154" s="592">
        <f ca="1"/>
        <v>0</v>
      </c>
      <c r="I154" s="592">
        <f ca="1"/>
        <v>0</v>
      </c>
      <c r="J154" s="592">
        <f ca="1"/>
        <v>0</v>
      </c>
      <c r="K154" s="592">
        <f ca="1"/>
        <v>0</v>
      </c>
      <c r="L154" s="592">
        <f ca="1"/>
        <v>0</v>
      </c>
      <c r="M154" s="592">
        <f ca="1"/>
        <v>0</v>
      </c>
      <c r="N154" s="592">
        <f ca="1"/>
        <v>0</v>
      </c>
      <c r="O154" s="592">
        <f ca="1"/>
        <v>0</v>
      </c>
      <c r="P154" s="592">
        <f ca="1"/>
        <v>0</v>
      </c>
      <c r="Q154" s="592">
        <f ca="1"/>
        <v>0</v>
      </c>
      <c r="R154" s="592">
        <f ca="1"/>
        <v>0</v>
      </c>
      <c r="S154" s="1968">
        <f t="array" aca="1" ref="S154:S159" ca="1">'Distr CV 2'!G154:G159</f>
        <v>0</v>
      </c>
      <c r="T154" s="1968">
        <f ca="1"/>
        <v>0</v>
      </c>
      <c r="U154" s="1968">
        <f ca="1"/>
        <v>0</v>
      </c>
      <c r="V154" s="1968">
        <f ca="1"/>
        <v>0</v>
      </c>
      <c r="W154" s="1968">
        <f ca="1"/>
        <v>0</v>
      </c>
      <c r="X154" s="1968">
        <f ca="1"/>
        <v>0</v>
      </c>
      <c r="Y154" s="1986">
        <f ca="1"/>
        <v>0</v>
      </c>
    </row>
    <row r="155" spans="1:25">
      <c r="A155" s="1971" t="str">
        <v>8 meses antes</v>
      </c>
      <c r="B155" s="1967"/>
      <c r="C155" s="1967"/>
      <c r="D155" s="1967"/>
      <c r="E155" s="1967"/>
      <c r="F155" s="592">
        <f t="array" aca="1" ref="F155:Q155" ca="1">B22:M22*Produccion!$F$10</f>
        <v>0</v>
      </c>
      <c r="G155" s="592">
        <f ca="1"/>
        <v>0</v>
      </c>
      <c r="H155" s="592">
        <f ca="1"/>
        <v>0</v>
      </c>
      <c r="I155" s="592">
        <f ca="1"/>
        <v>0</v>
      </c>
      <c r="J155" s="592">
        <f ca="1"/>
        <v>0</v>
      </c>
      <c r="K155" s="592">
        <f ca="1"/>
        <v>0</v>
      </c>
      <c r="L155" s="592">
        <f ca="1"/>
        <v>0</v>
      </c>
      <c r="M155" s="592">
        <f ca="1"/>
        <v>0</v>
      </c>
      <c r="N155" s="592">
        <f ca="1"/>
        <v>0</v>
      </c>
      <c r="O155" s="592">
        <f ca="1"/>
        <v>0</v>
      </c>
      <c r="P155" s="592">
        <f ca="1"/>
        <v>0</v>
      </c>
      <c r="Q155" s="592">
        <f ca="1"/>
        <v>0</v>
      </c>
      <c r="R155" s="1968">
        <f t="array" aca="1" ref="R155:R159" ca="1">'Distr CV 2'!F155:F159</f>
        <v>0</v>
      </c>
      <c r="S155" s="1968">
        <f ca="1"/>
        <v>0</v>
      </c>
      <c r="T155" s="1968">
        <f ca="1"/>
        <v>0</v>
      </c>
      <c r="U155" s="1968">
        <f ca="1"/>
        <v>0</v>
      </c>
      <c r="V155" s="1968">
        <f ca="1"/>
        <v>0</v>
      </c>
      <c r="W155" s="1968">
        <f ca="1"/>
        <v>0</v>
      </c>
      <c r="X155" s="1968">
        <f ca="1"/>
        <v>0</v>
      </c>
      <c r="Y155" s="1986">
        <f ca="1"/>
        <v>0</v>
      </c>
    </row>
    <row r="156" spans="1:25">
      <c r="A156" s="1971" t="str">
        <v>9 meses antes</v>
      </c>
      <c r="B156" s="1967"/>
      <c r="C156" s="1967"/>
      <c r="D156" s="1967"/>
      <c r="E156" s="592">
        <f t="array" aca="1" ref="E156:P156" ca="1">B22:M22*Produccion!$E$10</f>
        <v>0</v>
      </c>
      <c r="F156" s="592">
        <f ca="1"/>
        <v>0</v>
      </c>
      <c r="G156" s="592">
        <f ca="1"/>
        <v>0</v>
      </c>
      <c r="H156" s="592">
        <f ca="1"/>
        <v>0</v>
      </c>
      <c r="I156" s="592">
        <f ca="1"/>
        <v>0</v>
      </c>
      <c r="J156" s="592">
        <f ca="1"/>
        <v>0</v>
      </c>
      <c r="K156" s="592">
        <f ca="1"/>
        <v>0</v>
      </c>
      <c r="L156" s="592">
        <f ca="1"/>
        <v>0</v>
      </c>
      <c r="M156" s="592">
        <f ca="1"/>
        <v>0</v>
      </c>
      <c r="N156" s="592">
        <f ca="1"/>
        <v>0</v>
      </c>
      <c r="O156" s="592">
        <f ca="1"/>
        <v>0</v>
      </c>
      <c r="P156" s="592">
        <f ca="1"/>
        <v>0</v>
      </c>
      <c r="Q156" s="1968">
        <f t="array" aca="1" ref="Q156:Q159" ca="1">'Distr CV 2'!E156:E159</f>
        <v>0</v>
      </c>
      <c r="R156" s="1968">
        <f ca="1"/>
        <v>0</v>
      </c>
      <c r="S156" s="1968">
        <f ca="1"/>
        <v>0</v>
      </c>
      <c r="T156" s="1968">
        <f ca="1"/>
        <v>0</v>
      </c>
      <c r="U156" s="1968">
        <f ca="1"/>
        <v>0</v>
      </c>
      <c r="V156" s="1968">
        <f ca="1"/>
        <v>0</v>
      </c>
      <c r="W156" s="1968">
        <f ca="1"/>
        <v>0</v>
      </c>
      <c r="X156" s="1968">
        <f ca="1"/>
        <v>0</v>
      </c>
      <c r="Y156" s="1986">
        <f ca="1"/>
        <v>0</v>
      </c>
    </row>
    <row r="157" spans="1:25">
      <c r="A157" s="1971" t="str">
        <v>10 meses antes</v>
      </c>
      <c r="B157" s="1967"/>
      <c r="C157" s="1967"/>
      <c r="D157" s="592">
        <f t="array" aca="1" ref="D157:O157" ca="1">B22:M22*Produccion!$D$10</f>
        <v>0</v>
      </c>
      <c r="E157" s="592">
        <f ca="1"/>
        <v>0</v>
      </c>
      <c r="F157" s="592">
        <f ca="1"/>
        <v>0</v>
      </c>
      <c r="G157" s="592">
        <f ca="1"/>
        <v>0</v>
      </c>
      <c r="H157" s="592">
        <f ca="1"/>
        <v>0</v>
      </c>
      <c r="I157" s="592">
        <f ca="1"/>
        <v>0</v>
      </c>
      <c r="J157" s="592">
        <f ca="1"/>
        <v>0</v>
      </c>
      <c r="K157" s="592">
        <f ca="1"/>
        <v>0</v>
      </c>
      <c r="L157" s="592">
        <f ca="1"/>
        <v>0</v>
      </c>
      <c r="M157" s="592">
        <f ca="1"/>
        <v>0</v>
      </c>
      <c r="N157" s="592">
        <f ca="1"/>
        <v>0</v>
      </c>
      <c r="O157" s="592">
        <f ca="1"/>
        <v>0</v>
      </c>
      <c r="P157" s="1968">
        <f t="array" aca="1" ref="P157:P159" ca="1">'Distr CV 2'!D157:D159</f>
        <v>0</v>
      </c>
      <c r="Q157" s="1968">
        <f ca="1"/>
        <v>0</v>
      </c>
      <c r="R157" s="1968">
        <f ca="1"/>
        <v>0</v>
      </c>
      <c r="S157" s="1968">
        <f ca="1"/>
        <v>0</v>
      </c>
      <c r="T157" s="1968">
        <f ca="1"/>
        <v>0</v>
      </c>
      <c r="U157" s="1968">
        <f ca="1"/>
        <v>0</v>
      </c>
      <c r="V157" s="1968">
        <f ca="1"/>
        <v>0</v>
      </c>
      <c r="W157" s="1968">
        <f ca="1"/>
        <v>0</v>
      </c>
      <c r="X157" s="1968">
        <f ca="1"/>
        <v>0</v>
      </c>
      <c r="Y157" s="1986">
        <f ca="1"/>
        <v>0</v>
      </c>
    </row>
    <row r="158" spans="1:25">
      <c r="A158" s="1971" t="str">
        <v>11 meses antes</v>
      </c>
      <c r="B158" s="1967"/>
      <c r="C158" s="592">
        <f t="array" aca="1" ref="C158:N158" ca="1">B22:M22*Produccion!$C$10</f>
        <v>0</v>
      </c>
      <c r="D158" s="592">
        <f ca="1"/>
        <v>0</v>
      </c>
      <c r="E158" s="592">
        <f ca="1"/>
        <v>0</v>
      </c>
      <c r="F158" s="592">
        <f ca="1"/>
        <v>0</v>
      </c>
      <c r="G158" s="592">
        <f ca="1"/>
        <v>0</v>
      </c>
      <c r="H158" s="592">
        <f ca="1"/>
        <v>0</v>
      </c>
      <c r="I158" s="592">
        <f ca="1"/>
        <v>0</v>
      </c>
      <c r="J158" s="592">
        <f ca="1"/>
        <v>0</v>
      </c>
      <c r="K158" s="592">
        <f ca="1"/>
        <v>0</v>
      </c>
      <c r="L158" s="592">
        <f ca="1"/>
        <v>0</v>
      </c>
      <c r="M158" s="592">
        <f ca="1"/>
        <v>0</v>
      </c>
      <c r="N158" s="592">
        <f ca="1"/>
        <v>0</v>
      </c>
      <c r="O158" s="1968">
        <f ca="1">'Distr CV 2'!C158</f>
        <v>0</v>
      </c>
      <c r="P158" s="1968">
        <f ca="1"/>
        <v>0</v>
      </c>
      <c r="Q158" s="1968">
        <f ca="1"/>
        <v>0</v>
      </c>
      <c r="R158" s="1968">
        <f ca="1"/>
        <v>0</v>
      </c>
      <c r="S158" s="1968">
        <f ca="1"/>
        <v>0</v>
      </c>
      <c r="T158" s="1968">
        <f ca="1"/>
        <v>0</v>
      </c>
      <c r="U158" s="1968">
        <f ca="1"/>
        <v>0</v>
      </c>
      <c r="V158" s="1968">
        <f ca="1"/>
        <v>0</v>
      </c>
      <c r="W158" s="1968">
        <f ca="1"/>
        <v>0</v>
      </c>
      <c r="X158" s="1968">
        <f ca="1"/>
        <v>0</v>
      </c>
      <c r="Y158" s="1986">
        <f ca="1"/>
        <v>0</v>
      </c>
    </row>
    <row r="159" spans="1:25" ht="13.5" thickBot="1">
      <c r="A159" s="1971" t="str">
        <v>12 meses antes</v>
      </c>
      <c r="B159" s="592">
        <f t="array" aca="1" ref="B159:M159" ca="1">B22:M22*Produccion!$B$10</f>
        <v>0</v>
      </c>
      <c r="C159" s="592">
        <f ca="1"/>
        <v>0</v>
      </c>
      <c r="D159" s="592">
        <f ca="1"/>
        <v>0</v>
      </c>
      <c r="E159" s="592">
        <f ca="1"/>
        <v>0</v>
      </c>
      <c r="F159" s="592">
        <f ca="1"/>
        <v>0</v>
      </c>
      <c r="G159" s="592">
        <f ca="1"/>
        <v>0</v>
      </c>
      <c r="H159" s="592">
        <f ca="1"/>
        <v>0</v>
      </c>
      <c r="I159" s="592">
        <f ca="1"/>
        <v>0</v>
      </c>
      <c r="J159" s="592">
        <f ca="1"/>
        <v>0</v>
      </c>
      <c r="K159" s="592">
        <f ca="1"/>
        <v>0</v>
      </c>
      <c r="L159" s="592">
        <f ca="1"/>
        <v>0</v>
      </c>
      <c r="M159" s="592">
        <f ca="1"/>
        <v>0</v>
      </c>
      <c r="N159" s="1967">
        <f ca="1">'Distr CV 2'!B159</f>
        <v>0</v>
      </c>
      <c r="O159" s="1968">
        <f ca="1">'Distr CV 2'!C159</f>
        <v>0</v>
      </c>
      <c r="P159" s="1968">
        <f ca="1"/>
        <v>0</v>
      </c>
      <c r="Q159" s="1968">
        <f ca="1"/>
        <v>0</v>
      </c>
      <c r="R159" s="1968">
        <f ca="1"/>
        <v>0</v>
      </c>
      <c r="S159" s="1968">
        <f ca="1"/>
        <v>0</v>
      </c>
      <c r="T159" s="1968">
        <f ca="1"/>
        <v>0</v>
      </c>
      <c r="U159" s="1968">
        <f ca="1"/>
        <v>0</v>
      </c>
      <c r="V159" s="1968">
        <f ca="1"/>
        <v>0</v>
      </c>
      <c r="W159" s="1968">
        <f ca="1"/>
        <v>0</v>
      </c>
      <c r="X159" s="1968">
        <f ca="1"/>
        <v>0</v>
      </c>
      <c r="Y159" s="1986">
        <f ca="1"/>
        <v>0</v>
      </c>
    </row>
    <row r="160" spans="1:25" ht="13.5" thickBot="1">
      <c r="A160" s="103" t="str">
        <f>"Totales CV "&amp;A$10</f>
        <v xml:space="preserve">Totales CV </v>
      </c>
      <c r="B160" s="596">
        <f t="shared" ref="B160:Y160" ca="1" si="12">SUM(B147:B159)</f>
        <v>0</v>
      </c>
      <c r="C160" s="596">
        <f t="shared" ca="1" si="12"/>
        <v>0</v>
      </c>
      <c r="D160" s="596">
        <f t="shared" ca="1" si="12"/>
        <v>0</v>
      </c>
      <c r="E160" s="596">
        <f t="shared" ca="1" si="12"/>
        <v>0</v>
      </c>
      <c r="F160" s="596">
        <f t="shared" ca="1" si="12"/>
        <v>0</v>
      </c>
      <c r="G160" s="596">
        <f t="shared" ca="1" si="12"/>
        <v>0</v>
      </c>
      <c r="H160" s="596">
        <f t="shared" ca="1" si="12"/>
        <v>0</v>
      </c>
      <c r="I160" s="596">
        <f t="shared" ca="1" si="12"/>
        <v>0</v>
      </c>
      <c r="J160" s="596">
        <f t="shared" ca="1" si="12"/>
        <v>0</v>
      </c>
      <c r="K160" s="596">
        <f t="shared" ca="1" si="12"/>
        <v>0</v>
      </c>
      <c r="L160" s="596">
        <f t="shared" ca="1" si="12"/>
        <v>0</v>
      </c>
      <c r="M160" s="596">
        <f t="shared" ca="1" si="12"/>
        <v>0</v>
      </c>
      <c r="N160" s="596">
        <f t="shared" ca="1" si="12"/>
        <v>0</v>
      </c>
      <c r="O160" s="596">
        <f t="shared" ca="1" si="12"/>
        <v>0</v>
      </c>
      <c r="P160" s="596">
        <f t="shared" ca="1" si="12"/>
        <v>0</v>
      </c>
      <c r="Q160" s="596">
        <f t="shared" ca="1" si="12"/>
        <v>0</v>
      </c>
      <c r="R160" s="596">
        <f t="shared" ca="1" si="12"/>
        <v>0</v>
      </c>
      <c r="S160" s="596">
        <f t="shared" ca="1" si="12"/>
        <v>0</v>
      </c>
      <c r="T160" s="596">
        <f t="shared" ca="1" si="12"/>
        <v>0</v>
      </c>
      <c r="U160" s="596">
        <f t="shared" ca="1" si="12"/>
        <v>0</v>
      </c>
      <c r="V160" s="596">
        <f t="shared" ca="1" si="12"/>
        <v>0</v>
      </c>
      <c r="W160" s="596">
        <f t="shared" ca="1" si="12"/>
        <v>0</v>
      </c>
      <c r="X160" s="596">
        <f t="shared" ca="1" si="12"/>
        <v>0</v>
      </c>
      <c r="Y160" s="1984">
        <f t="shared" ca="1" si="12"/>
        <v>0</v>
      </c>
    </row>
    <row r="161" spans="1:25" ht="13.5" thickBot="1">
      <c r="A161" s="103" t="str">
        <f>'Datos Básicos'!A28&amp;" sop. CV "&amp;$A$10</f>
        <v xml:space="preserve">IVA sop. CV </v>
      </c>
      <c r="B161" s="596">
        <f t="array" aca="1" ref="B161:Y161" ca="1">$K$145*B160:Y160</f>
        <v>0</v>
      </c>
      <c r="C161" s="596">
        <f ca="1"/>
        <v>0</v>
      </c>
      <c r="D161" s="596">
        <f ca="1"/>
        <v>0</v>
      </c>
      <c r="E161" s="596">
        <f ca="1"/>
        <v>0</v>
      </c>
      <c r="F161" s="596">
        <f ca="1"/>
        <v>0</v>
      </c>
      <c r="G161" s="596">
        <f ca="1"/>
        <v>0</v>
      </c>
      <c r="H161" s="596">
        <f ca="1"/>
        <v>0</v>
      </c>
      <c r="I161" s="596">
        <f ca="1"/>
        <v>0</v>
      </c>
      <c r="J161" s="596">
        <f ca="1"/>
        <v>0</v>
      </c>
      <c r="K161" s="596">
        <f ca="1"/>
        <v>0</v>
      </c>
      <c r="L161" s="596">
        <f ca="1"/>
        <v>0</v>
      </c>
      <c r="M161" s="596">
        <f ca="1"/>
        <v>0</v>
      </c>
      <c r="N161" s="596">
        <f ca="1"/>
        <v>0</v>
      </c>
      <c r="O161" s="596">
        <f ca="1"/>
        <v>0</v>
      </c>
      <c r="P161" s="596">
        <f ca="1"/>
        <v>0</v>
      </c>
      <c r="Q161" s="596">
        <f ca="1"/>
        <v>0</v>
      </c>
      <c r="R161" s="596">
        <f ca="1"/>
        <v>0</v>
      </c>
      <c r="S161" s="596">
        <f ca="1"/>
        <v>0</v>
      </c>
      <c r="T161" s="596">
        <f ca="1"/>
        <v>0</v>
      </c>
      <c r="U161" s="596">
        <f ca="1"/>
        <v>0</v>
      </c>
      <c r="V161" s="596">
        <f ca="1"/>
        <v>0</v>
      </c>
      <c r="W161" s="596">
        <f ca="1"/>
        <v>0</v>
      </c>
      <c r="X161" s="596">
        <f ca="1"/>
        <v>0</v>
      </c>
      <c r="Y161" s="1984">
        <f ca="1"/>
        <v>0</v>
      </c>
    </row>
    <row r="163" spans="1:25" ht="18.75" thickBot="1">
      <c r="A163" s="1969" t="str">
        <f>'Distr CV 0'!A163</f>
        <v xml:space="preserve">Compras / costes de producción por meses de </v>
      </c>
      <c r="I163" s="1969" t="str">
        <f>I$18</f>
        <v>IVA NO incluido</v>
      </c>
      <c r="K163" s="1981">
        <f>Parametros!$F$27</f>
        <v>0.21</v>
      </c>
    </row>
    <row r="164" spans="1:25" ht="30" customHeight="1" thickBot="1">
      <c r="A164" s="446" t="str">
        <f>A$110</f>
        <v>mes de compra / coste</v>
      </c>
      <c r="B164" s="1987" t="str">
        <f t="array" ref="B164:Y164">B$71:Y$71</f>
        <v>enero 
2026</v>
      </c>
      <c r="C164" s="1987" t="str">
        <v>febrero 
2026</v>
      </c>
      <c r="D164" s="1987" t="str">
        <v>marzo 
2026</v>
      </c>
      <c r="E164" s="1987" t="str">
        <v>abril 
2026</v>
      </c>
      <c r="F164" s="1987" t="str">
        <v>mayo 
2026</v>
      </c>
      <c r="G164" s="1987" t="str">
        <v>junio 
2026</v>
      </c>
      <c r="H164" s="1987" t="str">
        <v>julio 
2026</v>
      </c>
      <c r="I164" s="1987" t="str">
        <v>agosto 
2026</v>
      </c>
      <c r="J164" s="1987" t="str">
        <v>septiembre 
2026</v>
      </c>
      <c r="K164" s="1987" t="str">
        <v>octubre 
2026</v>
      </c>
      <c r="L164" s="1987" t="str">
        <v>noviembre 
2026</v>
      </c>
      <c r="M164" s="1987" t="str">
        <v>diciembre 
2026</v>
      </c>
      <c r="N164" s="2706" t="str">
        <v>enero 
2027</v>
      </c>
      <c r="O164" s="2707" t="str">
        <v>febrero 
2027</v>
      </c>
      <c r="P164" s="2707" t="str">
        <v>marzo 
2027</v>
      </c>
      <c r="Q164" s="2707" t="str">
        <v>abril 
2027</v>
      </c>
      <c r="R164" s="2707" t="str">
        <v>mayo 
2027</v>
      </c>
      <c r="S164" s="2707" t="str">
        <v>junio 
2027</v>
      </c>
      <c r="T164" s="2707" t="str">
        <v>julio 
2027</v>
      </c>
      <c r="U164" s="2707" t="str">
        <v>agosto 
2027</v>
      </c>
      <c r="V164" s="2707" t="str">
        <v>septiembre 
2027</v>
      </c>
      <c r="W164" s="2707" t="str">
        <v>octubre 
2027</v>
      </c>
      <c r="X164" s="2707" t="str">
        <v>noviembre 
2027</v>
      </c>
      <c r="Y164" s="2708" t="str">
        <v>diciembre 
2027</v>
      </c>
    </row>
    <row r="165" spans="1:25">
      <c r="A165" s="1970" t="str">
        <f t="array" ref="A165:A177">A$72:A$84</f>
        <v>mismo mes</v>
      </c>
      <c r="B165" s="1967"/>
      <c r="C165" s="1967"/>
      <c r="D165" s="1967"/>
      <c r="E165" s="1967"/>
      <c r="F165" s="1967"/>
      <c r="G165" s="1967"/>
      <c r="H165" s="1967"/>
      <c r="I165" s="1967"/>
      <c r="J165" s="1967"/>
      <c r="K165" s="1967"/>
      <c r="L165" s="1967"/>
      <c r="M165" s="1967"/>
      <c r="N165" s="592">
        <f t="array" aca="1" ref="N165:Y165" ca="1">B23:M23*Produccion!$N$11</f>
        <v>0</v>
      </c>
      <c r="O165" s="592">
        <f ca="1"/>
        <v>0</v>
      </c>
      <c r="P165" s="592">
        <f ca="1"/>
        <v>0</v>
      </c>
      <c r="Q165" s="592">
        <f ca="1"/>
        <v>0</v>
      </c>
      <c r="R165" s="592">
        <f ca="1"/>
        <v>0</v>
      </c>
      <c r="S165" s="592">
        <f ca="1"/>
        <v>0</v>
      </c>
      <c r="T165" s="592">
        <f ca="1"/>
        <v>0</v>
      </c>
      <c r="U165" s="592">
        <f ca="1"/>
        <v>0</v>
      </c>
      <c r="V165" s="592">
        <f ca="1"/>
        <v>0</v>
      </c>
      <c r="W165" s="592">
        <f ca="1"/>
        <v>0</v>
      </c>
      <c r="X165" s="592">
        <f ca="1"/>
        <v>0</v>
      </c>
      <c r="Y165" s="1982">
        <f ca="1"/>
        <v>0</v>
      </c>
    </row>
    <row r="166" spans="1:25">
      <c r="A166" s="1971" t="str">
        <v>1 mes antes</v>
      </c>
      <c r="B166" s="1967"/>
      <c r="C166" s="1967"/>
      <c r="D166" s="1967"/>
      <c r="E166" s="1967"/>
      <c r="F166" s="1967"/>
      <c r="G166" s="1967"/>
      <c r="H166" s="1967"/>
      <c r="I166" s="1967"/>
      <c r="J166" s="1967"/>
      <c r="K166" s="1967"/>
      <c r="L166" s="1967"/>
      <c r="M166" s="592">
        <f t="array" aca="1" ref="M166:X166" ca="1">B23:M23*Produccion!$M$11</f>
        <v>0</v>
      </c>
      <c r="N166" s="592">
        <f ca="1"/>
        <v>0</v>
      </c>
      <c r="O166" s="592">
        <f ca="1"/>
        <v>0</v>
      </c>
      <c r="P166" s="592">
        <f ca="1"/>
        <v>0</v>
      </c>
      <c r="Q166" s="592">
        <f ca="1"/>
        <v>0</v>
      </c>
      <c r="R166" s="592">
        <f ca="1"/>
        <v>0</v>
      </c>
      <c r="S166" s="592">
        <f ca="1"/>
        <v>0</v>
      </c>
      <c r="T166" s="592">
        <f ca="1"/>
        <v>0</v>
      </c>
      <c r="U166" s="592">
        <f ca="1"/>
        <v>0</v>
      </c>
      <c r="V166" s="592">
        <f ca="1"/>
        <v>0</v>
      </c>
      <c r="W166" s="592">
        <f ca="1"/>
        <v>0</v>
      </c>
      <c r="X166" s="592">
        <f ca="1"/>
        <v>0</v>
      </c>
      <c r="Y166" s="1983">
        <f t="array" aca="1" ref="Y166:Y177" ca="1">'Distr CV 2'!M166:M177</f>
        <v>0</v>
      </c>
    </row>
    <row r="167" spans="1:25">
      <c r="A167" s="1971" t="str">
        <v>2 meses antes</v>
      </c>
      <c r="B167" s="1967"/>
      <c r="C167" s="1967"/>
      <c r="D167" s="1967"/>
      <c r="E167" s="1967"/>
      <c r="F167" s="1967"/>
      <c r="G167" s="1967"/>
      <c r="H167" s="1967"/>
      <c r="I167" s="1967"/>
      <c r="J167" s="1967"/>
      <c r="K167" s="1967"/>
      <c r="L167" s="592">
        <f t="array" aca="1" ref="L167:W167" ca="1">B23:M23*Produccion!$L$11</f>
        <v>0</v>
      </c>
      <c r="M167" s="592">
        <f ca="1"/>
        <v>0</v>
      </c>
      <c r="N167" s="592">
        <f ca="1"/>
        <v>0</v>
      </c>
      <c r="O167" s="592">
        <f ca="1"/>
        <v>0</v>
      </c>
      <c r="P167" s="592">
        <f ca="1"/>
        <v>0</v>
      </c>
      <c r="Q167" s="592">
        <f ca="1"/>
        <v>0</v>
      </c>
      <c r="R167" s="592">
        <f ca="1"/>
        <v>0</v>
      </c>
      <c r="S167" s="592">
        <f ca="1"/>
        <v>0</v>
      </c>
      <c r="T167" s="592">
        <f ca="1"/>
        <v>0</v>
      </c>
      <c r="U167" s="592">
        <f ca="1"/>
        <v>0</v>
      </c>
      <c r="V167" s="592">
        <f ca="1"/>
        <v>0</v>
      </c>
      <c r="W167" s="592">
        <f ca="1"/>
        <v>0</v>
      </c>
      <c r="X167" s="1964">
        <f t="array" aca="1" ref="X167:X177" ca="1">'Distr CV 2'!L167:L177</f>
        <v>0</v>
      </c>
      <c r="Y167" s="1983">
        <f ca="1"/>
        <v>0</v>
      </c>
    </row>
    <row r="168" spans="1:25">
      <c r="A168" s="1971" t="str">
        <v>3 meses antes</v>
      </c>
      <c r="B168" s="1967"/>
      <c r="C168" s="1967"/>
      <c r="D168" s="1967"/>
      <c r="E168" s="1967"/>
      <c r="F168" s="1967"/>
      <c r="G168" s="1967"/>
      <c r="H168" s="1967"/>
      <c r="I168" s="1967"/>
      <c r="J168" s="1967"/>
      <c r="K168" s="592">
        <f t="array" aca="1" ref="K168:V168" ca="1">B23:M23*Produccion!$K$11</f>
        <v>0</v>
      </c>
      <c r="L168" s="592">
        <f ca="1"/>
        <v>0</v>
      </c>
      <c r="M168" s="592">
        <f ca="1"/>
        <v>0</v>
      </c>
      <c r="N168" s="592">
        <f ca="1"/>
        <v>0</v>
      </c>
      <c r="O168" s="592">
        <f ca="1"/>
        <v>0</v>
      </c>
      <c r="P168" s="592">
        <f ca="1"/>
        <v>0</v>
      </c>
      <c r="Q168" s="592">
        <f ca="1"/>
        <v>0</v>
      </c>
      <c r="R168" s="592">
        <f ca="1"/>
        <v>0</v>
      </c>
      <c r="S168" s="592">
        <f ca="1"/>
        <v>0</v>
      </c>
      <c r="T168" s="592">
        <f ca="1"/>
        <v>0</v>
      </c>
      <c r="U168" s="592">
        <f ca="1"/>
        <v>0</v>
      </c>
      <c r="V168" s="592">
        <f ca="1"/>
        <v>0</v>
      </c>
      <c r="W168" s="1964">
        <f t="array" aca="1" ref="W168:W177" ca="1">'Distr CV 2'!K168:K177</f>
        <v>0</v>
      </c>
      <c r="X168" s="1964">
        <f ca="1"/>
        <v>0</v>
      </c>
      <c r="Y168" s="1983">
        <f ca="1"/>
        <v>0</v>
      </c>
    </row>
    <row r="169" spans="1:25">
      <c r="A169" s="1971" t="str">
        <v>4 meses antes</v>
      </c>
      <c r="B169" s="1967"/>
      <c r="C169" s="1967"/>
      <c r="D169" s="1967"/>
      <c r="E169" s="1967"/>
      <c r="F169" s="1967"/>
      <c r="G169" s="1967"/>
      <c r="H169" s="1967"/>
      <c r="I169" s="1967"/>
      <c r="J169" s="592">
        <f t="array" aca="1" ref="J169:U169" ca="1">B23:M23*Produccion!$J$11</f>
        <v>0</v>
      </c>
      <c r="K169" s="592">
        <f ca="1"/>
        <v>0</v>
      </c>
      <c r="L169" s="592">
        <f ca="1"/>
        <v>0</v>
      </c>
      <c r="M169" s="592">
        <f ca="1"/>
        <v>0</v>
      </c>
      <c r="N169" s="592">
        <f ca="1"/>
        <v>0</v>
      </c>
      <c r="O169" s="592">
        <f ca="1"/>
        <v>0</v>
      </c>
      <c r="P169" s="592">
        <f ca="1"/>
        <v>0</v>
      </c>
      <c r="Q169" s="592">
        <f ca="1"/>
        <v>0</v>
      </c>
      <c r="R169" s="592">
        <f ca="1"/>
        <v>0</v>
      </c>
      <c r="S169" s="592">
        <f ca="1"/>
        <v>0</v>
      </c>
      <c r="T169" s="592">
        <f ca="1"/>
        <v>0</v>
      </c>
      <c r="U169" s="592">
        <f ca="1"/>
        <v>0</v>
      </c>
      <c r="V169" s="1964">
        <f t="array" aca="1" ref="V169:V177" ca="1">'Distr CV 2'!J169:J177</f>
        <v>0</v>
      </c>
      <c r="W169" s="1964">
        <f ca="1"/>
        <v>0</v>
      </c>
      <c r="X169" s="1964">
        <f ca="1"/>
        <v>0</v>
      </c>
      <c r="Y169" s="1983">
        <f ca="1"/>
        <v>0</v>
      </c>
    </row>
    <row r="170" spans="1:25">
      <c r="A170" s="1971" t="str">
        <v>5 meses antes</v>
      </c>
      <c r="B170" s="1967"/>
      <c r="C170" s="1967"/>
      <c r="D170" s="1967"/>
      <c r="E170" s="1967"/>
      <c r="F170" s="1967"/>
      <c r="G170" s="1967"/>
      <c r="H170" s="1967"/>
      <c r="I170" s="592">
        <f t="array" aca="1" ref="I170:T170" ca="1">B23:M23*Produccion!$I$11</f>
        <v>0</v>
      </c>
      <c r="J170" s="592">
        <f ca="1"/>
        <v>0</v>
      </c>
      <c r="K170" s="592">
        <f ca="1"/>
        <v>0</v>
      </c>
      <c r="L170" s="592">
        <f ca="1"/>
        <v>0</v>
      </c>
      <c r="M170" s="592">
        <f ca="1"/>
        <v>0</v>
      </c>
      <c r="N170" s="592">
        <f ca="1"/>
        <v>0</v>
      </c>
      <c r="O170" s="592">
        <f ca="1"/>
        <v>0</v>
      </c>
      <c r="P170" s="592">
        <f ca="1"/>
        <v>0</v>
      </c>
      <c r="Q170" s="592">
        <f ca="1"/>
        <v>0</v>
      </c>
      <c r="R170" s="592">
        <f ca="1"/>
        <v>0</v>
      </c>
      <c r="S170" s="592">
        <f ca="1"/>
        <v>0</v>
      </c>
      <c r="T170" s="592">
        <f ca="1"/>
        <v>0</v>
      </c>
      <c r="U170" s="1964">
        <f t="array" aca="1" ref="U170:U177" ca="1">'Distr CV 2'!I170:I177</f>
        <v>0</v>
      </c>
      <c r="V170" s="1964">
        <f ca="1"/>
        <v>0</v>
      </c>
      <c r="W170" s="1964">
        <f ca="1"/>
        <v>0</v>
      </c>
      <c r="X170" s="1964">
        <f ca="1"/>
        <v>0</v>
      </c>
      <c r="Y170" s="1983">
        <f ca="1"/>
        <v>0</v>
      </c>
    </row>
    <row r="171" spans="1:25">
      <c r="A171" s="1971" t="str">
        <v>6 meses antes</v>
      </c>
      <c r="B171" s="1967"/>
      <c r="C171" s="1967"/>
      <c r="D171" s="1967"/>
      <c r="E171" s="1967"/>
      <c r="F171" s="1967"/>
      <c r="G171" s="1967"/>
      <c r="H171" s="592">
        <f t="array" aca="1" ref="H171:S171" ca="1">B23:M23*Produccion!$H$11</f>
        <v>0</v>
      </c>
      <c r="I171" s="592">
        <f ca="1"/>
        <v>0</v>
      </c>
      <c r="J171" s="592">
        <f ca="1"/>
        <v>0</v>
      </c>
      <c r="K171" s="592">
        <f ca="1"/>
        <v>0</v>
      </c>
      <c r="L171" s="592">
        <f ca="1"/>
        <v>0</v>
      </c>
      <c r="M171" s="592">
        <f ca="1"/>
        <v>0</v>
      </c>
      <c r="N171" s="592">
        <f ca="1"/>
        <v>0</v>
      </c>
      <c r="O171" s="592">
        <f ca="1"/>
        <v>0</v>
      </c>
      <c r="P171" s="592">
        <f ca="1"/>
        <v>0</v>
      </c>
      <c r="Q171" s="592">
        <f ca="1"/>
        <v>0</v>
      </c>
      <c r="R171" s="592">
        <f ca="1"/>
        <v>0</v>
      </c>
      <c r="S171" s="592">
        <f ca="1"/>
        <v>0</v>
      </c>
      <c r="T171" s="1964">
        <f t="array" aca="1" ref="T171:T177" ca="1">'Distr CV 2'!H171:H177</f>
        <v>0</v>
      </c>
      <c r="U171" s="1964">
        <f ca="1"/>
        <v>0</v>
      </c>
      <c r="V171" s="1964">
        <f ca="1"/>
        <v>0</v>
      </c>
      <c r="W171" s="1964">
        <f ca="1"/>
        <v>0</v>
      </c>
      <c r="X171" s="1964">
        <f ca="1"/>
        <v>0</v>
      </c>
      <c r="Y171" s="1983">
        <f ca="1"/>
        <v>0</v>
      </c>
    </row>
    <row r="172" spans="1:25">
      <c r="A172" s="1971" t="str">
        <v>7 meses antes</v>
      </c>
      <c r="B172" s="1967"/>
      <c r="C172" s="1967"/>
      <c r="D172" s="1967"/>
      <c r="E172" s="1967"/>
      <c r="F172" s="1967"/>
      <c r="G172" s="592">
        <f t="array" aca="1" ref="G172:R172" ca="1">B23:M23*Produccion!$G$11</f>
        <v>0</v>
      </c>
      <c r="H172" s="592">
        <f ca="1"/>
        <v>0</v>
      </c>
      <c r="I172" s="592">
        <f ca="1"/>
        <v>0</v>
      </c>
      <c r="J172" s="592">
        <f ca="1"/>
        <v>0</v>
      </c>
      <c r="K172" s="592">
        <f ca="1"/>
        <v>0</v>
      </c>
      <c r="L172" s="592">
        <f ca="1"/>
        <v>0</v>
      </c>
      <c r="M172" s="592">
        <f ca="1"/>
        <v>0</v>
      </c>
      <c r="N172" s="592">
        <f ca="1"/>
        <v>0</v>
      </c>
      <c r="O172" s="592">
        <f ca="1"/>
        <v>0</v>
      </c>
      <c r="P172" s="592">
        <f ca="1"/>
        <v>0</v>
      </c>
      <c r="Q172" s="592">
        <f ca="1"/>
        <v>0</v>
      </c>
      <c r="R172" s="592">
        <f ca="1"/>
        <v>0</v>
      </c>
      <c r="S172" s="1968">
        <f t="array" aca="1" ref="S172:S177" ca="1">'Distr CV 2'!G172:G177</f>
        <v>0</v>
      </c>
      <c r="T172" s="1968">
        <f ca="1"/>
        <v>0</v>
      </c>
      <c r="U172" s="1968">
        <f ca="1"/>
        <v>0</v>
      </c>
      <c r="V172" s="1968">
        <f ca="1"/>
        <v>0</v>
      </c>
      <c r="W172" s="1968">
        <f ca="1"/>
        <v>0</v>
      </c>
      <c r="X172" s="1968">
        <f ca="1"/>
        <v>0</v>
      </c>
      <c r="Y172" s="1986">
        <f ca="1"/>
        <v>0</v>
      </c>
    </row>
    <row r="173" spans="1:25">
      <c r="A173" s="1971" t="str">
        <v>8 meses antes</v>
      </c>
      <c r="B173" s="1967"/>
      <c r="C173" s="1967"/>
      <c r="D173" s="1967"/>
      <c r="E173" s="1967"/>
      <c r="F173" s="592">
        <f t="array" aca="1" ref="F173:Q173" ca="1">B23:M23*Produccion!$F$11</f>
        <v>0</v>
      </c>
      <c r="G173" s="592">
        <f ca="1"/>
        <v>0</v>
      </c>
      <c r="H173" s="592">
        <f ca="1"/>
        <v>0</v>
      </c>
      <c r="I173" s="592">
        <f ca="1"/>
        <v>0</v>
      </c>
      <c r="J173" s="592">
        <f ca="1"/>
        <v>0</v>
      </c>
      <c r="K173" s="592">
        <f ca="1"/>
        <v>0</v>
      </c>
      <c r="L173" s="592">
        <f ca="1"/>
        <v>0</v>
      </c>
      <c r="M173" s="592">
        <f ca="1"/>
        <v>0</v>
      </c>
      <c r="N173" s="592">
        <f ca="1"/>
        <v>0</v>
      </c>
      <c r="O173" s="592">
        <f ca="1"/>
        <v>0</v>
      </c>
      <c r="P173" s="592">
        <f ca="1"/>
        <v>0</v>
      </c>
      <c r="Q173" s="592">
        <f ca="1"/>
        <v>0</v>
      </c>
      <c r="R173" s="1968">
        <f t="array" aca="1" ref="R173:R177" ca="1">'Distr CV 2'!F173:F177</f>
        <v>0</v>
      </c>
      <c r="S173" s="1968">
        <f ca="1"/>
        <v>0</v>
      </c>
      <c r="T173" s="1968">
        <f ca="1"/>
        <v>0</v>
      </c>
      <c r="U173" s="1968">
        <f ca="1"/>
        <v>0</v>
      </c>
      <c r="V173" s="1968">
        <f ca="1"/>
        <v>0</v>
      </c>
      <c r="W173" s="1968">
        <f ca="1"/>
        <v>0</v>
      </c>
      <c r="X173" s="1968">
        <f ca="1"/>
        <v>0</v>
      </c>
      <c r="Y173" s="1986">
        <f ca="1"/>
        <v>0</v>
      </c>
    </row>
    <row r="174" spans="1:25">
      <c r="A174" s="1971" t="str">
        <v>9 meses antes</v>
      </c>
      <c r="B174" s="1967"/>
      <c r="C174" s="1967"/>
      <c r="D174" s="1967"/>
      <c r="E174" s="592">
        <f t="array" aca="1" ref="E174:P174" ca="1">B23:M23*Produccion!$E$11</f>
        <v>0</v>
      </c>
      <c r="F174" s="592">
        <f ca="1"/>
        <v>0</v>
      </c>
      <c r="G174" s="592">
        <f ca="1"/>
        <v>0</v>
      </c>
      <c r="H174" s="592">
        <f ca="1"/>
        <v>0</v>
      </c>
      <c r="I174" s="592">
        <f ca="1"/>
        <v>0</v>
      </c>
      <c r="J174" s="592">
        <f ca="1"/>
        <v>0</v>
      </c>
      <c r="K174" s="592">
        <f ca="1"/>
        <v>0</v>
      </c>
      <c r="L174" s="592">
        <f ca="1"/>
        <v>0</v>
      </c>
      <c r="M174" s="592">
        <f ca="1"/>
        <v>0</v>
      </c>
      <c r="N174" s="592">
        <f ca="1"/>
        <v>0</v>
      </c>
      <c r="O174" s="592">
        <f ca="1"/>
        <v>0</v>
      </c>
      <c r="P174" s="592">
        <f ca="1"/>
        <v>0</v>
      </c>
      <c r="Q174" s="1968">
        <f t="array" aca="1" ref="Q174:Q177" ca="1">'Distr CV 2'!E174:E177</f>
        <v>0</v>
      </c>
      <c r="R174" s="1968">
        <f ca="1"/>
        <v>0</v>
      </c>
      <c r="S174" s="1968">
        <f ca="1"/>
        <v>0</v>
      </c>
      <c r="T174" s="1968">
        <f ca="1"/>
        <v>0</v>
      </c>
      <c r="U174" s="1968">
        <f ca="1"/>
        <v>0</v>
      </c>
      <c r="V174" s="1968">
        <f ca="1"/>
        <v>0</v>
      </c>
      <c r="W174" s="1968">
        <f ca="1"/>
        <v>0</v>
      </c>
      <c r="X174" s="1968">
        <f ca="1"/>
        <v>0</v>
      </c>
      <c r="Y174" s="1986">
        <f ca="1"/>
        <v>0</v>
      </c>
    </row>
    <row r="175" spans="1:25">
      <c r="A175" s="1971" t="str">
        <v>10 meses antes</v>
      </c>
      <c r="B175" s="1967"/>
      <c r="C175" s="1967"/>
      <c r="D175" s="592">
        <f t="array" aca="1" ref="D175:O175" ca="1">B23:M23*Produccion!$D$11</f>
        <v>0</v>
      </c>
      <c r="E175" s="592">
        <f ca="1"/>
        <v>0</v>
      </c>
      <c r="F175" s="592">
        <f ca="1"/>
        <v>0</v>
      </c>
      <c r="G175" s="592">
        <f ca="1"/>
        <v>0</v>
      </c>
      <c r="H175" s="592">
        <f ca="1"/>
        <v>0</v>
      </c>
      <c r="I175" s="592">
        <f ca="1"/>
        <v>0</v>
      </c>
      <c r="J175" s="592">
        <f ca="1"/>
        <v>0</v>
      </c>
      <c r="K175" s="592">
        <f ca="1"/>
        <v>0</v>
      </c>
      <c r="L175" s="592">
        <f ca="1"/>
        <v>0</v>
      </c>
      <c r="M175" s="592">
        <f ca="1"/>
        <v>0</v>
      </c>
      <c r="N175" s="592">
        <f ca="1"/>
        <v>0</v>
      </c>
      <c r="O175" s="592">
        <f ca="1"/>
        <v>0</v>
      </c>
      <c r="P175" s="1968">
        <f t="array" aca="1" ref="P175:P177" ca="1">'Distr CV 2'!D175:D177</f>
        <v>0</v>
      </c>
      <c r="Q175" s="1968">
        <f ca="1"/>
        <v>0</v>
      </c>
      <c r="R175" s="1968">
        <f ca="1"/>
        <v>0</v>
      </c>
      <c r="S175" s="1968">
        <f ca="1"/>
        <v>0</v>
      </c>
      <c r="T175" s="1968">
        <f ca="1"/>
        <v>0</v>
      </c>
      <c r="U175" s="1968">
        <f ca="1"/>
        <v>0</v>
      </c>
      <c r="V175" s="1968">
        <f ca="1"/>
        <v>0</v>
      </c>
      <c r="W175" s="1968">
        <f ca="1"/>
        <v>0</v>
      </c>
      <c r="X175" s="1968">
        <f ca="1"/>
        <v>0</v>
      </c>
      <c r="Y175" s="1986">
        <f ca="1"/>
        <v>0</v>
      </c>
    </row>
    <row r="176" spans="1:25">
      <c r="A176" s="1971" t="str">
        <v>11 meses antes</v>
      </c>
      <c r="B176" s="1967"/>
      <c r="C176" s="592">
        <f t="array" aca="1" ref="C176:N176" ca="1">B23:M23*Produccion!$C$11</f>
        <v>0</v>
      </c>
      <c r="D176" s="592">
        <f ca="1"/>
        <v>0</v>
      </c>
      <c r="E176" s="592">
        <f ca="1"/>
        <v>0</v>
      </c>
      <c r="F176" s="592">
        <f ca="1"/>
        <v>0</v>
      </c>
      <c r="G176" s="592">
        <f ca="1"/>
        <v>0</v>
      </c>
      <c r="H176" s="592">
        <f ca="1"/>
        <v>0</v>
      </c>
      <c r="I176" s="592">
        <f ca="1"/>
        <v>0</v>
      </c>
      <c r="J176" s="592">
        <f ca="1"/>
        <v>0</v>
      </c>
      <c r="K176" s="592">
        <f ca="1"/>
        <v>0</v>
      </c>
      <c r="L176" s="592">
        <f ca="1"/>
        <v>0</v>
      </c>
      <c r="M176" s="592">
        <f ca="1"/>
        <v>0</v>
      </c>
      <c r="N176" s="592">
        <f ca="1"/>
        <v>0</v>
      </c>
      <c r="O176" s="1968">
        <f ca="1">'Distr CV 2'!C176</f>
        <v>0</v>
      </c>
      <c r="P176" s="1968">
        <f ca="1"/>
        <v>0</v>
      </c>
      <c r="Q176" s="1968">
        <f ca="1"/>
        <v>0</v>
      </c>
      <c r="R176" s="1968">
        <f ca="1"/>
        <v>0</v>
      </c>
      <c r="S176" s="1968">
        <f ca="1"/>
        <v>0</v>
      </c>
      <c r="T176" s="1968">
        <f ca="1"/>
        <v>0</v>
      </c>
      <c r="U176" s="1968">
        <f ca="1"/>
        <v>0</v>
      </c>
      <c r="V176" s="1968">
        <f ca="1"/>
        <v>0</v>
      </c>
      <c r="W176" s="1968">
        <f ca="1"/>
        <v>0</v>
      </c>
      <c r="X176" s="1968">
        <f ca="1"/>
        <v>0</v>
      </c>
      <c r="Y176" s="1986">
        <f ca="1"/>
        <v>0</v>
      </c>
    </row>
    <row r="177" spans="1:25" ht="13.5" thickBot="1">
      <c r="A177" s="1971" t="str">
        <v>12 meses antes</v>
      </c>
      <c r="B177" s="592">
        <f t="array" aca="1" ref="B177:M177" ca="1">B23:M23*Produccion!$B$11</f>
        <v>0</v>
      </c>
      <c r="C177" s="592">
        <f ca="1"/>
        <v>0</v>
      </c>
      <c r="D177" s="592">
        <f ca="1"/>
        <v>0</v>
      </c>
      <c r="E177" s="592">
        <f ca="1"/>
        <v>0</v>
      </c>
      <c r="F177" s="592">
        <f ca="1"/>
        <v>0</v>
      </c>
      <c r="G177" s="592">
        <f ca="1"/>
        <v>0</v>
      </c>
      <c r="H177" s="592">
        <f ca="1"/>
        <v>0</v>
      </c>
      <c r="I177" s="592">
        <f ca="1"/>
        <v>0</v>
      </c>
      <c r="J177" s="592">
        <f ca="1"/>
        <v>0</v>
      </c>
      <c r="K177" s="592">
        <f ca="1"/>
        <v>0</v>
      </c>
      <c r="L177" s="592">
        <f ca="1"/>
        <v>0</v>
      </c>
      <c r="M177" s="592">
        <f ca="1"/>
        <v>0</v>
      </c>
      <c r="N177" s="1967">
        <f ca="1">'Distr CV 2'!B177</f>
        <v>0</v>
      </c>
      <c r="O177" s="1968">
        <f ca="1">'Distr CV 2'!C177</f>
        <v>0</v>
      </c>
      <c r="P177" s="1968">
        <f ca="1"/>
        <v>0</v>
      </c>
      <c r="Q177" s="1968">
        <f ca="1"/>
        <v>0</v>
      </c>
      <c r="R177" s="1968">
        <f ca="1"/>
        <v>0</v>
      </c>
      <c r="S177" s="1968">
        <f ca="1"/>
        <v>0</v>
      </c>
      <c r="T177" s="1968">
        <f ca="1"/>
        <v>0</v>
      </c>
      <c r="U177" s="1968">
        <f ca="1"/>
        <v>0</v>
      </c>
      <c r="V177" s="1968">
        <f ca="1"/>
        <v>0</v>
      </c>
      <c r="W177" s="1968">
        <f ca="1"/>
        <v>0</v>
      </c>
      <c r="X177" s="1968">
        <f ca="1"/>
        <v>0</v>
      </c>
      <c r="Y177" s="1986">
        <f ca="1"/>
        <v>0</v>
      </c>
    </row>
    <row r="178" spans="1:25" ht="13.5" thickBot="1">
      <c r="A178" s="103" t="str">
        <f>"Totales CV "&amp;A$11</f>
        <v xml:space="preserve">Totales CV </v>
      </c>
      <c r="B178" s="596">
        <f t="shared" ref="B178:Y178" ca="1" si="13">SUM(B165:B177)</f>
        <v>0</v>
      </c>
      <c r="C178" s="596">
        <f t="shared" ca="1" si="13"/>
        <v>0</v>
      </c>
      <c r="D178" s="596">
        <f t="shared" ca="1" si="13"/>
        <v>0</v>
      </c>
      <c r="E178" s="596">
        <f t="shared" ca="1" si="13"/>
        <v>0</v>
      </c>
      <c r="F178" s="596">
        <f t="shared" ca="1" si="13"/>
        <v>0</v>
      </c>
      <c r="G178" s="596">
        <f t="shared" ca="1" si="13"/>
        <v>0</v>
      </c>
      <c r="H178" s="596">
        <f t="shared" ca="1" si="13"/>
        <v>0</v>
      </c>
      <c r="I178" s="596">
        <f t="shared" ca="1" si="13"/>
        <v>0</v>
      </c>
      <c r="J178" s="596">
        <f t="shared" ca="1" si="13"/>
        <v>0</v>
      </c>
      <c r="K178" s="596">
        <f t="shared" ca="1" si="13"/>
        <v>0</v>
      </c>
      <c r="L178" s="596">
        <f t="shared" ca="1" si="13"/>
        <v>0</v>
      </c>
      <c r="M178" s="596">
        <f t="shared" ca="1" si="13"/>
        <v>0</v>
      </c>
      <c r="N178" s="596">
        <f t="shared" ca="1" si="13"/>
        <v>0</v>
      </c>
      <c r="O178" s="596">
        <f t="shared" ca="1" si="13"/>
        <v>0</v>
      </c>
      <c r="P178" s="596">
        <f t="shared" ca="1" si="13"/>
        <v>0</v>
      </c>
      <c r="Q178" s="596">
        <f t="shared" ca="1" si="13"/>
        <v>0</v>
      </c>
      <c r="R178" s="596">
        <f t="shared" ca="1" si="13"/>
        <v>0</v>
      </c>
      <c r="S178" s="596">
        <f t="shared" ca="1" si="13"/>
        <v>0</v>
      </c>
      <c r="T178" s="596">
        <f t="shared" ca="1" si="13"/>
        <v>0</v>
      </c>
      <c r="U178" s="596">
        <f t="shared" ca="1" si="13"/>
        <v>0</v>
      </c>
      <c r="V178" s="596">
        <f t="shared" ca="1" si="13"/>
        <v>0</v>
      </c>
      <c r="W178" s="596">
        <f t="shared" ca="1" si="13"/>
        <v>0</v>
      </c>
      <c r="X178" s="596">
        <f t="shared" ca="1" si="13"/>
        <v>0</v>
      </c>
      <c r="Y178" s="1984">
        <f t="shared" ca="1" si="13"/>
        <v>0</v>
      </c>
    </row>
    <row r="179" spans="1:25" ht="13.5" thickBot="1">
      <c r="A179" s="103" t="str">
        <f>'Datos Básicos'!A28&amp;" sop. CV "&amp;$A$11</f>
        <v xml:space="preserve">IVA sop. CV </v>
      </c>
      <c r="B179" s="596">
        <f t="array" aca="1" ref="B179:Y179" ca="1">$K$163*B178:Y178</f>
        <v>0</v>
      </c>
      <c r="C179" s="596">
        <f ca="1"/>
        <v>0</v>
      </c>
      <c r="D179" s="596">
        <f ca="1"/>
        <v>0</v>
      </c>
      <c r="E179" s="596">
        <f ca="1"/>
        <v>0</v>
      </c>
      <c r="F179" s="596">
        <f ca="1"/>
        <v>0</v>
      </c>
      <c r="G179" s="596">
        <f ca="1"/>
        <v>0</v>
      </c>
      <c r="H179" s="596">
        <f ca="1"/>
        <v>0</v>
      </c>
      <c r="I179" s="596">
        <f ca="1"/>
        <v>0</v>
      </c>
      <c r="J179" s="596">
        <f ca="1"/>
        <v>0</v>
      </c>
      <c r="K179" s="596">
        <f ca="1"/>
        <v>0</v>
      </c>
      <c r="L179" s="596">
        <f ca="1"/>
        <v>0</v>
      </c>
      <c r="M179" s="596">
        <f ca="1"/>
        <v>0</v>
      </c>
      <c r="N179" s="596">
        <f ca="1"/>
        <v>0</v>
      </c>
      <c r="O179" s="596">
        <f ca="1"/>
        <v>0</v>
      </c>
      <c r="P179" s="596">
        <f ca="1"/>
        <v>0</v>
      </c>
      <c r="Q179" s="596">
        <f ca="1"/>
        <v>0</v>
      </c>
      <c r="R179" s="596">
        <f ca="1"/>
        <v>0</v>
      </c>
      <c r="S179" s="596">
        <f ca="1"/>
        <v>0</v>
      </c>
      <c r="T179" s="596">
        <f ca="1"/>
        <v>0</v>
      </c>
      <c r="U179" s="596">
        <f ca="1"/>
        <v>0</v>
      </c>
      <c r="V179" s="596">
        <f ca="1"/>
        <v>0</v>
      </c>
      <c r="W179" s="596">
        <f ca="1"/>
        <v>0</v>
      </c>
      <c r="X179" s="596">
        <f ca="1"/>
        <v>0</v>
      </c>
      <c r="Y179" s="1984">
        <f ca="1"/>
        <v>0</v>
      </c>
    </row>
    <row r="181" spans="1:25" ht="18.75" thickBot="1">
      <c r="A181" s="1969" t="str">
        <f>'Distr CV 0'!A181</f>
        <v xml:space="preserve">Compras / costes de producción por meses de </v>
      </c>
      <c r="I181" s="1969" t="str">
        <f>I$18</f>
        <v>IVA NO incluido</v>
      </c>
      <c r="K181" s="1981">
        <f>Parametros!$F$28</f>
        <v>0.21</v>
      </c>
    </row>
    <row r="182" spans="1:25" ht="31.5" customHeight="1" thickBot="1">
      <c r="A182" s="446" t="str">
        <f>A$110</f>
        <v>mes de compra / coste</v>
      </c>
      <c r="B182" s="1987" t="str">
        <f t="array" ref="B182:Y182">B$71:Y$71</f>
        <v>enero 
2026</v>
      </c>
      <c r="C182" s="1987" t="str">
        <v>febrero 
2026</v>
      </c>
      <c r="D182" s="1987" t="str">
        <v>marzo 
2026</v>
      </c>
      <c r="E182" s="1987" t="str">
        <v>abril 
2026</v>
      </c>
      <c r="F182" s="1987" t="str">
        <v>mayo 
2026</v>
      </c>
      <c r="G182" s="1987" t="str">
        <v>junio 
2026</v>
      </c>
      <c r="H182" s="1987" t="str">
        <v>julio 
2026</v>
      </c>
      <c r="I182" s="1987" t="str">
        <v>agosto 
2026</v>
      </c>
      <c r="J182" s="1987" t="str">
        <v>septiembre 
2026</v>
      </c>
      <c r="K182" s="1987" t="str">
        <v>octubre 
2026</v>
      </c>
      <c r="L182" s="1987" t="str">
        <v>noviembre 
2026</v>
      </c>
      <c r="M182" s="1987" t="str">
        <v>diciembre 
2026</v>
      </c>
      <c r="N182" s="2706" t="str">
        <v>enero 
2027</v>
      </c>
      <c r="O182" s="2707" t="str">
        <v>febrero 
2027</v>
      </c>
      <c r="P182" s="2707" t="str">
        <v>marzo 
2027</v>
      </c>
      <c r="Q182" s="2707" t="str">
        <v>abril 
2027</v>
      </c>
      <c r="R182" s="2707" t="str">
        <v>mayo 
2027</v>
      </c>
      <c r="S182" s="2707" t="str">
        <v>junio 
2027</v>
      </c>
      <c r="T182" s="2707" t="str">
        <v>julio 
2027</v>
      </c>
      <c r="U182" s="2707" t="str">
        <v>agosto 
2027</v>
      </c>
      <c r="V182" s="2707" t="str">
        <v>septiembre 
2027</v>
      </c>
      <c r="W182" s="2707" t="str">
        <v>octubre 
2027</v>
      </c>
      <c r="X182" s="2707" t="str">
        <v>noviembre 
2027</v>
      </c>
      <c r="Y182" s="2708" t="str">
        <v>diciembre 
2027</v>
      </c>
    </row>
    <row r="183" spans="1:25">
      <c r="A183" s="1970" t="str">
        <f t="array" ref="A183:A195">A$72:A$84</f>
        <v>mismo mes</v>
      </c>
      <c r="B183" s="1967"/>
      <c r="C183" s="1967"/>
      <c r="D183" s="1967"/>
      <c r="E183" s="1967"/>
      <c r="F183" s="1967"/>
      <c r="G183" s="1967"/>
      <c r="H183" s="1967"/>
      <c r="I183" s="1967"/>
      <c r="J183" s="1967"/>
      <c r="K183" s="1967"/>
      <c r="L183" s="1967"/>
      <c r="M183" s="1967"/>
      <c r="N183" s="592">
        <f t="array" aca="1" ref="N183:Y183" ca="1">B24:M24*Produccion!$N$12</f>
        <v>0</v>
      </c>
      <c r="O183" s="592">
        <f ca="1"/>
        <v>0</v>
      </c>
      <c r="P183" s="592">
        <f ca="1"/>
        <v>0</v>
      </c>
      <c r="Q183" s="592">
        <f ca="1"/>
        <v>0</v>
      </c>
      <c r="R183" s="592">
        <f ca="1"/>
        <v>0</v>
      </c>
      <c r="S183" s="592">
        <f ca="1"/>
        <v>0</v>
      </c>
      <c r="T183" s="592">
        <f ca="1"/>
        <v>0</v>
      </c>
      <c r="U183" s="592">
        <f ca="1"/>
        <v>0</v>
      </c>
      <c r="V183" s="592">
        <f ca="1"/>
        <v>0</v>
      </c>
      <c r="W183" s="592">
        <f ca="1"/>
        <v>0</v>
      </c>
      <c r="X183" s="592">
        <f ca="1"/>
        <v>0</v>
      </c>
      <c r="Y183" s="1982">
        <f ca="1"/>
        <v>0</v>
      </c>
    </row>
    <row r="184" spans="1:25">
      <c r="A184" s="1971" t="str">
        <v>1 mes antes</v>
      </c>
      <c r="B184" s="1967"/>
      <c r="C184" s="1967"/>
      <c r="D184" s="1967"/>
      <c r="E184" s="1967"/>
      <c r="F184" s="1967"/>
      <c r="G184" s="1967"/>
      <c r="H184" s="1967"/>
      <c r="I184" s="1967"/>
      <c r="J184" s="1967"/>
      <c r="K184" s="1967"/>
      <c r="L184" s="1967"/>
      <c r="M184" s="592">
        <f t="array" aca="1" ref="M184:X184" ca="1">B24:M24*Produccion!$M$12</f>
        <v>0</v>
      </c>
      <c r="N184" s="592">
        <f ca="1"/>
        <v>0</v>
      </c>
      <c r="O184" s="592">
        <f ca="1"/>
        <v>0</v>
      </c>
      <c r="P184" s="592">
        <f ca="1"/>
        <v>0</v>
      </c>
      <c r="Q184" s="592">
        <f ca="1"/>
        <v>0</v>
      </c>
      <c r="R184" s="592">
        <f ca="1"/>
        <v>0</v>
      </c>
      <c r="S184" s="592">
        <f ca="1"/>
        <v>0</v>
      </c>
      <c r="T184" s="592">
        <f ca="1"/>
        <v>0</v>
      </c>
      <c r="U184" s="592">
        <f ca="1"/>
        <v>0</v>
      </c>
      <c r="V184" s="592">
        <f ca="1"/>
        <v>0</v>
      </c>
      <c r="W184" s="592">
        <f ca="1"/>
        <v>0</v>
      </c>
      <c r="X184" s="592">
        <f ca="1"/>
        <v>0</v>
      </c>
      <c r="Y184" s="1983">
        <f t="array" aca="1" ref="Y184:Y195" ca="1">'Distr CV 2'!M184:M195</f>
        <v>0</v>
      </c>
    </row>
    <row r="185" spans="1:25">
      <c r="A185" s="1971" t="str">
        <v>2 meses antes</v>
      </c>
      <c r="B185" s="1967"/>
      <c r="C185" s="1967"/>
      <c r="D185" s="1967"/>
      <c r="E185" s="1967"/>
      <c r="F185" s="1967"/>
      <c r="G185" s="1967"/>
      <c r="H185" s="1967"/>
      <c r="I185" s="1967"/>
      <c r="J185" s="1967"/>
      <c r="K185" s="1967"/>
      <c r="L185" s="592">
        <f t="array" aca="1" ref="L185:W185" ca="1">B24:M24*Produccion!$L$12</f>
        <v>0</v>
      </c>
      <c r="M185" s="592">
        <f ca="1"/>
        <v>0</v>
      </c>
      <c r="N185" s="592">
        <f ca="1"/>
        <v>0</v>
      </c>
      <c r="O185" s="592">
        <f ca="1"/>
        <v>0</v>
      </c>
      <c r="P185" s="592">
        <f ca="1"/>
        <v>0</v>
      </c>
      <c r="Q185" s="592">
        <f ca="1"/>
        <v>0</v>
      </c>
      <c r="R185" s="592">
        <f ca="1"/>
        <v>0</v>
      </c>
      <c r="S185" s="592">
        <f ca="1"/>
        <v>0</v>
      </c>
      <c r="T185" s="592">
        <f ca="1"/>
        <v>0</v>
      </c>
      <c r="U185" s="592">
        <f ca="1"/>
        <v>0</v>
      </c>
      <c r="V185" s="592">
        <f ca="1"/>
        <v>0</v>
      </c>
      <c r="W185" s="592">
        <f ca="1"/>
        <v>0</v>
      </c>
      <c r="X185" s="1964">
        <f t="array" aca="1" ref="X185:X195" ca="1">'Distr CV 2'!L185:L195</f>
        <v>0</v>
      </c>
      <c r="Y185" s="1983">
        <f ca="1"/>
        <v>0</v>
      </c>
    </row>
    <row r="186" spans="1:25">
      <c r="A186" s="1971" t="str">
        <v>3 meses antes</v>
      </c>
      <c r="B186" s="1967"/>
      <c r="C186" s="1967"/>
      <c r="D186" s="1967"/>
      <c r="E186" s="1967"/>
      <c r="F186" s="1967"/>
      <c r="G186" s="1967"/>
      <c r="H186" s="1967"/>
      <c r="I186" s="1967"/>
      <c r="J186" s="1967"/>
      <c r="K186" s="592">
        <f t="array" aca="1" ref="K186:V186" ca="1">B24:M24*Produccion!$K$12</f>
        <v>0</v>
      </c>
      <c r="L186" s="592">
        <f ca="1"/>
        <v>0</v>
      </c>
      <c r="M186" s="592">
        <f ca="1"/>
        <v>0</v>
      </c>
      <c r="N186" s="592">
        <f ca="1"/>
        <v>0</v>
      </c>
      <c r="O186" s="592">
        <f ca="1"/>
        <v>0</v>
      </c>
      <c r="P186" s="592">
        <f ca="1"/>
        <v>0</v>
      </c>
      <c r="Q186" s="592">
        <f ca="1"/>
        <v>0</v>
      </c>
      <c r="R186" s="592">
        <f ca="1"/>
        <v>0</v>
      </c>
      <c r="S186" s="592">
        <f ca="1"/>
        <v>0</v>
      </c>
      <c r="T186" s="592">
        <f ca="1"/>
        <v>0</v>
      </c>
      <c r="U186" s="592">
        <f ca="1"/>
        <v>0</v>
      </c>
      <c r="V186" s="592">
        <f ca="1"/>
        <v>0</v>
      </c>
      <c r="W186" s="1964">
        <f t="array" aca="1" ref="W186:W195" ca="1">'Distr CV 2'!K186:K195</f>
        <v>0</v>
      </c>
      <c r="X186" s="1964">
        <f ca="1"/>
        <v>0</v>
      </c>
      <c r="Y186" s="1983">
        <f ca="1"/>
        <v>0</v>
      </c>
    </row>
    <row r="187" spans="1:25">
      <c r="A187" s="1971" t="str">
        <v>4 meses antes</v>
      </c>
      <c r="B187" s="1967"/>
      <c r="C187" s="1967"/>
      <c r="D187" s="1967"/>
      <c r="E187" s="1967"/>
      <c r="F187" s="1967"/>
      <c r="G187" s="1967"/>
      <c r="H187" s="1967"/>
      <c r="I187" s="1967"/>
      <c r="J187" s="592">
        <f t="array" aca="1" ref="J187:U187" ca="1">B24:M24*Produccion!$J$12</f>
        <v>0</v>
      </c>
      <c r="K187" s="592">
        <f ca="1"/>
        <v>0</v>
      </c>
      <c r="L187" s="592">
        <f ca="1"/>
        <v>0</v>
      </c>
      <c r="M187" s="592">
        <f ca="1"/>
        <v>0</v>
      </c>
      <c r="N187" s="592">
        <f ca="1"/>
        <v>0</v>
      </c>
      <c r="O187" s="592">
        <f ca="1"/>
        <v>0</v>
      </c>
      <c r="P187" s="592">
        <f ca="1"/>
        <v>0</v>
      </c>
      <c r="Q187" s="592">
        <f ca="1"/>
        <v>0</v>
      </c>
      <c r="R187" s="592">
        <f ca="1"/>
        <v>0</v>
      </c>
      <c r="S187" s="592">
        <f ca="1"/>
        <v>0</v>
      </c>
      <c r="T187" s="592">
        <f ca="1"/>
        <v>0</v>
      </c>
      <c r="U187" s="592">
        <f ca="1"/>
        <v>0</v>
      </c>
      <c r="V187" s="1964">
        <f t="array" aca="1" ref="V187:V195" ca="1">'Distr CV 2'!J187:J195</f>
        <v>0</v>
      </c>
      <c r="W187" s="1964">
        <f ca="1"/>
        <v>0</v>
      </c>
      <c r="X187" s="1964">
        <f ca="1"/>
        <v>0</v>
      </c>
      <c r="Y187" s="1983">
        <f ca="1"/>
        <v>0</v>
      </c>
    </row>
    <row r="188" spans="1:25">
      <c r="A188" s="1971" t="str">
        <v>5 meses antes</v>
      </c>
      <c r="B188" s="1967"/>
      <c r="C188" s="1967"/>
      <c r="D188" s="1967"/>
      <c r="E188" s="1967"/>
      <c r="F188" s="1967"/>
      <c r="G188" s="1967"/>
      <c r="H188" s="1967"/>
      <c r="I188" s="592">
        <f t="array" aca="1" ref="I188:T188" ca="1">B24:M24*Produccion!$I$12</f>
        <v>0</v>
      </c>
      <c r="J188" s="592">
        <f ca="1"/>
        <v>0</v>
      </c>
      <c r="K188" s="592">
        <f ca="1"/>
        <v>0</v>
      </c>
      <c r="L188" s="592">
        <f ca="1"/>
        <v>0</v>
      </c>
      <c r="M188" s="592">
        <f ca="1"/>
        <v>0</v>
      </c>
      <c r="N188" s="592">
        <f ca="1"/>
        <v>0</v>
      </c>
      <c r="O188" s="592">
        <f ca="1"/>
        <v>0</v>
      </c>
      <c r="P188" s="592">
        <f ca="1"/>
        <v>0</v>
      </c>
      <c r="Q188" s="592">
        <f ca="1"/>
        <v>0</v>
      </c>
      <c r="R188" s="592">
        <f ca="1"/>
        <v>0</v>
      </c>
      <c r="S188" s="592">
        <f ca="1"/>
        <v>0</v>
      </c>
      <c r="T188" s="592">
        <f ca="1"/>
        <v>0</v>
      </c>
      <c r="U188" s="1964">
        <f t="array" aca="1" ref="U188:U195" ca="1">'Distr CV 2'!I188:I195</f>
        <v>0</v>
      </c>
      <c r="V188" s="1964">
        <f ca="1"/>
        <v>0</v>
      </c>
      <c r="W188" s="1964">
        <f ca="1"/>
        <v>0</v>
      </c>
      <c r="X188" s="1964">
        <f ca="1"/>
        <v>0</v>
      </c>
      <c r="Y188" s="1983">
        <f ca="1"/>
        <v>0</v>
      </c>
    </row>
    <row r="189" spans="1:25">
      <c r="A189" s="1971" t="str">
        <v>6 meses antes</v>
      </c>
      <c r="B189" s="1967"/>
      <c r="C189" s="1967"/>
      <c r="D189" s="1967"/>
      <c r="E189" s="1967"/>
      <c r="F189" s="1967"/>
      <c r="G189" s="1967"/>
      <c r="H189" s="592">
        <f t="array" aca="1" ref="H189:S189" ca="1">B24:M24*Produccion!$H$12</f>
        <v>0</v>
      </c>
      <c r="I189" s="592">
        <f ca="1"/>
        <v>0</v>
      </c>
      <c r="J189" s="592">
        <f ca="1"/>
        <v>0</v>
      </c>
      <c r="K189" s="592">
        <f ca="1"/>
        <v>0</v>
      </c>
      <c r="L189" s="592">
        <f ca="1"/>
        <v>0</v>
      </c>
      <c r="M189" s="592">
        <f ca="1"/>
        <v>0</v>
      </c>
      <c r="N189" s="592">
        <f ca="1"/>
        <v>0</v>
      </c>
      <c r="O189" s="592">
        <f ca="1"/>
        <v>0</v>
      </c>
      <c r="P189" s="592">
        <f ca="1"/>
        <v>0</v>
      </c>
      <c r="Q189" s="592">
        <f ca="1"/>
        <v>0</v>
      </c>
      <c r="R189" s="592">
        <f ca="1"/>
        <v>0</v>
      </c>
      <c r="S189" s="592">
        <f ca="1"/>
        <v>0</v>
      </c>
      <c r="T189" s="1964">
        <f t="array" aca="1" ref="T189:T195" ca="1">'Distr CV 2'!H189:H195</f>
        <v>0</v>
      </c>
      <c r="U189" s="1964">
        <f ca="1"/>
        <v>0</v>
      </c>
      <c r="V189" s="1964">
        <f ca="1"/>
        <v>0</v>
      </c>
      <c r="W189" s="1964">
        <f ca="1"/>
        <v>0</v>
      </c>
      <c r="X189" s="1964">
        <f ca="1"/>
        <v>0</v>
      </c>
      <c r="Y189" s="1983">
        <f ca="1"/>
        <v>0</v>
      </c>
    </row>
    <row r="190" spans="1:25">
      <c r="A190" s="1971" t="str">
        <v>7 meses antes</v>
      </c>
      <c r="B190" s="1967"/>
      <c r="C190" s="1967"/>
      <c r="D190" s="1967"/>
      <c r="E190" s="1967"/>
      <c r="F190" s="1967"/>
      <c r="G190" s="592">
        <f t="array" aca="1" ref="G190:R190" ca="1">B24:M24*Produccion!$G$12</f>
        <v>0</v>
      </c>
      <c r="H190" s="592">
        <f ca="1"/>
        <v>0</v>
      </c>
      <c r="I190" s="592">
        <f ca="1"/>
        <v>0</v>
      </c>
      <c r="J190" s="592">
        <f ca="1"/>
        <v>0</v>
      </c>
      <c r="K190" s="592">
        <f ca="1"/>
        <v>0</v>
      </c>
      <c r="L190" s="592">
        <f ca="1"/>
        <v>0</v>
      </c>
      <c r="M190" s="592">
        <f ca="1"/>
        <v>0</v>
      </c>
      <c r="N190" s="592">
        <f ca="1"/>
        <v>0</v>
      </c>
      <c r="O190" s="592">
        <f ca="1"/>
        <v>0</v>
      </c>
      <c r="P190" s="592">
        <f ca="1"/>
        <v>0</v>
      </c>
      <c r="Q190" s="592">
        <f ca="1"/>
        <v>0</v>
      </c>
      <c r="R190" s="592">
        <f ca="1"/>
        <v>0</v>
      </c>
      <c r="S190" s="1968">
        <f t="array" aca="1" ref="S190:S195" ca="1">'Distr CV 2'!G190:G195</f>
        <v>0</v>
      </c>
      <c r="T190" s="1968">
        <f ca="1"/>
        <v>0</v>
      </c>
      <c r="U190" s="1968">
        <f ca="1"/>
        <v>0</v>
      </c>
      <c r="V190" s="1968">
        <f ca="1"/>
        <v>0</v>
      </c>
      <c r="W190" s="1968">
        <f ca="1"/>
        <v>0</v>
      </c>
      <c r="X190" s="1968">
        <f ca="1"/>
        <v>0</v>
      </c>
      <c r="Y190" s="1986">
        <f ca="1"/>
        <v>0</v>
      </c>
    </row>
    <row r="191" spans="1:25">
      <c r="A191" s="1971" t="str">
        <v>8 meses antes</v>
      </c>
      <c r="B191" s="1967"/>
      <c r="C191" s="1967"/>
      <c r="D191" s="1967"/>
      <c r="E191" s="1967"/>
      <c r="F191" s="592">
        <f t="array" aca="1" ref="F191:Q191" ca="1">B24:M24*Produccion!$F$12</f>
        <v>0</v>
      </c>
      <c r="G191" s="592">
        <f ca="1"/>
        <v>0</v>
      </c>
      <c r="H191" s="592">
        <f ca="1"/>
        <v>0</v>
      </c>
      <c r="I191" s="592">
        <f ca="1"/>
        <v>0</v>
      </c>
      <c r="J191" s="592">
        <f ca="1"/>
        <v>0</v>
      </c>
      <c r="K191" s="592">
        <f ca="1"/>
        <v>0</v>
      </c>
      <c r="L191" s="592">
        <f ca="1"/>
        <v>0</v>
      </c>
      <c r="M191" s="592">
        <f ca="1"/>
        <v>0</v>
      </c>
      <c r="N191" s="592">
        <f ca="1"/>
        <v>0</v>
      </c>
      <c r="O191" s="592">
        <f ca="1"/>
        <v>0</v>
      </c>
      <c r="P191" s="592">
        <f ca="1"/>
        <v>0</v>
      </c>
      <c r="Q191" s="592">
        <f ca="1"/>
        <v>0</v>
      </c>
      <c r="R191" s="1968">
        <f t="array" aca="1" ref="R191:R195" ca="1">'Distr CV 2'!F191:F195</f>
        <v>0</v>
      </c>
      <c r="S191" s="1968">
        <f ca="1"/>
        <v>0</v>
      </c>
      <c r="T191" s="1968">
        <f ca="1"/>
        <v>0</v>
      </c>
      <c r="U191" s="1968">
        <f ca="1"/>
        <v>0</v>
      </c>
      <c r="V191" s="1968">
        <f ca="1"/>
        <v>0</v>
      </c>
      <c r="W191" s="1968">
        <f ca="1"/>
        <v>0</v>
      </c>
      <c r="X191" s="1968">
        <f ca="1"/>
        <v>0</v>
      </c>
      <c r="Y191" s="1986">
        <f ca="1"/>
        <v>0</v>
      </c>
    </row>
    <row r="192" spans="1:25">
      <c r="A192" s="1971" t="str">
        <v>9 meses antes</v>
      </c>
      <c r="B192" s="1967"/>
      <c r="C192" s="1967"/>
      <c r="D192" s="1967"/>
      <c r="E192" s="592">
        <f t="array" aca="1" ref="E192:P192" ca="1">B24:M24*Produccion!$E$12</f>
        <v>0</v>
      </c>
      <c r="F192" s="592">
        <f ca="1"/>
        <v>0</v>
      </c>
      <c r="G192" s="592">
        <f ca="1"/>
        <v>0</v>
      </c>
      <c r="H192" s="592">
        <f ca="1"/>
        <v>0</v>
      </c>
      <c r="I192" s="592">
        <f ca="1"/>
        <v>0</v>
      </c>
      <c r="J192" s="592">
        <f ca="1"/>
        <v>0</v>
      </c>
      <c r="K192" s="592">
        <f ca="1"/>
        <v>0</v>
      </c>
      <c r="L192" s="592">
        <f ca="1"/>
        <v>0</v>
      </c>
      <c r="M192" s="592">
        <f ca="1"/>
        <v>0</v>
      </c>
      <c r="N192" s="592">
        <f ca="1"/>
        <v>0</v>
      </c>
      <c r="O192" s="592">
        <f ca="1"/>
        <v>0</v>
      </c>
      <c r="P192" s="592">
        <f ca="1"/>
        <v>0</v>
      </c>
      <c r="Q192" s="1968">
        <f t="array" aca="1" ref="Q192:Q195" ca="1">'Distr CV 2'!E192:E195</f>
        <v>0</v>
      </c>
      <c r="R192" s="1968">
        <f ca="1"/>
        <v>0</v>
      </c>
      <c r="S192" s="1968">
        <f ca="1"/>
        <v>0</v>
      </c>
      <c r="T192" s="1968">
        <f ca="1"/>
        <v>0</v>
      </c>
      <c r="U192" s="1968">
        <f ca="1"/>
        <v>0</v>
      </c>
      <c r="V192" s="1968">
        <f ca="1"/>
        <v>0</v>
      </c>
      <c r="W192" s="1968">
        <f ca="1"/>
        <v>0</v>
      </c>
      <c r="X192" s="1968">
        <f ca="1"/>
        <v>0</v>
      </c>
      <c r="Y192" s="1986">
        <f ca="1"/>
        <v>0</v>
      </c>
    </row>
    <row r="193" spans="1:25">
      <c r="A193" s="1971" t="str">
        <v>10 meses antes</v>
      </c>
      <c r="B193" s="1967"/>
      <c r="C193" s="1967"/>
      <c r="D193" s="592">
        <f t="array" aca="1" ref="D193:O193" ca="1">B24:M24*Produccion!$D$12</f>
        <v>0</v>
      </c>
      <c r="E193" s="592">
        <f ca="1"/>
        <v>0</v>
      </c>
      <c r="F193" s="592">
        <f ca="1"/>
        <v>0</v>
      </c>
      <c r="G193" s="592">
        <f ca="1"/>
        <v>0</v>
      </c>
      <c r="H193" s="592">
        <f ca="1"/>
        <v>0</v>
      </c>
      <c r="I193" s="592">
        <f ca="1"/>
        <v>0</v>
      </c>
      <c r="J193" s="592">
        <f ca="1"/>
        <v>0</v>
      </c>
      <c r="K193" s="592">
        <f ca="1"/>
        <v>0</v>
      </c>
      <c r="L193" s="592">
        <f ca="1"/>
        <v>0</v>
      </c>
      <c r="M193" s="592">
        <f ca="1"/>
        <v>0</v>
      </c>
      <c r="N193" s="592">
        <f ca="1"/>
        <v>0</v>
      </c>
      <c r="O193" s="592">
        <f ca="1"/>
        <v>0</v>
      </c>
      <c r="P193" s="1968">
        <f t="array" aca="1" ref="P193:P195" ca="1">'Distr CV 2'!D193:D195</f>
        <v>0</v>
      </c>
      <c r="Q193" s="1968">
        <f ca="1"/>
        <v>0</v>
      </c>
      <c r="R193" s="1968">
        <f ca="1"/>
        <v>0</v>
      </c>
      <c r="S193" s="1968">
        <f ca="1"/>
        <v>0</v>
      </c>
      <c r="T193" s="1968">
        <f ca="1"/>
        <v>0</v>
      </c>
      <c r="U193" s="1968">
        <f ca="1"/>
        <v>0</v>
      </c>
      <c r="V193" s="1968">
        <f ca="1"/>
        <v>0</v>
      </c>
      <c r="W193" s="1968">
        <f ca="1"/>
        <v>0</v>
      </c>
      <c r="X193" s="1968">
        <f ca="1"/>
        <v>0</v>
      </c>
      <c r="Y193" s="1986">
        <f ca="1"/>
        <v>0</v>
      </c>
    </row>
    <row r="194" spans="1:25">
      <c r="A194" s="1971" t="str">
        <v>11 meses antes</v>
      </c>
      <c r="B194" s="1967"/>
      <c r="C194" s="592">
        <f t="array" aca="1" ref="C194:N194" ca="1">B24:M24*Produccion!$C$12</f>
        <v>0</v>
      </c>
      <c r="D194" s="592">
        <f ca="1"/>
        <v>0</v>
      </c>
      <c r="E194" s="592">
        <f ca="1"/>
        <v>0</v>
      </c>
      <c r="F194" s="592">
        <f ca="1"/>
        <v>0</v>
      </c>
      <c r="G194" s="592">
        <f ca="1"/>
        <v>0</v>
      </c>
      <c r="H194" s="592">
        <f ca="1"/>
        <v>0</v>
      </c>
      <c r="I194" s="592">
        <f ca="1"/>
        <v>0</v>
      </c>
      <c r="J194" s="592">
        <f ca="1"/>
        <v>0</v>
      </c>
      <c r="K194" s="592">
        <f ca="1"/>
        <v>0</v>
      </c>
      <c r="L194" s="592">
        <f ca="1"/>
        <v>0</v>
      </c>
      <c r="M194" s="592">
        <f ca="1"/>
        <v>0</v>
      </c>
      <c r="N194" s="592">
        <f ca="1"/>
        <v>0</v>
      </c>
      <c r="O194" s="1968">
        <f ca="1">'Distr CV 2'!C194</f>
        <v>0</v>
      </c>
      <c r="P194" s="1968">
        <f ca="1"/>
        <v>0</v>
      </c>
      <c r="Q194" s="1968">
        <f ca="1"/>
        <v>0</v>
      </c>
      <c r="R194" s="1968">
        <f ca="1"/>
        <v>0</v>
      </c>
      <c r="S194" s="1968">
        <f ca="1"/>
        <v>0</v>
      </c>
      <c r="T194" s="1968">
        <f ca="1"/>
        <v>0</v>
      </c>
      <c r="U194" s="1968">
        <f ca="1"/>
        <v>0</v>
      </c>
      <c r="V194" s="1968">
        <f ca="1"/>
        <v>0</v>
      </c>
      <c r="W194" s="1968">
        <f ca="1"/>
        <v>0</v>
      </c>
      <c r="X194" s="1968">
        <f ca="1"/>
        <v>0</v>
      </c>
      <c r="Y194" s="1986">
        <f ca="1"/>
        <v>0</v>
      </c>
    </row>
    <row r="195" spans="1:25" ht="13.5" thickBot="1">
      <c r="A195" s="1971" t="str">
        <v>12 meses antes</v>
      </c>
      <c r="B195" s="592">
        <f t="array" aca="1" ref="B195:M195" ca="1">B24:M24*Produccion!$B$12</f>
        <v>0</v>
      </c>
      <c r="C195" s="592">
        <f ca="1"/>
        <v>0</v>
      </c>
      <c r="D195" s="592">
        <f ca="1"/>
        <v>0</v>
      </c>
      <c r="E195" s="592">
        <f ca="1"/>
        <v>0</v>
      </c>
      <c r="F195" s="592">
        <f ca="1"/>
        <v>0</v>
      </c>
      <c r="G195" s="592">
        <f ca="1"/>
        <v>0</v>
      </c>
      <c r="H195" s="592">
        <f ca="1"/>
        <v>0</v>
      </c>
      <c r="I195" s="592">
        <f ca="1"/>
        <v>0</v>
      </c>
      <c r="J195" s="592">
        <f ca="1"/>
        <v>0</v>
      </c>
      <c r="K195" s="592">
        <f ca="1"/>
        <v>0</v>
      </c>
      <c r="L195" s="592">
        <f ca="1"/>
        <v>0</v>
      </c>
      <c r="M195" s="592">
        <f ca="1"/>
        <v>0</v>
      </c>
      <c r="N195" s="1967">
        <f ca="1">'Distr CV 2'!B195</f>
        <v>0</v>
      </c>
      <c r="O195" s="1968">
        <f ca="1">'Distr CV 2'!C195</f>
        <v>0</v>
      </c>
      <c r="P195" s="1968">
        <f ca="1"/>
        <v>0</v>
      </c>
      <c r="Q195" s="1968">
        <f ca="1"/>
        <v>0</v>
      </c>
      <c r="R195" s="1968">
        <f ca="1"/>
        <v>0</v>
      </c>
      <c r="S195" s="1968">
        <f ca="1"/>
        <v>0</v>
      </c>
      <c r="T195" s="1968">
        <f ca="1"/>
        <v>0</v>
      </c>
      <c r="U195" s="1968">
        <f ca="1"/>
        <v>0</v>
      </c>
      <c r="V195" s="1968">
        <f ca="1"/>
        <v>0</v>
      </c>
      <c r="W195" s="1968">
        <f ca="1"/>
        <v>0</v>
      </c>
      <c r="X195" s="1968">
        <f ca="1"/>
        <v>0</v>
      </c>
      <c r="Y195" s="1986">
        <f ca="1"/>
        <v>0</v>
      </c>
    </row>
    <row r="196" spans="1:25" ht="13.5" thickBot="1">
      <c r="A196" s="103" t="str">
        <f>"Totales CV "&amp;A$12</f>
        <v xml:space="preserve">Totales CV </v>
      </c>
      <c r="B196" s="596">
        <f t="shared" ref="B196:Y196" ca="1" si="14">SUM(B183:B195)</f>
        <v>0</v>
      </c>
      <c r="C196" s="596">
        <f t="shared" ca="1" si="14"/>
        <v>0</v>
      </c>
      <c r="D196" s="596">
        <f t="shared" ca="1" si="14"/>
        <v>0</v>
      </c>
      <c r="E196" s="596">
        <f t="shared" ca="1" si="14"/>
        <v>0</v>
      </c>
      <c r="F196" s="596">
        <f t="shared" ca="1" si="14"/>
        <v>0</v>
      </c>
      <c r="G196" s="596">
        <f t="shared" ca="1" si="14"/>
        <v>0</v>
      </c>
      <c r="H196" s="596">
        <f t="shared" ca="1" si="14"/>
        <v>0</v>
      </c>
      <c r="I196" s="596">
        <f t="shared" ca="1" si="14"/>
        <v>0</v>
      </c>
      <c r="J196" s="596">
        <f t="shared" ca="1" si="14"/>
        <v>0</v>
      </c>
      <c r="K196" s="596">
        <f t="shared" ca="1" si="14"/>
        <v>0</v>
      </c>
      <c r="L196" s="596">
        <f t="shared" ca="1" si="14"/>
        <v>0</v>
      </c>
      <c r="M196" s="596">
        <f t="shared" ca="1" si="14"/>
        <v>0</v>
      </c>
      <c r="N196" s="596">
        <f t="shared" ca="1" si="14"/>
        <v>0</v>
      </c>
      <c r="O196" s="596">
        <f t="shared" ca="1" si="14"/>
        <v>0</v>
      </c>
      <c r="P196" s="596">
        <f t="shared" ca="1" si="14"/>
        <v>0</v>
      </c>
      <c r="Q196" s="596">
        <f t="shared" ca="1" si="14"/>
        <v>0</v>
      </c>
      <c r="R196" s="596">
        <f t="shared" ca="1" si="14"/>
        <v>0</v>
      </c>
      <c r="S196" s="596">
        <f t="shared" ca="1" si="14"/>
        <v>0</v>
      </c>
      <c r="T196" s="596">
        <f t="shared" ca="1" si="14"/>
        <v>0</v>
      </c>
      <c r="U196" s="596">
        <f t="shared" ca="1" si="14"/>
        <v>0</v>
      </c>
      <c r="V196" s="596">
        <f t="shared" ca="1" si="14"/>
        <v>0</v>
      </c>
      <c r="W196" s="596">
        <f t="shared" ca="1" si="14"/>
        <v>0</v>
      </c>
      <c r="X196" s="596">
        <f t="shared" ca="1" si="14"/>
        <v>0</v>
      </c>
      <c r="Y196" s="1984">
        <f t="shared" ca="1" si="14"/>
        <v>0</v>
      </c>
    </row>
    <row r="197" spans="1:25" ht="13.5" thickBot="1">
      <c r="A197" s="103" t="str">
        <f>'Datos Básicos'!A28&amp;" sop. CV "&amp;$A$12</f>
        <v xml:space="preserve">IVA sop. CV </v>
      </c>
      <c r="B197" s="596">
        <f t="array" aca="1" ref="B197:Y197" ca="1">$K$181*B196:Y196</f>
        <v>0</v>
      </c>
      <c r="C197" s="596">
        <f ca="1"/>
        <v>0</v>
      </c>
      <c r="D197" s="596">
        <f ca="1"/>
        <v>0</v>
      </c>
      <c r="E197" s="596">
        <f ca="1"/>
        <v>0</v>
      </c>
      <c r="F197" s="596">
        <f ca="1"/>
        <v>0</v>
      </c>
      <c r="G197" s="596">
        <f ca="1"/>
        <v>0</v>
      </c>
      <c r="H197" s="596">
        <f ca="1"/>
        <v>0</v>
      </c>
      <c r="I197" s="596">
        <f ca="1"/>
        <v>0</v>
      </c>
      <c r="J197" s="596">
        <f ca="1"/>
        <v>0</v>
      </c>
      <c r="K197" s="596">
        <f ca="1"/>
        <v>0</v>
      </c>
      <c r="L197" s="596">
        <f ca="1"/>
        <v>0</v>
      </c>
      <c r="M197" s="596">
        <f ca="1"/>
        <v>0</v>
      </c>
      <c r="N197" s="596">
        <f ca="1"/>
        <v>0</v>
      </c>
      <c r="O197" s="596">
        <f ca="1"/>
        <v>0</v>
      </c>
      <c r="P197" s="596">
        <f ca="1"/>
        <v>0</v>
      </c>
      <c r="Q197" s="596">
        <f ca="1"/>
        <v>0</v>
      </c>
      <c r="R197" s="596">
        <f ca="1"/>
        <v>0</v>
      </c>
      <c r="S197" s="596">
        <f ca="1"/>
        <v>0</v>
      </c>
      <c r="T197" s="596">
        <f ca="1"/>
        <v>0</v>
      </c>
      <c r="U197" s="596">
        <f ca="1"/>
        <v>0</v>
      </c>
      <c r="V197" s="596">
        <f ca="1"/>
        <v>0</v>
      </c>
      <c r="W197" s="596">
        <f ca="1"/>
        <v>0</v>
      </c>
      <c r="X197" s="596">
        <f ca="1"/>
        <v>0</v>
      </c>
      <c r="Y197" s="1984">
        <f ca="1"/>
        <v>0</v>
      </c>
    </row>
    <row r="199" spans="1:25" ht="18.75" thickBot="1">
      <c r="A199" s="1969" t="str">
        <f>'Distr CV 0'!A199</f>
        <v xml:space="preserve">Compras / costes de producción por meses de </v>
      </c>
      <c r="I199" s="1969" t="str">
        <f>I$18</f>
        <v>IVA NO incluido</v>
      </c>
      <c r="K199" s="1981">
        <f>Parametros!$F$29</f>
        <v>0.21</v>
      </c>
    </row>
    <row r="200" spans="1:25" ht="33" customHeight="1" thickBot="1">
      <c r="A200" s="446" t="str">
        <f>A$110</f>
        <v>mes de compra / coste</v>
      </c>
      <c r="B200" s="1987" t="str">
        <f t="array" ref="B200:Y200">B$71:Y$71</f>
        <v>enero 
2026</v>
      </c>
      <c r="C200" s="1987" t="str">
        <v>febrero 
2026</v>
      </c>
      <c r="D200" s="1987" t="str">
        <v>marzo 
2026</v>
      </c>
      <c r="E200" s="1987" t="str">
        <v>abril 
2026</v>
      </c>
      <c r="F200" s="1987" t="str">
        <v>mayo 
2026</v>
      </c>
      <c r="G200" s="1987" t="str">
        <v>junio 
2026</v>
      </c>
      <c r="H200" s="1987" t="str">
        <v>julio 
2026</v>
      </c>
      <c r="I200" s="1987" t="str">
        <v>agosto 
2026</v>
      </c>
      <c r="J200" s="1987" t="str">
        <v>septiembre 
2026</v>
      </c>
      <c r="K200" s="1987" t="str">
        <v>octubre 
2026</v>
      </c>
      <c r="L200" s="1987" t="str">
        <v>noviembre 
2026</v>
      </c>
      <c r="M200" s="1987" t="str">
        <v>diciembre 
2026</v>
      </c>
      <c r="N200" s="2706" t="str">
        <v>enero 
2027</v>
      </c>
      <c r="O200" s="2707" t="str">
        <v>febrero 
2027</v>
      </c>
      <c r="P200" s="2707" t="str">
        <v>marzo 
2027</v>
      </c>
      <c r="Q200" s="2707" t="str">
        <v>abril 
2027</v>
      </c>
      <c r="R200" s="2707" t="str">
        <v>mayo 
2027</v>
      </c>
      <c r="S200" s="2707" t="str">
        <v>junio 
2027</v>
      </c>
      <c r="T200" s="2707" t="str">
        <v>julio 
2027</v>
      </c>
      <c r="U200" s="2707" t="str">
        <v>agosto 
2027</v>
      </c>
      <c r="V200" s="2707" t="str">
        <v>septiembre 
2027</v>
      </c>
      <c r="W200" s="2707" t="str">
        <v>octubre 
2027</v>
      </c>
      <c r="X200" s="2707" t="str">
        <v>noviembre 
2027</v>
      </c>
      <c r="Y200" s="2708" t="str">
        <v>diciembre 
2027</v>
      </c>
    </row>
    <row r="201" spans="1:25">
      <c r="A201" s="1970" t="str">
        <f t="array" ref="A201:A213">A$72:A$84</f>
        <v>mismo mes</v>
      </c>
      <c r="B201" s="1967"/>
      <c r="C201" s="1967"/>
      <c r="D201" s="1967"/>
      <c r="E201" s="1967"/>
      <c r="F201" s="1967"/>
      <c r="G201" s="1967"/>
      <c r="H201" s="1967"/>
      <c r="I201" s="1967"/>
      <c r="J201" s="1967"/>
      <c r="K201" s="1967"/>
      <c r="L201" s="1967"/>
      <c r="M201" s="1967"/>
      <c r="N201" s="592">
        <f t="array" aca="1" ref="N201:Y201" ca="1">B25:M25*Produccion!$N$13</f>
        <v>0</v>
      </c>
      <c r="O201" s="592">
        <f ca="1"/>
        <v>0</v>
      </c>
      <c r="P201" s="592">
        <f ca="1"/>
        <v>0</v>
      </c>
      <c r="Q201" s="592">
        <f ca="1"/>
        <v>0</v>
      </c>
      <c r="R201" s="592">
        <f ca="1"/>
        <v>0</v>
      </c>
      <c r="S201" s="592">
        <f ca="1"/>
        <v>0</v>
      </c>
      <c r="T201" s="592">
        <f ca="1"/>
        <v>0</v>
      </c>
      <c r="U201" s="592">
        <f ca="1"/>
        <v>0</v>
      </c>
      <c r="V201" s="592">
        <f ca="1"/>
        <v>0</v>
      </c>
      <c r="W201" s="592">
        <f ca="1"/>
        <v>0</v>
      </c>
      <c r="X201" s="592">
        <f ca="1"/>
        <v>0</v>
      </c>
      <c r="Y201" s="1982">
        <f ca="1"/>
        <v>0</v>
      </c>
    </row>
    <row r="202" spans="1:25">
      <c r="A202" s="1971" t="str">
        <v>1 mes antes</v>
      </c>
      <c r="B202" s="1967"/>
      <c r="C202" s="1967"/>
      <c r="D202" s="1967"/>
      <c r="E202" s="1967"/>
      <c r="F202" s="1967"/>
      <c r="G202" s="1967"/>
      <c r="H202" s="1967"/>
      <c r="I202" s="1967"/>
      <c r="J202" s="1967"/>
      <c r="K202" s="1967"/>
      <c r="L202" s="1967"/>
      <c r="M202" s="592">
        <f t="array" aca="1" ref="M202:X202" ca="1">B25:M25*Produccion!$M$13</f>
        <v>0</v>
      </c>
      <c r="N202" s="592">
        <f ca="1"/>
        <v>0</v>
      </c>
      <c r="O202" s="592">
        <f ca="1"/>
        <v>0</v>
      </c>
      <c r="P202" s="592">
        <f ca="1"/>
        <v>0</v>
      </c>
      <c r="Q202" s="592">
        <f ca="1"/>
        <v>0</v>
      </c>
      <c r="R202" s="592">
        <f ca="1"/>
        <v>0</v>
      </c>
      <c r="S202" s="592">
        <f ca="1"/>
        <v>0</v>
      </c>
      <c r="T202" s="592">
        <f ca="1"/>
        <v>0</v>
      </c>
      <c r="U202" s="592">
        <f ca="1"/>
        <v>0</v>
      </c>
      <c r="V202" s="592">
        <f ca="1"/>
        <v>0</v>
      </c>
      <c r="W202" s="592">
        <f ca="1"/>
        <v>0</v>
      </c>
      <c r="X202" s="592">
        <f ca="1"/>
        <v>0</v>
      </c>
      <c r="Y202" s="1983">
        <f t="array" aca="1" ref="Y202:Y213" ca="1">'Distr CV 2'!M202:M213</f>
        <v>0</v>
      </c>
    </row>
    <row r="203" spans="1:25">
      <c r="A203" s="1971" t="str">
        <v>2 meses antes</v>
      </c>
      <c r="B203" s="1967"/>
      <c r="C203" s="1967"/>
      <c r="D203" s="1967"/>
      <c r="E203" s="1967"/>
      <c r="F203" s="1967"/>
      <c r="G203" s="1967"/>
      <c r="H203" s="1967"/>
      <c r="I203" s="1967"/>
      <c r="J203" s="1967"/>
      <c r="K203" s="1967"/>
      <c r="L203" s="592">
        <f t="array" aca="1" ref="L203:W203" ca="1">B25:M25*Produccion!$L$13</f>
        <v>0</v>
      </c>
      <c r="M203" s="592">
        <f ca="1"/>
        <v>0</v>
      </c>
      <c r="N203" s="592">
        <f ca="1"/>
        <v>0</v>
      </c>
      <c r="O203" s="592">
        <f ca="1"/>
        <v>0</v>
      </c>
      <c r="P203" s="592">
        <f ca="1"/>
        <v>0</v>
      </c>
      <c r="Q203" s="592">
        <f ca="1"/>
        <v>0</v>
      </c>
      <c r="R203" s="592">
        <f ca="1"/>
        <v>0</v>
      </c>
      <c r="S203" s="592">
        <f ca="1"/>
        <v>0</v>
      </c>
      <c r="T203" s="592">
        <f ca="1"/>
        <v>0</v>
      </c>
      <c r="U203" s="592">
        <f ca="1"/>
        <v>0</v>
      </c>
      <c r="V203" s="592">
        <f ca="1"/>
        <v>0</v>
      </c>
      <c r="W203" s="592">
        <f ca="1"/>
        <v>0</v>
      </c>
      <c r="X203" s="1964">
        <f t="array" aca="1" ref="X203:X213" ca="1">'Distr CV 2'!L203:L213</f>
        <v>0</v>
      </c>
      <c r="Y203" s="1983">
        <f ca="1"/>
        <v>0</v>
      </c>
    </row>
    <row r="204" spans="1:25">
      <c r="A204" s="1971" t="str">
        <v>3 meses antes</v>
      </c>
      <c r="B204" s="1967"/>
      <c r="C204" s="1967"/>
      <c r="D204" s="1967"/>
      <c r="E204" s="1967"/>
      <c r="F204" s="1967"/>
      <c r="G204" s="1967"/>
      <c r="H204" s="1967"/>
      <c r="I204" s="1967"/>
      <c r="J204" s="1967"/>
      <c r="K204" s="592">
        <f t="array" aca="1" ref="K204:V204" ca="1">B25:M25*Produccion!$K$13</f>
        <v>0</v>
      </c>
      <c r="L204" s="592">
        <f ca="1"/>
        <v>0</v>
      </c>
      <c r="M204" s="592">
        <f ca="1"/>
        <v>0</v>
      </c>
      <c r="N204" s="592">
        <f ca="1"/>
        <v>0</v>
      </c>
      <c r="O204" s="592">
        <f ca="1"/>
        <v>0</v>
      </c>
      <c r="P204" s="592">
        <f ca="1"/>
        <v>0</v>
      </c>
      <c r="Q204" s="592">
        <f ca="1"/>
        <v>0</v>
      </c>
      <c r="R204" s="592">
        <f ca="1"/>
        <v>0</v>
      </c>
      <c r="S204" s="592">
        <f ca="1"/>
        <v>0</v>
      </c>
      <c r="T204" s="592">
        <f ca="1"/>
        <v>0</v>
      </c>
      <c r="U204" s="592">
        <f ca="1"/>
        <v>0</v>
      </c>
      <c r="V204" s="592">
        <f ca="1"/>
        <v>0</v>
      </c>
      <c r="W204" s="1964">
        <f t="array" aca="1" ref="W204:W213" ca="1">'Distr CV 2'!K204:K213</f>
        <v>0</v>
      </c>
      <c r="X204" s="1964">
        <f ca="1"/>
        <v>0</v>
      </c>
      <c r="Y204" s="1983">
        <f ca="1"/>
        <v>0</v>
      </c>
    </row>
    <row r="205" spans="1:25">
      <c r="A205" s="1971" t="str">
        <v>4 meses antes</v>
      </c>
      <c r="B205" s="1967"/>
      <c r="C205" s="1967"/>
      <c r="D205" s="1967"/>
      <c r="E205" s="1967"/>
      <c r="F205" s="1967"/>
      <c r="G205" s="1967"/>
      <c r="H205" s="1967"/>
      <c r="I205" s="1967"/>
      <c r="J205" s="592">
        <f t="array" aca="1" ref="J205:U205" ca="1">B25:M25*Produccion!$J$13</f>
        <v>0</v>
      </c>
      <c r="K205" s="592">
        <f ca="1"/>
        <v>0</v>
      </c>
      <c r="L205" s="592">
        <f ca="1"/>
        <v>0</v>
      </c>
      <c r="M205" s="592">
        <f ca="1"/>
        <v>0</v>
      </c>
      <c r="N205" s="592">
        <f ca="1"/>
        <v>0</v>
      </c>
      <c r="O205" s="592">
        <f ca="1"/>
        <v>0</v>
      </c>
      <c r="P205" s="592">
        <f ca="1"/>
        <v>0</v>
      </c>
      <c r="Q205" s="592">
        <f ca="1"/>
        <v>0</v>
      </c>
      <c r="R205" s="592">
        <f ca="1"/>
        <v>0</v>
      </c>
      <c r="S205" s="592">
        <f ca="1"/>
        <v>0</v>
      </c>
      <c r="T205" s="592">
        <f ca="1"/>
        <v>0</v>
      </c>
      <c r="U205" s="592">
        <f ca="1"/>
        <v>0</v>
      </c>
      <c r="V205" s="1964">
        <f t="array" aca="1" ref="V205:V213" ca="1">'Distr CV 2'!J205:J213</f>
        <v>0</v>
      </c>
      <c r="W205" s="1964">
        <f ca="1"/>
        <v>0</v>
      </c>
      <c r="X205" s="1964">
        <f ca="1"/>
        <v>0</v>
      </c>
      <c r="Y205" s="1983">
        <f ca="1"/>
        <v>0</v>
      </c>
    </row>
    <row r="206" spans="1:25">
      <c r="A206" s="1971" t="str">
        <v>5 meses antes</v>
      </c>
      <c r="B206" s="1967"/>
      <c r="C206" s="1967"/>
      <c r="D206" s="1967"/>
      <c r="E206" s="1967"/>
      <c r="F206" s="1967"/>
      <c r="G206" s="1967"/>
      <c r="H206" s="1967"/>
      <c r="I206" s="592">
        <f t="array" aca="1" ref="I206:T206" ca="1">B25:M25*Produccion!$I$13</f>
        <v>0</v>
      </c>
      <c r="J206" s="592">
        <f ca="1"/>
        <v>0</v>
      </c>
      <c r="K206" s="592">
        <f ca="1"/>
        <v>0</v>
      </c>
      <c r="L206" s="592">
        <f ca="1"/>
        <v>0</v>
      </c>
      <c r="M206" s="592">
        <f ca="1"/>
        <v>0</v>
      </c>
      <c r="N206" s="592">
        <f ca="1"/>
        <v>0</v>
      </c>
      <c r="O206" s="592">
        <f ca="1"/>
        <v>0</v>
      </c>
      <c r="P206" s="592">
        <f ca="1"/>
        <v>0</v>
      </c>
      <c r="Q206" s="592">
        <f ca="1"/>
        <v>0</v>
      </c>
      <c r="R206" s="592">
        <f ca="1"/>
        <v>0</v>
      </c>
      <c r="S206" s="592">
        <f ca="1"/>
        <v>0</v>
      </c>
      <c r="T206" s="592">
        <f ca="1"/>
        <v>0</v>
      </c>
      <c r="U206" s="1964">
        <f t="array" aca="1" ref="U206:U213" ca="1">'Distr CV 2'!I206:I213</f>
        <v>0</v>
      </c>
      <c r="V206" s="1964">
        <f ca="1"/>
        <v>0</v>
      </c>
      <c r="W206" s="1964">
        <f ca="1"/>
        <v>0</v>
      </c>
      <c r="X206" s="1964">
        <f ca="1"/>
        <v>0</v>
      </c>
      <c r="Y206" s="1983">
        <f ca="1"/>
        <v>0</v>
      </c>
    </row>
    <row r="207" spans="1:25">
      <c r="A207" s="1971" t="str">
        <v>6 meses antes</v>
      </c>
      <c r="B207" s="1967"/>
      <c r="C207" s="1967"/>
      <c r="D207" s="1967"/>
      <c r="E207" s="1967"/>
      <c r="F207" s="1967"/>
      <c r="G207" s="1967"/>
      <c r="H207" s="592">
        <f t="array" aca="1" ref="H207:S207" ca="1">B25:M25*Produccion!$H$13</f>
        <v>0</v>
      </c>
      <c r="I207" s="592">
        <f ca="1"/>
        <v>0</v>
      </c>
      <c r="J207" s="592">
        <f ca="1"/>
        <v>0</v>
      </c>
      <c r="K207" s="592">
        <f ca="1"/>
        <v>0</v>
      </c>
      <c r="L207" s="592">
        <f ca="1"/>
        <v>0</v>
      </c>
      <c r="M207" s="592">
        <f ca="1"/>
        <v>0</v>
      </c>
      <c r="N207" s="592">
        <f ca="1"/>
        <v>0</v>
      </c>
      <c r="O207" s="592">
        <f ca="1"/>
        <v>0</v>
      </c>
      <c r="P207" s="592">
        <f ca="1"/>
        <v>0</v>
      </c>
      <c r="Q207" s="592">
        <f ca="1"/>
        <v>0</v>
      </c>
      <c r="R207" s="592">
        <f ca="1"/>
        <v>0</v>
      </c>
      <c r="S207" s="592">
        <f ca="1"/>
        <v>0</v>
      </c>
      <c r="T207" s="1964">
        <f t="array" aca="1" ref="T207:T213" ca="1">'Distr CV 2'!H207:H213</f>
        <v>0</v>
      </c>
      <c r="U207" s="1964">
        <f ca="1"/>
        <v>0</v>
      </c>
      <c r="V207" s="1964">
        <f ca="1"/>
        <v>0</v>
      </c>
      <c r="W207" s="1964">
        <f ca="1"/>
        <v>0</v>
      </c>
      <c r="X207" s="1964">
        <f ca="1"/>
        <v>0</v>
      </c>
      <c r="Y207" s="1983">
        <f ca="1"/>
        <v>0</v>
      </c>
    </row>
    <row r="208" spans="1:25">
      <c r="A208" s="1971" t="str">
        <v>7 meses antes</v>
      </c>
      <c r="B208" s="1967"/>
      <c r="C208" s="1967"/>
      <c r="D208" s="1967"/>
      <c r="E208" s="1967"/>
      <c r="F208" s="1967"/>
      <c r="G208" s="592">
        <f t="array" aca="1" ref="G208:R208" ca="1">B25:M25*Produccion!$G$13</f>
        <v>0</v>
      </c>
      <c r="H208" s="592">
        <f ca="1"/>
        <v>0</v>
      </c>
      <c r="I208" s="592">
        <f ca="1"/>
        <v>0</v>
      </c>
      <c r="J208" s="592">
        <f ca="1"/>
        <v>0</v>
      </c>
      <c r="K208" s="592">
        <f ca="1"/>
        <v>0</v>
      </c>
      <c r="L208" s="592">
        <f ca="1"/>
        <v>0</v>
      </c>
      <c r="M208" s="592">
        <f ca="1"/>
        <v>0</v>
      </c>
      <c r="N208" s="592">
        <f ca="1"/>
        <v>0</v>
      </c>
      <c r="O208" s="592">
        <f ca="1"/>
        <v>0</v>
      </c>
      <c r="P208" s="592">
        <f ca="1"/>
        <v>0</v>
      </c>
      <c r="Q208" s="592">
        <f ca="1"/>
        <v>0</v>
      </c>
      <c r="R208" s="592">
        <f ca="1"/>
        <v>0</v>
      </c>
      <c r="S208" s="1968">
        <f t="array" aca="1" ref="S208:S213" ca="1">'Distr CV 2'!G208:G213</f>
        <v>0</v>
      </c>
      <c r="T208" s="1968">
        <f ca="1"/>
        <v>0</v>
      </c>
      <c r="U208" s="1968">
        <f ca="1"/>
        <v>0</v>
      </c>
      <c r="V208" s="1968">
        <f ca="1"/>
        <v>0</v>
      </c>
      <c r="W208" s="1968">
        <f ca="1"/>
        <v>0</v>
      </c>
      <c r="X208" s="1968">
        <f ca="1"/>
        <v>0</v>
      </c>
      <c r="Y208" s="1986">
        <f ca="1"/>
        <v>0</v>
      </c>
    </row>
    <row r="209" spans="1:25">
      <c r="A209" s="1971" t="str">
        <v>8 meses antes</v>
      </c>
      <c r="B209" s="1967"/>
      <c r="C209" s="1967"/>
      <c r="D209" s="1967"/>
      <c r="E209" s="1967"/>
      <c r="F209" s="592">
        <f t="array" aca="1" ref="F209:Q209" ca="1">B25:M25*Produccion!$F$13</f>
        <v>0</v>
      </c>
      <c r="G209" s="592">
        <f ca="1"/>
        <v>0</v>
      </c>
      <c r="H209" s="592">
        <f ca="1"/>
        <v>0</v>
      </c>
      <c r="I209" s="592">
        <f ca="1"/>
        <v>0</v>
      </c>
      <c r="J209" s="592">
        <f ca="1"/>
        <v>0</v>
      </c>
      <c r="K209" s="592">
        <f ca="1"/>
        <v>0</v>
      </c>
      <c r="L209" s="592">
        <f ca="1"/>
        <v>0</v>
      </c>
      <c r="M209" s="592">
        <f ca="1"/>
        <v>0</v>
      </c>
      <c r="N209" s="592">
        <f ca="1"/>
        <v>0</v>
      </c>
      <c r="O209" s="592">
        <f ca="1"/>
        <v>0</v>
      </c>
      <c r="P209" s="592">
        <f ca="1"/>
        <v>0</v>
      </c>
      <c r="Q209" s="592">
        <f ca="1"/>
        <v>0</v>
      </c>
      <c r="R209" s="1968">
        <f t="array" aca="1" ref="R209:R213" ca="1">'Distr CV 2'!F209:F213</f>
        <v>0</v>
      </c>
      <c r="S209" s="1968">
        <f ca="1"/>
        <v>0</v>
      </c>
      <c r="T209" s="1968">
        <f ca="1"/>
        <v>0</v>
      </c>
      <c r="U209" s="1968">
        <f ca="1"/>
        <v>0</v>
      </c>
      <c r="V209" s="1968">
        <f ca="1"/>
        <v>0</v>
      </c>
      <c r="W209" s="1968">
        <f ca="1"/>
        <v>0</v>
      </c>
      <c r="X209" s="1968">
        <f ca="1"/>
        <v>0</v>
      </c>
      <c r="Y209" s="1986">
        <f ca="1"/>
        <v>0</v>
      </c>
    </row>
    <row r="210" spans="1:25">
      <c r="A210" s="1971" t="str">
        <v>9 meses antes</v>
      </c>
      <c r="B210" s="1967"/>
      <c r="C210" s="1967"/>
      <c r="D210" s="1967"/>
      <c r="E210" s="592">
        <f t="array" aca="1" ref="E210:P210" ca="1">B25:M25*Produccion!$E$13</f>
        <v>0</v>
      </c>
      <c r="F210" s="592">
        <f ca="1"/>
        <v>0</v>
      </c>
      <c r="G210" s="592">
        <f ca="1"/>
        <v>0</v>
      </c>
      <c r="H210" s="592">
        <f ca="1"/>
        <v>0</v>
      </c>
      <c r="I210" s="592">
        <f ca="1"/>
        <v>0</v>
      </c>
      <c r="J210" s="592">
        <f ca="1"/>
        <v>0</v>
      </c>
      <c r="K210" s="592">
        <f ca="1"/>
        <v>0</v>
      </c>
      <c r="L210" s="592">
        <f ca="1"/>
        <v>0</v>
      </c>
      <c r="M210" s="592">
        <f ca="1"/>
        <v>0</v>
      </c>
      <c r="N210" s="592">
        <f ca="1"/>
        <v>0</v>
      </c>
      <c r="O210" s="592">
        <f ca="1"/>
        <v>0</v>
      </c>
      <c r="P210" s="592">
        <f ca="1"/>
        <v>0</v>
      </c>
      <c r="Q210" s="1968">
        <f t="array" aca="1" ref="Q210:Q213" ca="1">'Distr CV 2'!E210:E213</f>
        <v>0</v>
      </c>
      <c r="R210" s="1968">
        <f ca="1"/>
        <v>0</v>
      </c>
      <c r="S210" s="1968">
        <f ca="1"/>
        <v>0</v>
      </c>
      <c r="T210" s="1968">
        <f ca="1"/>
        <v>0</v>
      </c>
      <c r="U210" s="1968">
        <f ca="1"/>
        <v>0</v>
      </c>
      <c r="V210" s="1968">
        <f ca="1"/>
        <v>0</v>
      </c>
      <c r="W210" s="1968">
        <f ca="1"/>
        <v>0</v>
      </c>
      <c r="X210" s="1968">
        <f ca="1"/>
        <v>0</v>
      </c>
      <c r="Y210" s="1986">
        <f ca="1"/>
        <v>0</v>
      </c>
    </row>
    <row r="211" spans="1:25">
      <c r="A211" s="1971" t="str">
        <v>10 meses antes</v>
      </c>
      <c r="B211" s="1967"/>
      <c r="C211" s="1967"/>
      <c r="D211" s="592">
        <f t="array" aca="1" ref="D211:O211" ca="1">B25:M25*Produccion!$D$13</f>
        <v>0</v>
      </c>
      <c r="E211" s="592">
        <f ca="1"/>
        <v>0</v>
      </c>
      <c r="F211" s="592">
        <f ca="1"/>
        <v>0</v>
      </c>
      <c r="G211" s="592">
        <f ca="1"/>
        <v>0</v>
      </c>
      <c r="H211" s="592">
        <f ca="1"/>
        <v>0</v>
      </c>
      <c r="I211" s="592">
        <f ca="1"/>
        <v>0</v>
      </c>
      <c r="J211" s="592">
        <f ca="1"/>
        <v>0</v>
      </c>
      <c r="K211" s="592">
        <f ca="1"/>
        <v>0</v>
      </c>
      <c r="L211" s="592">
        <f ca="1"/>
        <v>0</v>
      </c>
      <c r="M211" s="592">
        <f ca="1"/>
        <v>0</v>
      </c>
      <c r="N211" s="592">
        <f ca="1"/>
        <v>0</v>
      </c>
      <c r="O211" s="592">
        <f ca="1"/>
        <v>0</v>
      </c>
      <c r="P211" s="1968">
        <f t="array" aca="1" ref="P211:P213" ca="1">'Distr CV 2'!D211:D213</f>
        <v>0</v>
      </c>
      <c r="Q211" s="1968">
        <f ca="1"/>
        <v>0</v>
      </c>
      <c r="R211" s="1968">
        <f ca="1"/>
        <v>0</v>
      </c>
      <c r="S211" s="1968">
        <f ca="1"/>
        <v>0</v>
      </c>
      <c r="T211" s="1968">
        <f ca="1"/>
        <v>0</v>
      </c>
      <c r="U211" s="1968">
        <f ca="1"/>
        <v>0</v>
      </c>
      <c r="V211" s="1968">
        <f ca="1"/>
        <v>0</v>
      </c>
      <c r="W211" s="1968">
        <f ca="1"/>
        <v>0</v>
      </c>
      <c r="X211" s="1968">
        <f ca="1"/>
        <v>0</v>
      </c>
      <c r="Y211" s="1986">
        <f ca="1"/>
        <v>0</v>
      </c>
    </row>
    <row r="212" spans="1:25">
      <c r="A212" s="1971" t="str">
        <v>11 meses antes</v>
      </c>
      <c r="B212" s="1967"/>
      <c r="C212" s="592">
        <f t="array" aca="1" ref="C212:N212" ca="1">B25:M25*Produccion!$C$13</f>
        <v>0</v>
      </c>
      <c r="D212" s="592">
        <f ca="1"/>
        <v>0</v>
      </c>
      <c r="E212" s="592">
        <f ca="1"/>
        <v>0</v>
      </c>
      <c r="F212" s="592">
        <f ca="1"/>
        <v>0</v>
      </c>
      <c r="G212" s="592">
        <f ca="1"/>
        <v>0</v>
      </c>
      <c r="H212" s="592">
        <f ca="1"/>
        <v>0</v>
      </c>
      <c r="I212" s="592">
        <f ca="1"/>
        <v>0</v>
      </c>
      <c r="J212" s="592">
        <f ca="1"/>
        <v>0</v>
      </c>
      <c r="K212" s="592">
        <f ca="1"/>
        <v>0</v>
      </c>
      <c r="L212" s="592">
        <f ca="1"/>
        <v>0</v>
      </c>
      <c r="M212" s="592">
        <f ca="1"/>
        <v>0</v>
      </c>
      <c r="N212" s="592">
        <f ca="1"/>
        <v>0</v>
      </c>
      <c r="O212" s="1968">
        <f ca="1">'Distr CV 2'!C212</f>
        <v>0</v>
      </c>
      <c r="P212" s="1968">
        <f ca="1"/>
        <v>0</v>
      </c>
      <c r="Q212" s="1968">
        <f ca="1"/>
        <v>0</v>
      </c>
      <c r="R212" s="1968">
        <f ca="1"/>
        <v>0</v>
      </c>
      <c r="S212" s="1968">
        <f ca="1"/>
        <v>0</v>
      </c>
      <c r="T212" s="1968">
        <f ca="1"/>
        <v>0</v>
      </c>
      <c r="U212" s="1968">
        <f ca="1"/>
        <v>0</v>
      </c>
      <c r="V212" s="1968">
        <f ca="1"/>
        <v>0</v>
      </c>
      <c r="W212" s="1968">
        <f ca="1"/>
        <v>0</v>
      </c>
      <c r="X212" s="1968">
        <f ca="1"/>
        <v>0</v>
      </c>
      <c r="Y212" s="1986">
        <f ca="1"/>
        <v>0</v>
      </c>
    </row>
    <row r="213" spans="1:25" ht="13.5" thickBot="1">
      <c r="A213" s="1971" t="str">
        <v>12 meses antes</v>
      </c>
      <c r="B213" s="592">
        <f t="array" aca="1" ref="B213:M213" ca="1">B25:M25*Produccion!$B$13</f>
        <v>0</v>
      </c>
      <c r="C213" s="592">
        <f ca="1"/>
        <v>0</v>
      </c>
      <c r="D213" s="592">
        <f ca="1"/>
        <v>0</v>
      </c>
      <c r="E213" s="592">
        <f ca="1"/>
        <v>0</v>
      </c>
      <c r="F213" s="592">
        <f ca="1"/>
        <v>0</v>
      </c>
      <c r="G213" s="592">
        <f ca="1"/>
        <v>0</v>
      </c>
      <c r="H213" s="592">
        <f ca="1"/>
        <v>0</v>
      </c>
      <c r="I213" s="592">
        <f ca="1"/>
        <v>0</v>
      </c>
      <c r="J213" s="592">
        <f ca="1"/>
        <v>0</v>
      </c>
      <c r="K213" s="592">
        <f ca="1"/>
        <v>0</v>
      </c>
      <c r="L213" s="592">
        <f ca="1"/>
        <v>0</v>
      </c>
      <c r="M213" s="592">
        <f ca="1"/>
        <v>0</v>
      </c>
      <c r="N213" s="1967">
        <f ca="1">'Distr CV 2'!B213</f>
        <v>0</v>
      </c>
      <c r="O213" s="1968">
        <f ca="1">'Distr CV 2'!C213</f>
        <v>0</v>
      </c>
      <c r="P213" s="1968">
        <f ca="1"/>
        <v>0</v>
      </c>
      <c r="Q213" s="1968">
        <f ca="1"/>
        <v>0</v>
      </c>
      <c r="R213" s="1968">
        <f ca="1"/>
        <v>0</v>
      </c>
      <c r="S213" s="1968">
        <f ca="1"/>
        <v>0</v>
      </c>
      <c r="T213" s="1968">
        <f ca="1"/>
        <v>0</v>
      </c>
      <c r="U213" s="1968">
        <f ca="1"/>
        <v>0</v>
      </c>
      <c r="V213" s="1968">
        <f ca="1"/>
        <v>0</v>
      </c>
      <c r="W213" s="1968">
        <f ca="1"/>
        <v>0</v>
      </c>
      <c r="X213" s="1968">
        <f ca="1"/>
        <v>0</v>
      </c>
      <c r="Y213" s="1986">
        <f ca="1"/>
        <v>0</v>
      </c>
    </row>
    <row r="214" spans="1:25" ht="13.5" thickBot="1">
      <c r="A214" s="103" t="str">
        <f>"Totales CV "&amp;A$13</f>
        <v xml:space="preserve">Totales CV </v>
      </c>
      <c r="B214" s="596">
        <f t="shared" ref="B214:Y214" ca="1" si="15">SUM(B201:B213)</f>
        <v>0</v>
      </c>
      <c r="C214" s="596">
        <f t="shared" ca="1" si="15"/>
        <v>0</v>
      </c>
      <c r="D214" s="596">
        <f t="shared" ca="1" si="15"/>
        <v>0</v>
      </c>
      <c r="E214" s="596">
        <f t="shared" ca="1" si="15"/>
        <v>0</v>
      </c>
      <c r="F214" s="596">
        <f t="shared" ca="1" si="15"/>
        <v>0</v>
      </c>
      <c r="G214" s="596">
        <f t="shared" ca="1" si="15"/>
        <v>0</v>
      </c>
      <c r="H214" s="596">
        <f t="shared" ca="1" si="15"/>
        <v>0</v>
      </c>
      <c r="I214" s="596">
        <f t="shared" ca="1" si="15"/>
        <v>0</v>
      </c>
      <c r="J214" s="596">
        <f t="shared" ca="1" si="15"/>
        <v>0</v>
      </c>
      <c r="K214" s="596">
        <f t="shared" ca="1" si="15"/>
        <v>0</v>
      </c>
      <c r="L214" s="596">
        <f t="shared" ca="1" si="15"/>
        <v>0</v>
      </c>
      <c r="M214" s="596">
        <f t="shared" ca="1" si="15"/>
        <v>0</v>
      </c>
      <c r="N214" s="596">
        <f t="shared" ca="1" si="15"/>
        <v>0</v>
      </c>
      <c r="O214" s="596">
        <f t="shared" ca="1" si="15"/>
        <v>0</v>
      </c>
      <c r="P214" s="596">
        <f t="shared" ca="1" si="15"/>
        <v>0</v>
      </c>
      <c r="Q214" s="596">
        <f t="shared" ca="1" si="15"/>
        <v>0</v>
      </c>
      <c r="R214" s="596">
        <f t="shared" ca="1" si="15"/>
        <v>0</v>
      </c>
      <c r="S214" s="596">
        <f t="shared" ca="1" si="15"/>
        <v>0</v>
      </c>
      <c r="T214" s="596">
        <f t="shared" ca="1" si="15"/>
        <v>0</v>
      </c>
      <c r="U214" s="596">
        <f t="shared" ca="1" si="15"/>
        <v>0</v>
      </c>
      <c r="V214" s="596">
        <f t="shared" ca="1" si="15"/>
        <v>0</v>
      </c>
      <c r="W214" s="596">
        <f t="shared" ca="1" si="15"/>
        <v>0</v>
      </c>
      <c r="X214" s="596">
        <f t="shared" ca="1" si="15"/>
        <v>0</v>
      </c>
      <c r="Y214" s="1984">
        <f t="shared" ca="1" si="15"/>
        <v>0</v>
      </c>
    </row>
    <row r="215" spans="1:25" ht="13.5" thickBot="1">
      <c r="A215" s="103" t="str">
        <f>'Datos Básicos'!A28&amp;" sop. CV "&amp;$A$13</f>
        <v xml:space="preserve">IVA sop. CV </v>
      </c>
      <c r="B215" s="596">
        <f t="array" aca="1" ref="B215:Y215" ca="1">$K$199*B214:Y214</f>
        <v>0</v>
      </c>
      <c r="C215" s="596">
        <f ca="1"/>
        <v>0</v>
      </c>
      <c r="D215" s="596">
        <f ca="1"/>
        <v>0</v>
      </c>
      <c r="E215" s="596">
        <f ca="1"/>
        <v>0</v>
      </c>
      <c r="F215" s="596">
        <f ca="1"/>
        <v>0</v>
      </c>
      <c r="G215" s="596">
        <f ca="1"/>
        <v>0</v>
      </c>
      <c r="H215" s="596">
        <f ca="1"/>
        <v>0</v>
      </c>
      <c r="I215" s="596">
        <f ca="1"/>
        <v>0</v>
      </c>
      <c r="J215" s="596">
        <f ca="1"/>
        <v>0</v>
      </c>
      <c r="K215" s="596">
        <f ca="1"/>
        <v>0</v>
      </c>
      <c r="L215" s="596">
        <f ca="1"/>
        <v>0</v>
      </c>
      <c r="M215" s="596">
        <f ca="1"/>
        <v>0</v>
      </c>
      <c r="N215" s="596">
        <f ca="1"/>
        <v>0</v>
      </c>
      <c r="O215" s="596">
        <f ca="1"/>
        <v>0</v>
      </c>
      <c r="P215" s="596">
        <f ca="1"/>
        <v>0</v>
      </c>
      <c r="Q215" s="596">
        <f ca="1"/>
        <v>0</v>
      </c>
      <c r="R215" s="596">
        <f ca="1"/>
        <v>0</v>
      </c>
      <c r="S215" s="596">
        <f ca="1"/>
        <v>0</v>
      </c>
      <c r="T215" s="596">
        <f ca="1"/>
        <v>0</v>
      </c>
      <c r="U215" s="596">
        <f ca="1"/>
        <v>0</v>
      </c>
      <c r="V215" s="596">
        <f ca="1"/>
        <v>0</v>
      </c>
      <c r="W215" s="596">
        <f ca="1"/>
        <v>0</v>
      </c>
      <c r="X215" s="596">
        <f ca="1"/>
        <v>0</v>
      </c>
      <c r="Y215" s="1984">
        <f ca="1"/>
        <v>0</v>
      </c>
    </row>
    <row r="217" spans="1:25" ht="18.75" thickBot="1">
      <c r="A217" s="1969" t="str">
        <f>'Distr CV 0'!A217</f>
        <v xml:space="preserve">Compras / costes de producción por meses de </v>
      </c>
      <c r="I217" s="1969" t="str">
        <f>I$18</f>
        <v>IVA NO incluido</v>
      </c>
      <c r="K217" s="1981">
        <f>Parametros!$F$30</f>
        <v>0.21</v>
      </c>
    </row>
    <row r="218" spans="1:25" ht="33" customHeight="1" thickBot="1">
      <c r="A218" s="446" t="str">
        <f>A$110</f>
        <v>mes de compra / coste</v>
      </c>
      <c r="B218" s="1987" t="str">
        <f t="array" ref="B218:Y218">B$71:Y$71</f>
        <v>enero 
2026</v>
      </c>
      <c r="C218" s="1987" t="str">
        <v>febrero 
2026</v>
      </c>
      <c r="D218" s="1987" t="str">
        <v>marzo 
2026</v>
      </c>
      <c r="E218" s="1987" t="str">
        <v>abril 
2026</v>
      </c>
      <c r="F218" s="1987" t="str">
        <v>mayo 
2026</v>
      </c>
      <c r="G218" s="1987" t="str">
        <v>junio 
2026</v>
      </c>
      <c r="H218" s="1987" t="str">
        <v>julio 
2026</v>
      </c>
      <c r="I218" s="1987" t="str">
        <v>agosto 
2026</v>
      </c>
      <c r="J218" s="1987" t="str">
        <v>septiembre 
2026</v>
      </c>
      <c r="K218" s="1987" t="str">
        <v>octubre 
2026</v>
      </c>
      <c r="L218" s="1987" t="str">
        <v>noviembre 
2026</v>
      </c>
      <c r="M218" s="1987" t="str">
        <v>diciembre 
2026</v>
      </c>
      <c r="N218" s="2706" t="str">
        <v>enero 
2027</v>
      </c>
      <c r="O218" s="2707" t="str">
        <v>febrero 
2027</v>
      </c>
      <c r="P218" s="2707" t="str">
        <v>marzo 
2027</v>
      </c>
      <c r="Q218" s="2707" t="str">
        <v>abril 
2027</v>
      </c>
      <c r="R218" s="2707" t="str">
        <v>mayo 
2027</v>
      </c>
      <c r="S218" s="2707" t="str">
        <v>junio 
2027</v>
      </c>
      <c r="T218" s="2707" t="str">
        <v>julio 
2027</v>
      </c>
      <c r="U218" s="2707" t="str">
        <v>agosto 
2027</v>
      </c>
      <c r="V218" s="2707" t="str">
        <v>septiembre 
2027</v>
      </c>
      <c r="W218" s="2707" t="str">
        <v>octubre 
2027</v>
      </c>
      <c r="X218" s="2707" t="str">
        <v>noviembre 
2027</v>
      </c>
      <c r="Y218" s="2708" t="str">
        <v>diciembre 
2027</v>
      </c>
    </row>
    <row r="219" spans="1:25">
      <c r="A219" s="1970" t="str">
        <f t="array" ref="A219:A231">A$72:A$84</f>
        <v>mismo mes</v>
      </c>
      <c r="B219" s="1967"/>
      <c r="C219" s="1967"/>
      <c r="D219" s="1967"/>
      <c r="E219" s="1967"/>
      <c r="F219" s="1967"/>
      <c r="G219" s="1967"/>
      <c r="H219" s="1967"/>
      <c r="I219" s="1967"/>
      <c r="J219" s="1967"/>
      <c r="K219" s="1967"/>
      <c r="L219" s="1967"/>
      <c r="M219" s="1967"/>
      <c r="N219" s="592">
        <f t="array" aca="1" ref="N219:Y219" ca="1">B26:M26*Produccion!$N$14</f>
        <v>0</v>
      </c>
      <c r="O219" s="592">
        <f ca="1"/>
        <v>0</v>
      </c>
      <c r="P219" s="592">
        <f ca="1"/>
        <v>0</v>
      </c>
      <c r="Q219" s="592">
        <f ca="1"/>
        <v>0</v>
      </c>
      <c r="R219" s="592">
        <f ca="1"/>
        <v>0</v>
      </c>
      <c r="S219" s="592">
        <f ca="1"/>
        <v>0</v>
      </c>
      <c r="T219" s="592">
        <f ca="1"/>
        <v>0</v>
      </c>
      <c r="U219" s="592">
        <f ca="1"/>
        <v>0</v>
      </c>
      <c r="V219" s="592">
        <f ca="1"/>
        <v>0</v>
      </c>
      <c r="W219" s="592">
        <f ca="1"/>
        <v>0</v>
      </c>
      <c r="X219" s="592">
        <f ca="1"/>
        <v>0</v>
      </c>
      <c r="Y219" s="1982">
        <f ca="1"/>
        <v>0</v>
      </c>
    </row>
    <row r="220" spans="1:25">
      <c r="A220" s="1971" t="str">
        <v>1 mes antes</v>
      </c>
      <c r="B220" s="1967"/>
      <c r="C220" s="1967"/>
      <c r="D220" s="1967"/>
      <c r="E220" s="1967"/>
      <c r="F220" s="1967"/>
      <c r="G220" s="1967"/>
      <c r="H220" s="1967"/>
      <c r="I220" s="1967"/>
      <c r="J220" s="1967"/>
      <c r="K220" s="1967"/>
      <c r="L220" s="1967"/>
      <c r="M220" s="592">
        <f t="array" aca="1" ref="M220:X220" ca="1">B26:M26*Produccion!$M$14</f>
        <v>0</v>
      </c>
      <c r="N220" s="592">
        <f ca="1"/>
        <v>0</v>
      </c>
      <c r="O220" s="592">
        <f ca="1"/>
        <v>0</v>
      </c>
      <c r="P220" s="592">
        <f ca="1"/>
        <v>0</v>
      </c>
      <c r="Q220" s="592">
        <f ca="1"/>
        <v>0</v>
      </c>
      <c r="R220" s="592">
        <f ca="1"/>
        <v>0</v>
      </c>
      <c r="S220" s="592">
        <f ca="1"/>
        <v>0</v>
      </c>
      <c r="T220" s="592">
        <f ca="1"/>
        <v>0</v>
      </c>
      <c r="U220" s="592">
        <f ca="1"/>
        <v>0</v>
      </c>
      <c r="V220" s="592">
        <f ca="1"/>
        <v>0</v>
      </c>
      <c r="W220" s="592">
        <f ca="1"/>
        <v>0</v>
      </c>
      <c r="X220" s="592">
        <f ca="1"/>
        <v>0</v>
      </c>
      <c r="Y220" s="1983">
        <f t="array" aca="1" ref="Y220:Y231" ca="1">'Distr CV 2'!M220:M231</f>
        <v>0</v>
      </c>
    </row>
    <row r="221" spans="1:25">
      <c r="A221" s="1971" t="str">
        <v>2 meses antes</v>
      </c>
      <c r="B221" s="1967"/>
      <c r="C221" s="1967"/>
      <c r="D221" s="1967"/>
      <c r="E221" s="1967"/>
      <c r="F221" s="1967"/>
      <c r="G221" s="1967"/>
      <c r="H221" s="1967"/>
      <c r="I221" s="1967"/>
      <c r="J221" s="1967"/>
      <c r="K221" s="1967"/>
      <c r="L221" s="592">
        <f t="array" aca="1" ref="L221:W221" ca="1">B26:M26*Produccion!$L$14</f>
        <v>0</v>
      </c>
      <c r="M221" s="592">
        <f ca="1"/>
        <v>0</v>
      </c>
      <c r="N221" s="592">
        <f ca="1"/>
        <v>0</v>
      </c>
      <c r="O221" s="592">
        <f ca="1"/>
        <v>0</v>
      </c>
      <c r="P221" s="592">
        <f ca="1"/>
        <v>0</v>
      </c>
      <c r="Q221" s="592">
        <f ca="1"/>
        <v>0</v>
      </c>
      <c r="R221" s="592">
        <f ca="1"/>
        <v>0</v>
      </c>
      <c r="S221" s="592">
        <f ca="1"/>
        <v>0</v>
      </c>
      <c r="T221" s="592">
        <f ca="1"/>
        <v>0</v>
      </c>
      <c r="U221" s="592">
        <f ca="1"/>
        <v>0</v>
      </c>
      <c r="V221" s="592">
        <f ca="1"/>
        <v>0</v>
      </c>
      <c r="W221" s="592">
        <f ca="1"/>
        <v>0</v>
      </c>
      <c r="X221" s="1964">
        <f t="array" aca="1" ref="X221:X231" ca="1">'Distr CV 2'!L221:L231</f>
        <v>0</v>
      </c>
      <c r="Y221" s="1983">
        <f ca="1"/>
        <v>0</v>
      </c>
    </row>
    <row r="222" spans="1:25">
      <c r="A222" s="1971" t="str">
        <v>3 meses antes</v>
      </c>
      <c r="B222" s="1967"/>
      <c r="C222" s="1967"/>
      <c r="D222" s="1967"/>
      <c r="E222" s="1967"/>
      <c r="F222" s="1967"/>
      <c r="G222" s="1967"/>
      <c r="H222" s="1967"/>
      <c r="I222" s="1967"/>
      <c r="J222" s="1967"/>
      <c r="K222" s="592">
        <f t="array" aca="1" ref="K222:V222" ca="1">B26:M26*Produccion!$K$14</f>
        <v>0</v>
      </c>
      <c r="L222" s="592">
        <f ca="1"/>
        <v>0</v>
      </c>
      <c r="M222" s="592">
        <f ca="1"/>
        <v>0</v>
      </c>
      <c r="N222" s="592">
        <f ca="1"/>
        <v>0</v>
      </c>
      <c r="O222" s="592">
        <f ca="1"/>
        <v>0</v>
      </c>
      <c r="P222" s="592">
        <f ca="1"/>
        <v>0</v>
      </c>
      <c r="Q222" s="592">
        <f ca="1"/>
        <v>0</v>
      </c>
      <c r="R222" s="592">
        <f ca="1"/>
        <v>0</v>
      </c>
      <c r="S222" s="592">
        <f ca="1"/>
        <v>0</v>
      </c>
      <c r="T222" s="592">
        <f ca="1"/>
        <v>0</v>
      </c>
      <c r="U222" s="592">
        <f ca="1"/>
        <v>0</v>
      </c>
      <c r="V222" s="592">
        <f ca="1"/>
        <v>0</v>
      </c>
      <c r="W222" s="1964">
        <f t="array" aca="1" ref="W222:W231" ca="1">'Distr CV 2'!K222:K231</f>
        <v>0</v>
      </c>
      <c r="X222" s="1964">
        <f ca="1"/>
        <v>0</v>
      </c>
      <c r="Y222" s="1983">
        <f ca="1"/>
        <v>0</v>
      </c>
    </row>
    <row r="223" spans="1:25">
      <c r="A223" s="1971" t="str">
        <v>4 meses antes</v>
      </c>
      <c r="B223" s="1967"/>
      <c r="C223" s="1967"/>
      <c r="D223" s="1967"/>
      <c r="E223" s="1967"/>
      <c r="F223" s="1967"/>
      <c r="G223" s="1967"/>
      <c r="H223" s="1967"/>
      <c r="I223" s="1967"/>
      <c r="J223" s="592">
        <f t="array" aca="1" ref="J223:U223" ca="1">B26:M26*Produccion!$J$14</f>
        <v>0</v>
      </c>
      <c r="K223" s="592">
        <f ca="1"/>
        <v>0</v>
      </c>
      <c r="L223" s="592">
        <f ca="1"/>
        <v>0</v>
      </c>
      <c r="M223" s="592">
        <f ca="1"/>
        <v>0</v>
      </c>
      <c r="N223" s="592">
        <f ca="1"/>
        <v>0</v>
      </c>
      <c r="O223" s="592">
        <f ca="1"/>
        <v>0</v>
      </c>
      <c r="P223" s="592">
        <f ca="1"/>
        <v>0</v>
      </c>
      <c r="Q223" s="592">
        <f ca="1"/>
        <v>0</v>
      </c>
      <c r="R223" s="592">
        <f ca="1"/>
        <v>0</v>
      </c>
      <c r="S223" s="592">
        <f ca="1"/>
        <v>0</v>
      </c>
      <c r="T223" s="592">
        <f ca="1"/>
        <v>0</v>
      </c>
      <c r="U223" s="592">
        <f ca="1"/>
        <v>0</v>
      </c>
      <c r="V223" s="1964">
        <f t="array" aca="1" ref="V223:V231" ca="1">'Distr CV 2'!J223:J231</f>
        <v>0</v>
      </c>
      <c r="W223" s="1964">
        <f ca="1"/>
        <v>0</v>
      </c>
      <c r="X223" s="1964">
        <f ca="1"/>
        <v>0</v>
      </c>
      <c r="Y223" s="1983">
        <f ca="1"/>
        <v>0</v>
      </c>
    </row>
    <row r="224" spans="1:25">
      <c r="A224" s="1971" t="str">
        <v>5 meses antes</v>
      </c>
      <c r="B224" s="1967"/>
      <c r="C224" s="1967"/>
      <c r="D224" s="1967"/>
      <c r="E224" s="1967"/>
      <c r="F224" s="1967"/>
      <c r="G224" s="1967"/>
      <c r="H224" s="1967"/>
      <c r="I224" s="592">
        <f t="array" aca="1" ref="I224:T224" ca="1">B26:M26*Produccion!$I$14</f>
        <v>0</v>
      </c>
      <c r="J224" s="592">
        <f ca="1"/>
        <v>0</v>
      </c>
      <c r="K224" s="592">
        <f ca="1"/>
        <v>0</v>
      </c>
      <c r="L224" s="592">
        <f ca="1"/>
        <v>0</v>
      </c>
      <c r="M224" s="592">
        <f ca="1"/>
        <v>0</v>
      </c>
      <c r="N224" s="592">
        <f ca="1"/>
        <v>0</v>
      </c>
      <c r="O224" s="592">
        <f ca="1"/>
        <v>0</v>
      </c>
      <c r="P224" s="592">
        <f ca="1"/>
        <v>0</v>
      </c>
      <c r="Q224" s="592">
        <f ca="1"/>
        <v>0</v>
      </c>
      <c r="R224" s="592">
        <f ca="1"/>
        <v>0</v>
      </c>
      <c r="S224" s="592">
        <f ca="1"/>
        <v>0</v>
      </c>
      <c r="T224" s="592">
        <f ca="1"/>
        <v>0</v>
      </c>
      <c r="U224" s="1964">
        <f t="array" aca="1" ref="U224:U231" ca="1">'Distr CV 2'!I224:I231</f>
        <v>0</v>
      </c>
      <c r="V224" s="1964">
        <f ca="1"/>
        <v>0</v>
      </c>
      <c r="W224" s="1964">
        <f ca="1"/>
        <v>0</v>
      </c>
      <c r="X224" s="1964">
        <f ca="1"/>
        <v>0</v>
      </c>
      <c r="Y224" s="1983">
        <f ca="1"/>
        <v>0</v>
      </c>
    </row>
    <row r="225" spans="1:25">
      <c r="A225" s="1971" t="str">
        <v>6 meses antes</v>
      </c>
      <c r="B225" s="1967"/>
      <c r="C225" s="1967"/>
      <c r="D225" s="1967"/>
      <c r="E225" s="1967"/>
      <c r="F225" s="1967"/>
      <c r="G225" s="1967"/>
      <c r="H225" s="592">
        <f t="array" aca="1" ref="H225:S225" ca="1">B26:M26*Produccion!$H$14</f>
        <v>0</v>
      </c>
      <c r="I225" s="592">
        <f ca="1"/>
        <v>0</v>
      </c>
      <c r="J225" s="592">
        <f ca="1"/>
        <v>0</v>
      </c>
      <c r="K225" s="592">
        <f ca="1"/>
        <v>0</v>
      </c>
      <c r="L225" s="592">
        <f ca="1"/>
        <v>0</v>
      </c>
      <c r="M225" s="592">
        <f ca="1"/>
        <v>0</v>
      </c>
      <c r="N225" s="592">
        <f ca="1"/>
        <v>0</v>
      </c>
      <c r="O225" s="592">
        <f ca="1"/>
        <v>0</v>
      </c>
      <c r="P225" s="592">
        <f ca="1"/>
        <v>0</v>
      </c>
      <c r="Q225" s="592">
        <f ca="1"/>
        <v>0</v>
      </c>
      <c r="R225" s="592">
        <f ca="1"/>
        <v>0</v>
      </c>
      <c r="S225" s="592">
        <f ca="1"/>
        <v>0</v>
      </c>
      <c r="T225" s="1964">
        <f t="array" aca="1" ref="T225:T231" ca="1">'Distr CV 2'!H225:H231</f>
        <v>0</v>
      </c>
      <c r="U225" s="1964">
        <f ca="1"/>
        <v>0</v>
      </c>
      <c r="V225" s="1964">
        <f ca="1"/>
        <v>0</v>
      </c>
      <c r="W225" s="1964">
        <f ca="1"/>
        <v>0</v>
      </c>
      <c r="X225" s="1964">
        <f ca="1"/>
        <v>0</v>
      </c>
      <c r="Y225" s="1983">
        <f ca="1"/>
        <v>0</v>
      </c>
    </row>
    <row r="226" spans="1:25">
      <c r="A226" s="1971" t="str">
        <v>7 meses antes</v>
      </c>
      <c r="B226" s="1967"/>
      <c r="C226" s="1967"/>
      <c r="D226" s="1967"/>
      <c r="E226" s="1967"/>
      <c r="F226" s="1967"/>
      <c r="G226" s="592">
        <f t="array" aca="1" ref="G226:R226" ca="1">B26:M26*Produccion!$G$14</f>
        <v>0</v>
      </c>
      <c r="H226" s="592">
        <f ca="1"/>
        <v>0</v>
      </c>
      <c r="I226" s="592">
        <f ca="1"/>
        <v>0</v>
      </c>
      <c r="J226" s="592">
        <f ca="1"/>
        <v>0</v>
      </c>
      <c r="K226" s="592">
        <f ca="1"/>
        <v>0</v>
      </c>
      <c r="L226" s="592">
        <f ca="1"/>
        <v>0</v>
      </c>
      <c r="M226" s="592">
        <f ca="1"/>
        <v>0</v>
      </c>
      <c r="N226" s="592">
        <f ca="1"/>
        <v>0</v>
      </c>
      <c r="O226" s="592">
        <f ca="1"/>
        <v>0</v>
      </c>
      <c r="P226" s="592">
        <f ca="1"/>
        <v>0</v>
      </c>
      <c r="Q226" s="592">
        <f ca="1"/>
        <v>0</v>
      </c>
      <c r="R226" s="592">
        <f ca="1"/>
        <v>0</v>
      </c>
      <c r="S226" s="1968">
        <f t="array" aca="1" ref="S226:S231" ca="1">'Distr CV 2'!G226:G231</f>
        <v>0</v>
      </c>
      <c r="T226" s="1968">
        <f ca="1"/>
        <v>0</v>
      </c>
      <c r="U226" s="1968">
        <f ca="1"/>
        <v>0</v>
      </c>
      <c r="V226" s="1968">
        <f ca="1"/>
        <v>0</v>
      </c>
      <c r="W226" s="1968">
        <f ca="1"/>
        <v>0</v>
      </c>
      <c r="X226" s="1968">
        <f ca="1"/>
        <v>0</v>
      </c>
      <c r="Y226" s="1986">
        <f ca="1"/>
        <v>0</v>
      </c>
    </row>
    <row r="227" spans="1:25">
      <c r="A227" s="1971" t="str">
        <v>8 meses antes</v>
      </c>
      <c r="B227" s="1967"/>
      <c r="C227" s="1967"/>
      <c r="D227" s="1967"/>
      <c r="E227" s="1967"/>
      <c r="F227" s="592">
        <f t="array" aca="1" ref="F227:Q227" ca="1">B26:M26*Produccion!$F$14</f>
        <v>0</v>
      </c>
      <c r="G227" s="592">
        <f ca="1"/>
        <v>0</v>
      </c>
      <c r="H227" s="592">
        <f ca="1"/>
        <v>0</v>
      </c>
      <c r="I227" s="592">
        <f ca="1"/>
        <v>0</v>
      </c>
      <c r="J227" s="592">
        <f ca="1"/>
        <v>0</v>
      </c>
      <c r="K227" s="592">
        <f ca="1"/>
        <v>0</v>
      </c>
      <c r="L227" s="592">
        <f ca="1"/>
        <v>0</v>
      </c>
      <c r="M227" s="592">
        <f ca="1"/>
        <v>0</v>
      </c>
      <c r="N227" s="592">
        <f ca="1"/>
        <v>0</v>
      </c>
      <c r="O227" s="592">
        <f ca="1"/>
        <v>0</v>
      </c>
      <c r="P227" s="592">
        <f ca="1"/>
        <v>0</v>
      </c>
      <c r="Q227" s="592">
        <f ca="1"/>
        <v>0</v>
      </c>
      <c r="R227" s="1968">
        <f t="array" aca="1" ref="R227:R231" ca="1">'Distr CV 2'!F227:F231</f>
        <v>0</v>
      </c>
      <c r="S227" s="1968">
        <f ca="1"/>
        <v>0</v>
      </c>
      <c r="T227" s="1968">
        <f ca="1"/>
        <v>0</v>
      </c>
      <c r="U227" s="1968">
        <f ca="1"/>
        <v>0</v>
      </c>
      <c r="V227" s="1968">
        <f ca="1"/>
        <v>0</v>
      </c>
      <c r="W227" s="1968">
        <f ca="1"/>
        <v>0</v>
      </c>
      <c r="X227" s="1968">
        <f ca="1"/>
        <v>0</v>
      </c>
      <c r="Y227" s="1986">
        <f ca="1"/>
        <v>0</v>
      </c>
    </row>
    <row r="228" spans="1:25">
      <c r="A228" s="1971" t="str">
        <v>9 meses antes</v>
      </c>
      <c r="B228" s="1967"/>
      <c r="C228" s="1967"/>
      <c r="D228" s="1967"/>
      <c r="E228" s="592">
        <f t="array" aca="1" ref="E228:P228" ca="1">B26:M26*Produccion!$E$14</f>
        <v>0</v>
      </c>
      <c r="F228" s="592">
        <f ca="1"/>
        <v>0</v>
      </c>
      <c r="G228" s="592">
        <f ca="1"/>
        <v>0</v>
      </c>
      <c r="H228" s="592">
        <f ca="1"/>
        <v>0</v>
      </c>
      <c r="I228" s="592">
        <f ca="1"/>
        <v>0</v>
      </c>
      <c r="J228" s="592">
        <f ca="1"/>
        <v>0</v>
      </c>
      <c r="K228" s="592">
        <f ca="1"/>
        <v>0</v>
      </c>
      <c r="L228" s="592">
        <f ca="1"/>
        <v>0</v>
      </c>
      <c r="M228" s="592">
        <f ca="1"/>
        <v>0</v>
      </c>
      <c r="N228" s="592">
        <f ca="1"/>
        <v>0</v>
      </c>
      <c r="O228" s="592">
        <f ca="1"/>
        <v>0</v>
      </c>
      <c r="P228" s="592">
        <f ca="1"/>
        <v>0</v>
      </c>
      <c r="Q228" s="1968">
        <f t="array" aca="1" ref="Q228:Q231" ca="1">'Distr CV 2'!E228:E231</f>
        <v>0</v>
      </c>
      <c r="R228" s="1968">
        <f ca="1"/>
        <v>0</v>
      </c>
      <c r="S228" s="1968">
        <f ca="1"/>
        <v>0</v>
      </c>
      <c r="T228" s="1968">
        <f ca="1"/>
        <v>0</v>
      </c>
      <c r="U228" s="1968">
        <f ca="1"/>
        <v>0</v>
      </c>
      <c r="V228" s="1968">
        <f ca="1"/>
        <v>0</v>
      </c>
      <c r="W228" s="1968">
        <f ca="1"/>
        <v>0</v>
      </c>
      <c r="X228" s="1968">
        <f ca="1"/>
        <v>0</v>
      </c>
      <c r="Y228" s="1986">
        <f ca="1"/>
        <v>0</v>
      </c>
    </row>
    <row r="229" spans="1:25">
      <c r="A229" s="1971" t="str">
        <v>10 meses antes</v>
      </c>
      <c r="B229" s="1967"/>
      <c r="C229" s="1967"/>
      <c r="D229" s="592">
        <f t="array" aca="1" ref="D229:O229" ca="1">B26:M26*Produccion!$D$14</f>
        <v>0</v>
      </c>
      <c r="E229" s="592">
        <f ca="1"/>
        <v>0</v>
      </c>
      <c r="F229" s="592">
        <f ca="1"/>
        <v>0</v>
      </c>
      <c r="G229" s="592">
        <f ca="1"/>
        <v>0</v>
      </c>
      <c r="H229" s="592">
        <f ca="1"/>
        <v>0</v>
      </c>
      <c r="I229" s="592">
        <f ca="1"/>
        <v>0</v>
      </c>
      <c r="J229" s="592">
        <f ca="1"/>
        <v>0</v>
      </c>
      <c r="K229" s="592">
        <f ca="1"/>
        <v>0</v>
      </c>
      <c r="L229" s="592">
        <f ca="1"/>
        <v>0</v>
      </c>
      <c r="M229" s="592">
        <f ca="1"/>
        <v>0</v>
      </c>
      <c r="N229" s="592">
        <f ca="1"/>
        <v>0</v>
      </c>
      <c r="O229" s="592">
        <f ca="1"/>
        <v>0</v>
      </c>
      <c r="P229" s="1968">
        <f t="array" aca="1" ref="P229:P231" ca="1">'Distr CV 2'!D229:D231</f>
        <v>0</v>
      </c>
      <c r="Q229" s="1968">
        <f ca="1"/>
        <v>0</v>
      </c>
      <c r="R229" s="1968">
        <f ca="1"/>
        <v>0</v>
      </c>
      <c r="S229" s="1968">
        <f ca="1"/>
        <v>0</v>
      </c>
      <c r="T229" s="1968">
        <f ca="1"/>
        <v>0</v>
      </c>
      <c r="U229" s="1968">
        <f ca="1"/>
        <v>0</v>
      </c>
      <c r="V229" s="1968">
        <f ca="1"/>
        <v>0</v>
      </c>
      <c r="W229" s="1968">
        <f ca="1"/>
        <v>0</v>
      </c>
      <c r="X229" s="1968">
        <f ca="1"/>
        <v>0</v>
      </c>
      <c r="Y229" s="1986">
        <f ca="1"/>
        <v>0</v>
      </c>
    </row>
    <row r="230" spans="1:25">
      <c r="A230" s="1971" t="str">
        <v>11 meses antes</v>
      </c>
      <c r="B230" s="1967"/>
      <c r="C230" s="592">
        <f t="array" aca="1" ref="C230:N230" ca="1">B26:M26*Produccion!$C$14</f>
        <v>0</v>
      </c>
      <c r="D230" s="592">
        <f ca="1"/>
        <v>0</v>
      </c>
      <c r="E230" s="592">
        <f ca="1"/>
        <v>0</v>
      </c>
      <c r="F230" s="592">
        <f ca="1"/>
        <v>0</v>
      </c>
      <c r="G230" s="592">
        <f ca="1"/>
        <v>0</v>
      </c>
      <c r="H230" s="592">
        <f ca="1"/>
        <v>0</v>
      </c>
      <c r="I230" s="592">
        <f ca="1"/>
        <v>0</v>
      </c>
      <c r="J230" s="592">
        <f ca="1"/>
        <v>0</v>
      </c>
      <c r="K230" s="592">
        <f ca="1"/>
        <v>0</v>
      </c>
      <c r="L230" s="592">
        <f ca="1"/>
        <v>0</v>
      </c>
      <c r="M230" s="592">
        <f ca="1"/>
        <v>0</v>
      </c>
      <c r="N230" s="592">
        <f ca="1"/>
        <v>0</v>
      </c>
      <c r="O230" s="1968">
        <f ca="1">'Distr CV 2'!C230</f>
        <v>0</v>
      </c>
      <c r="P230" s="1968">
        <f ca="1"/>
        <v>0</v>
      </c>
      <c r="Q230" s="1968">
        <f ca="1"/>
        <v>0</v>
      </c>
      <c r="R230" s="1968">
        <f ca="1"/>
        <v>0</v>
      </c>
      <c r="S230" s="1968">
        <f ca="1"/>
        <v>0</v>
      </c>
      <c r="T230" s="1968">
        <f ca="1"/>
        <v>0</v>
      </c>
      <c r="U230" s="1968">
        <f ca="1"/>
        <v>0</v>
      </c>
      <c r="V230" s="1968">
        <f ca="1"/>
        <v>0</v>
      </c>
      <c r="W230" s="1968">
        <f ca="1"/>
        <v>0</v>
      </c>
      <c r="X230" s="1968">
        <f ca="1"/>
        <v>0</v>
      </c>
      <c r="Y230" s="1986">
        <f ca="1"/>
        <v>0</v>
      </c>
    </row>
    <row r="231" spans="1:25" ht="13.5" thickBot="1">
      <c r="A231" s="1971" t="str">
        <v>12 meses antes</v>
      </c>
      <c r="B231" s="592">
        <f t="array" aca="1" ref="B231:M231" ca="1">B26:M26*Produccion!$B$14</f>
        <v>0</v>
      </c>
      <c r="C231" s="592">
        <f ca="1"/>
        <v>0</v>
      </c>
      <c r="D231" s="592">
        <f ca="1"/>
        <v>0</v>
      </c>
      <c r="E231" s="592">
        <f ca="1"/>
        <v>0</v>
      </c>
      <c r="F231" s="592">
        <f ca="1"/>
        <v>0</v>
      </c>
      <c r="G231" s="592">
        <f ca="1"/>
        <v>0</v>
      </c>
      <c r="H231" s="592">
        <f ca="1"/>
        <v>0</v>
      </c>
      <c r="I231" s="592">
        <f ca="1"/>
        <v>0</v>
      </c>
      <c r="J231" s="592">
        <f ca="1"/>
        <v>0</v>
      </c>
      <c r="K231" s="592">
        <f ca="1"/>
        <v>0</v>
      </c>
      <c r="L231" s="592">
        <f ca="1"/>
        <v>0</v>
      </c>
      <c r="M231" s="592">
        <f ca="1"/>
        <v>0</v>
      </c>
      <c r="N231" s="1967">
        <f ca="1">'Distr CV 2'!B231</f>
        <v>0</v>
      </c>
      <c r="O231" s="1968">
        <f ca="1">'Distr CV 2'!C231</f>
        <v>0</v>
      </c>
      <c r="P231" s="1968">
        <f ca="1"/>
        <v>0</v>
      </c>
      <c r="Q231" s="1968">
        <f ca="1"/>
        <v>0</v>
      </c>
      <c r="R231" s="1968">
        <f ca="1"/>
        <v>0</v>
      </c>
      <c r="S231" s="1968">
        <f ca="1"/>
        <v>0</v>
      </c>
      <c r="T231" s="1968">
        <f ca="1"/>
        <v>0</v>
      </c>
      <c r="U231" s="1968">
        <f ca="1"/>
        <v>0</v>
      </c>
      <c r="V231" s="1968">
        <f ca="1"/>
        <v>0</v>
      </c>
      <c r="W231" s="1968">
        <f ca="1"/>
        <v>0</v>
      </c>
      <c r="X231" s="1968">
        <f ca="1"/>
        <v>0</v>
      </c>
      <c r="Y231" s="1986">
        <f ca="1"/>
        <v>0</v>
      </c>
    </row>
    <row r="232" spans="1:25" ht="13.5" thickBot="1">
      <c r="A232" s="103" t="str">
        <f>"Totales CV "&amp;A$14</f>
        <v xml:space="preserve">Totales CV </v>
      </c>
      <c r="B232" s="596">
        <f t="shared" ref="B232:Y232" ca="1" si="16">SUM(B219:B231)</f>
        <v>0</v>
      </c>
      <c r="C232" s="596">
        <f t="shared" ca="1" si="16"/>
        <v>0</v>
      </c>
      <c r="D232" s="596">
        <f t="shared" ca="1" si="16"/>
        <v>0</v>
      </c>
      <c r="E232" s="596">
        <f t="shared" ca="1" si="16"/>
        <v>0</v>
      </c>
      <c r="F232" s="596">
        <f t="shared" ca="1" si="16"/>
        <v>0</v>
      </c>
      <c r="G232" s="596">
        <f t="shared" ca="1" si="16"/>
        <v>0</v>
      </c>
      <c r="H232" s="596">
        <f t="shared" ca="1" si="16"/>
        <v>0</v>
      </c>
      <c r="I232" s="596">
        <f t="shared" ca="1" si="16"/>
        <v>0</v>
      </c>
      <c r="J232" s="596">
        <f t="shared" ca="1" si="16"/>
        <v>0</v>
      </c>
      <c r="K232" s="596">
        <f t="shared" ca="1" si="16"/>
        <v>0</v>
      </c>
      <c r="L232" s="596">
        <f t="shared" ca="1" si="16"/>
        <v>0</v>
      </c>
      <c r="M232" s="596">
        <f t="shared" ca="1" si="16"/>
        <v>0</v>
      </c>
      <c r="N232" s="596">
        <f t="shared" ca="1" si="16"/>
        <v>0</v>
      </c>
      <c r="O232" s="596">
        <f t="shared" ca="1" si="16"/>
        <v>0</v>
      </c>
      <c r="P232" s="596">
        <f t="shared" ca="1" si="16"/>
        <v>0</v>
      </c>
      <c r="Q232" s="596">
        <f t="shared" ca="1" si="16"/>
        <v>0</v>
      </c>
      <c r="R232" s="596">
        <f t="shared" ca="1" si="16"/>
        <v>0</v>
      </c>
      <c r="S232" s="596">
        <f t="shared" ca="1" si="16"/>
        <v>0</v>
      </c>
      <c r="T232" s="596">
        <f t="shared" ca="1" si="16"/>
        <v>0</v>
      </c>
      <c r="U232" s="596">
        <f t="shared" ca="1" si="16"/>
        <v>0</v>
      </c>
      <c r="V232" s="596">
        <f t="shared" ca="1" si="16"/>
        <v>0</v>
      </c>
      <c r="W232" s="596">
        <f t="shared" ca="1" si="16"/>
        <v>0</v>
      </c>
      <c r="X232" s="596">
        <f t="shared" ca="1" si="16"/>
        <v>0</v>
      </c>
      <c r="Y232" s="1984">
        <f t="shared" ca="1" si="16"/>
        <v>0</v>
      </c>
    </row>
    <row r="233" spans="1:25" ht="13.5" thickBot="1">
      <c r="A233" s="103" t="str">
        <f>'Datos Básicos'!A28&amp;" sop. CV "&amp;$A$14</f>
        <v xml:space="preserve">IVA sop. CV </v>
      </c>
      <c r="B233" s="596">
        <f t="array" aca="1" ref="B233:Y233" ca="1">$K$217*B232:Y232</f>
        <v>0</v>
      </c>
      <c r="C233" s="596">
        <f ca="1"/>
        <v>0</v>
      </c>
      <c r="D233" s="596">
        <f ca="1"/>
        <v>0</v>
      </c>
      <c r="E233" s="596">
        <f ca="1"/>
        <v>0</v>
      </c>
      <c r="F233" s="596">
        <f ca="1"/>
        <v>0</v>
      </c>
      <c r="G233" s="596">
        <f ca="1"/>
        <v>0</v>
      </c>
      <c r="H233" s="596">
        <f ca="1"/>
        <v>0</v>
      </c>
      <c r="I233" s="596">
        <f ca="1"/>
        <v>0</v>
      </c>
      <c r="J233" s="596">
        <f ca="1"/>
        <v>0</v>
      </c>
      <c r="K233" s="596">
        <f ca="1"/>
        <v>0</v>
      </c>
      <c r="L233" s="596">
        <f ca="1"/>
        <v>0</v>
      </c>
      <c r="M233" s="596">
        <f ca="1"/>
        <v>0</v>
      </c>
      <c r="N233" s="596">
        <f ca="1"/>
        <v>0</v>
      </c>
      <c r="O233" s="596">
        <f ca="1"/>
        <v>0</v>
      </c>
      <c r="P233" s="596">
        <f ca="1"/>
        <v>0</v>
      </c>
      <c r="Q233" s="596">
        <f ca="1"/>
        <v>0</v>
      </c>
      <c r="R233" s="596">
        <f ca="1"/>
        <v>0</v>
      </c>
      <c r="S233" s="596">
        <f ca="1"/>
        <v>0</v>
      </c>
      <c r="T233" s="596">
        <f ca="1"/>
        <v>0</v>
      </c>
      <c r="U233" s="596">
        <f ca="1"/>
        <v>0</v>
      </c>
      <c r="V233" s="596">
        <f ca="1"/>
        <v>0</v>
      </c>
      <c r="W233" s="596">
        <f ca="1"/>
        <v>0</v>
      </c>
      <c r="X233" s="596">
        <f ca="1"/>
        <v>0</v>
      </c>
      <c r="Y233" s="1984">
        <f ca="1"/>
        <v>0</v>
      </c>
    </row>
    <row r="235" spans="1:25" ht="18.75" thickBot="1">
      <c r="A235" s="1969" t="str">
        <f>'Distr CV 0'!A235</f>
        <v xml:space="preserve">Compras / costes de producción por meses de </v>
      </c>
      <c r="I235" s="1969" t="str">
        <f>I$18</f>
        <v>IVA NO incluido</v>
      </c>
      <c r="K235" s="1981">
        <f>Parametros!$F$31</f>
        <v>0.21</v>
      </c>
    </row>
    <row r="236" spans="1:25" ht="30" customHeight="1" thickBot="1">
      <c r="A236" s="446" t="str">
        <f>A$110</f>
        <v>mes de compra / coste</v>
      </c>
      <c r="B236" s="1987" t="str">
        <f t="array" ref="B236:Y236">B$71:Y$71</f>
        <v>enero 
2026</v>
      </c>
      <c r="C236" s="1987" t="str">
        <v>febrero 
2026</v>
      </c>
      <c r="D236" s="1987" t="str">
        <v>marzo 
2026</v>
      </c>
      <c r="E236" s="1987" t="str">
        <v>abril 
2026</v>
      </c>
      <c r="F236" s="1987" t="str">
        <v>mayo 
2026</v>
      </c>
      <c r="G236" s="1987" t="str">
        <v>junio 
2026</v>
      </c>
      <c r="H236" s="1987" t="str">
        <v>julio 
2026</v>
      </c>
      <c r="I236" s="1987" t="str">
        <v>agosto 
2026</v>
      </c>
      <c r="J236" s="1987" t="str">
        <v>septiembre 
2026</v>
      </c>
      <c r="K236" s="1987" t="str">
        <v>octubre 
2026</v>
      </c>
      <c r="L236" s="1987" t="str">
        <v>noviembre 
2026</v>
      </c>
      <c r="M236" s="1987" t="str">
        <v>diciembre 
2026</v>
      </c>
      <c r="N236" s="2706" t="str">
        <v>enero 
2027</v>
      </c>
      <c r="O236" s="2707" t="str">
        <v>febrero 
2027</v>
      </c>
      <c r="P236" s="2707" t="str">
        <v>marzo 
2027</v>
      </c>
      <c r="Q236" s="2707" t="str">
        <v>abril 
2027</v>
      </c>
      <c r="R236" s="2707" t="str">
        <v>mayo 
2027</v>
      </c>
      <c r="S236" s="2707" t="str">
        <v>junio 
2027</v>
      </c>
      <c r="T236" s="2707" t="str">
        <v>julio 
2027</v>
      </c>
      <c r="U236" s="2707" t="str">
        <v>agosto 
2027</v>
      </c>
      <c r="V236" s="2707" t="str">
        <v>septiembre 
2027</v>
      </c>
      <c r="W236" s="2707" t="str">
        <v>octubre 
2027</v>
      </c>
      <c r="X236" s="2707" t="str">
        <v>noviembre 
2027</v>
      </c>
      <c r="Y236" s="2708" t="str">
        <v>diciembre 
2027</v>
      </c>
    </row>
    <row r="237" spans="1:25">
      <c r="A237" s="1970" t="str">
        <f t="array" ref="A237:A249">A$72:A$84</f>
        <v>mismo mes</v>
      </c>
      <c r="B237" s="1967"/>
      <c r="C237" s="1967"/>
      <c r="D237" s="1967"/>
      <c r="E237" s="1967"/>
      <c r="F237" s="1967"/>
      <c r="G237" s="1967"/>
      <c r="H237" s="1967"/>
      <c r="I237" s="1967"/>
      <c r="J237" s="1967"/>
      <c r="K237" s="1967"/>
      <c r="L237" s="1967"/>
      <c r="M237" s="1967"/>
      <c r="N237" s="592">
        <f t="array" aca="1" ref="N237:Y237" ca="1">B27:M27*Produccion!$N$15</f>
        <v>0</v>
      </c>
      <c r="O237" s="592">
        <f ca="1"/>
        <v>0</v>
      </c>
      <c r="P237" s="592">
        <f ca="1"/>
        <v>0</v>
      </c>
      <c r="Q237" s="592">
        <f ca="1"/>
        <v>0</v>
      </c>
      <c r="R237" s="592">
        <f ca="1"/>
        <v>0</v>
      </c>
      <c r="S237" s="592">
        <f ca="1"/>
        <v>0</v>
      </c>
      <c r="T237" s="592">
        <f ca="1"/>
        <v>0</v>
      </c>
      <c r="U237" s="592">
        <f ca="1"/>
        <v>0</v>
      </c>
      <c r="V237" s="592">
        <f ca="1"/>
        <v>0</v>
      </c>
      <c r="W237" s="592">
        <f ca="1"/>
        <v>0</v>
      </c>
      <c r="X237" s="592">
        <f ca="1"/>
        <v>0</v>
      </c>
      <c r="Y237" s="1982">
        <f ca="1"/>
        <v>0</v>
      </c>
    </row>
    <row r="238" spans="1:25">
      <c r="A238" s="1971" t="str">
        <v>1 mes antes</v>
      </c>
      <c r="B238" s="1967"/>
      <c r="C238" s="1967"/>
      <c r="D238" s="1967"/>
      <c r="E238" s="1967"/>
      <c r="F238" s="1967"/>
      <c r="G238" s="1967"/>
      <c r="H238" s="1967"/>
      <c r="I238" s="1967"/>
      <c r="J238" s="1967"/>
      <c r="K238" s="1967"/>
      <c r="L238" s="1967"/>
      <c r="M238" s="592">
        <f t="array" aca="1" ref="M238:X238" ca="1">B27:M27*Produccion!$M$15</f>
        <v>0</v>
      </c>
      <c r="N238" s="592">
        <f ca="1"/>
        <v>0</v>
      </c>
      <c r="O238" s="592">
        <f ca="1"/>
        <v>0</v>
      </c>
      <c r="P238" s="592">
        <f ca="1"/>
        <v>0</v>
      </c>
      <c r="Q238" s="592">
        <f ca="1"/>
        <v>0</v>
      </c>
      <c r="R238" s="592">
        <f ca="1"/>
        <v>0</v>
      </c>
      <c r="S238" s="592">
        <f ca="1"/>
        <v>0</v>
      </c>
      <c r="T238" s="592">
        <f ca="1"/>
        <v>0</v>
      </c>
      <c r="U238" s="592">
        <f ca="1"/>
        <v>0</v>
      </c>
      <c r="V238" s="592">
        <f ca="1"/>
        <v>0</v>
      </c>
      <c r="W238" s="592">
        <f ca="1"/>
        <v>0</v>
      </c>
      <c r="X238" s="592">
        <f ca="1"/>
        <v>0</v>
      </c>
      <c r="Y238" s="1983">
        <f t="array" aca="1" ref="Y238:Y249" ca="1">'Distr CV 2'!M238:M249</f>
        <v>0</v>
      </c>
    </row>
    <row r="239" spans="1:25">
      <c r="A239" s="1971" t="str">
        <v>2 meses antes</v>
      </c>
      <c r="B239" s="1967"/>
      <c r="C239" s="1967"/>
      <c r="D239" s="1967"/>
      <c r="E239" s="1967"/>
      <c r="F239" s="1967"/>
      <c r="G239" s="1967"/>
      <c r="H239" s="1967"/>
      <c r="I239" s="1967"/>
      <c r="J239" s="1967"/>
      <c r="K239" s="1967"/>
      <c r="L239" s="592">
        <f t="array" aca="1" ref="L239:W239" ca="1">B27:M27*Produccion!$L$15</f>
        <v>0</v>
      </c>
      <c r="M239" s="592">
        <f ca="1"/>
        <v>0</v>
      </c>
      <c r="N239" s="592">
        <f ca="1"/>
        <v>0</v>
      </c>
      <c r="O239" s="592">
        <f ca="1"/>
        <v>0</v>
      </c>
      <c r="P239" s="592">
        <f ca="1"/>
        <v>0</v>
      </c>
      <c r="Q239" s="592">
        <f ca="1"/>
        <v>0</v>
      </c>
      <c r="R239" s="592">
        <f ca="1"/>
        <v>0</v>
      </c>
      <c r="S239" s="592">
        <f ca="1"/>
        <v>0</v>
      </c>
      <c r="T239" s="592">
        <f ca="1"/>
        <v>0</v>
      </c>
      <c r="U239" s="592">
        <f ca="1"/>
        <v>0</v>
      </c>
      <c r="V239" s="592">
        <f ca="1"/>
        <v>0</v>
      </c>
      <c r="W239" s="592">
        <f ca="1"/>
        <v>0</v>
      </c>
      <c r="X239" s="1964">
        <f t="array" aca="1" ref="X239:X249" ca="1">'Distr CV 2'!L239:L249</f>
        <v>0</v>
      </c>
      <c r="Y239" s="1983">
        <f ca="1"/>
        <v>0</v>
      </c>
    </row>
    <row r="240" spans="1:25">
      <c r="A240" s="1971" t="str">
        <v>3 meses antes</v>
      </c>
      <c r="B240" s="1967"/>
      <c r="C240" s="1967"/>
      <c r="D240" s="1967"/>
      <c r="E240" s="1967"/>
      <c r="F240" s="1967"/>
      <c r="G240" s="1967"/>
      <c r="H240" s="1967"/>
      <c r="I240" s="1967"/>
      <c r="J240" s="1967"/>
      <c r="K240" s="592">
        <f t="array" aca="1" ref="K240:V240" ca="1">B27:M27*Produccion!$K$15</f>
        <v>0</v>
      </c>
      <c r="L240" s="592">
        <f ca="1"/>
        <v>0</v>
      </c>
      <c r="M240" s="592">
        <f ca="1"/>
        <v>0</v>
      </c>
      <c r="N240" s="592">
        <f ca="1"/>
        <v>0</v>
      </c>
      <c r="O240" s="592">
        <f ca="1"/>
        <v>0</v>
      </c>
      <c r="P240" s="592">
        <f ca="1"/>
        <v>0</v>
      </c>
      <c r="Q240" s="592">
        <f ca="1"/>
        <v>0</v>
      </c>
      <c r="R240" s="592">
        <f ca="1"/>
        <v>0</v>
      </c>
      <c r="S240" s="592">
        <f ca="1"/>
        <v>0</v>
      </c>
      <c r="T240" s="592">
        <f ca="1"/>
        <v>0</v>
      </c>
      <c r="U240" s="592">
        <f ca="1"/>
        <v>0</v>
      </c>
      <c r="V240" s="592">
        <f ca="1"/>
        <v>0</v>
      </c>
      <c r="W240" s="1964">
        <f t="array" aca="1" ref="W240:W249" ca="1">'Distr CV 2'!K240:K249</f>
        <v>0</v>
      </c>
      <c r="X240" s="1964">
        <f ca="1"/>
        <v>0</v>
      </c>
      <c r="Y240" s="1983">
        <f ca="1"/>
        <v>0</v>
      </c>
    </row>
    <row r="241" spans="1:25">
      <c r="A241" s="1971" t="str">
        <v>4 meses antes</v>
      </c>
      <c r="B241" s="1967"/>
      <c r="C241" s="1967"/>
      <c r="D241" s="1967"/>
      <c r="E241" s="1967"/>
      <c r="F241" s="1967"/>
      <c r="G241" s="1967"/>
      <c r="H241" s="1967"/>
      <c r="I241" s="1967"/>
      <c r="J241" s="592">
        <f t="array" aca="1" ref="J241:U241" ca="1">B27:M27*Produccion!$J$15</f>
        <v>0</v>
      </c>
      <c r="K241" s="592">
        <f ca="1"/>
        <v>0</v>
      </c>
      <c r="L241" s="592">
        <f ca="1"/>
        <v>0</v>
      </c>
      <c r="M241" s="592">
        <f ca="1"/>
        <v>0</v>
      </c>
      <c r="N241" s="592">
        <f ca="1"/>
        <v>0</v>
      </c>
      <c r="O241" s="592">
        <f ca="1"/>
        <v>0</v>
      </c>
      <c r="P241" s="592">
        <f ca="1"/>
        <v>0</v>
      </c>
      <c r="Q241" s="592">
        <f ca="1"/>
        <v>0</v>
      </c>
      <c r="R241" s="592">
        <f ca="1"/>
        <v>0</v>
      </c>
      <c r="S241" s="592">
        <f ca="1"/>
        <v>0</v>
      </c>
      <c r="T241" s="592">
        <f ca="1"/>
        <v>0</v>
      </c>
      <c r="U241" s="592">
        <f ca="1"/>
        <v>0</v>
      </c>
      <c r="V241" s="1964">
        <f t="array" aca="1" ref="V241:V249" ca="1">'Distr CV 2'!J241:J249</f>
        <v>0</v>
      </c>
      <c r="W241" s="1964">
        <f ca="1"/>
        <v>0</v>
      </c>
      <c r="X241" s="1964">
        <f ca="1"/>
        <v>0</v>
      </c>
      <c r="Y241" s="1983">
        <f ca="1"/>
        <v>0</v>
      </c>
    </row>
    <row r="242" spans="1:25">
      <c r="A242" s="1971" t="str">
        <v>5 meses antes</v>
      </c>
      <c r="B242" s="1967"/>
      <c r="C242" s="1967"/>
      <c r="D242" s="1967"/>
      <c r="E242" s="1967"/>
      <c r="F242" s="1967"/>
      <c r="G242" s="1967"/>
      <c r="H242" s="1967"/>
      <c r="I242" s="592">
        <f t="array" aca="1" ref="I242:T242" ca="1">B27:M27*Produccion!$I$15</f>
        <v>0</v>
      </c>
      <c r="J242" s="592">
        <f ca="1"/>
        <v>0</v>
      </c>
      <c r="K242" s="592">
        <f ca="1"/>
        <v>0</v>
      </c>
      <c r="L242" s="592">
        <f ca="1"/>
        <v>0</v>
      </c>
      <c r="M242" s="592">
        <f ca="1"/>
        <v>0</v>
      </c>
      <c r="N242" s="592">
        <f ca="1"/>
        <v>0</v>
      </c>
      <c r="O242" s="592">
        <f ca="1"/>
        <v>0</v>
      </c>
      <c r="P242" s="592">
        <f ca="1"/>
        <v>0</v>
      </c>
      <c r="Q242" s="592">
        <f ca="1"/>
        <v>0</v>
      </c>
      <c r="R242" s="592">
        <f ca="1"/>
        <v>0</v>
      </c>
      <c r="S242" s="592">
        <f ca="1"/>
        <v>0</v>
      </c>
      <c r="T242" s="592">
        <f ca="1"/>
        <v>0</v>
      </c>
      <c r="U242" s="1964">
        <f t="array" aca="1" ref="U242:U249" ca="1">'Distr CV 2'!I242:I249</f>
        <v>0</v>
      </c>
      <c r="V242" s="1964">
        <f ca="1"/>
        <v>0</v>
      </c>
      <c r="W242" s="1964">
        <f ca="1"/>
        <v>0</v>
      </c>
      <c r="X242" s="1964">
        <f ca="1"/>
        <v>0</v>
      </c>
      <c r="Y242" s="1983">
        <f ca="1"/>
        <v>0</v>
      </c>
    </row>
    <row r="243" spans="1:25">
      <c r="A243" s="1971" t="str">
        <v>6 meses antes</v>
      </c>
      <c r="B243" s="1967"/>
      <c r="C243" s="1967"/>
      <c r="D243" s="1967"/>
      <c r="E243" s="1967"/>
      <c r="F243" s="1967"/>
      <c r="G243" s="1967"/>
      <c r="H243" s="592">
        <f t="array" aca="1" ref="H243:S243" ca="1">B27:M27*Produccion!$H$15</f>
        <v>0</v>
      </c>
      <c r="I243" s="592">
        <f ca="1"/>
        <v>0</v>
      </c>
      <c r="J243" s="592">
        <f ca="1"/>
        <v>0</v>
      </c>
      <c r="K243" s="592">
        <f ca="1"/>
        <v>0</v>
      </c>
      <c r="L243" s="592">
        <f ca="1"/>
        <v>0</v>
      </c>
      <c r="M243" s="592">
        <f ca="1"/>
        <v>0</v>
      </c>
      <c r="N243" s="592">
        <f ca="1"/>
        <v>0</v>
      </c>
      <c r="O243" s="592">
        <f ca="1"/>
        <v>0</v>
      </c>
      <c r="P243" s="592">
        <f ca="1"/>
        <v>0</v>
      </c>
      <c r="Q243" s="592">
        <f ca="1"/>
        <v>0</v>
      </c>
      <c r="R243" s="592">
        <f ca="1"/>
        <v>0</v>
      </c>
      <c r="S243" s="592">
        <f ca="1"/>
        <v>0</v>
      </c>
      <c r="T243" s="1964">
        <f t="array" aca="1" ref="T243:T249" ca="1">'Distr CV 2'!H243:H249</f>
        <v>0</v>
      </c>
      <c r="U243" s="1964">
        <f ca="1"/>
        <v>0</v>
      </c>
      <c r="V243" s="1964">
        <f ca="1"/>
        <v>0</v>
      </c>
      <c r="W243" s="1964">
        <f ca="1"/>
        <v>0</v>
      </c>
      <c r="X243" s="1964">
        <f ca="1"/>
        <v>0</v>
      </c>
      <c r="Y243" s="1983">
        <f ca="1"/>
        <v>0</v>
      </c>
    </row>
    <row r="244" spans="1:25">
      <c r="A244" s="1971" t="str">
        <v>7 meses antes</v>
      </c>
      <c r="B244" s="1967"/>
      <c r="C244" s="1967"/>
      <c r="D244" s="1967"/>
      <c r="E244" s="1967"/>
      <c r="F244" s="1967"/>
      <c r="G244" s="592">
        <f t="array" aca="1" ref="G244:R244" ca="1">B27:M27*Produccion!$G$15</f>
        <v>0</v>
      </c>
      <c r="H244" s="592">
        <f ca="1"/>
        <v>0</v>
      </c>
      <c r="I244" s="592">
        <f ca="1"/>
        <v>0</v>
      </c>
      <c r="J244" s="592">
        <f ca="1"/>
        <v>0</v>
      </c>
      <c r="K244" s="592">
        <f ca="1"/>
        <v>0</v>
      </c>
      <c r="L244" s="592">
        <f ca="1"/>
        <v>0</v>
      </c>
      <c r="M244" s="592">
        <f ca="1"/>
        <v>0</v>
      </c>
      <c r="N244" s="592">
        <f ca="1"/>
        <v>0</v>
      </c>
      <c r="O244" s="592">
        <f ca="1"/>
        <v>0</v>
      </c>
      <c r="P244" s="592">
        <f ca="1"/>
        <v>0</v>
      </c>
      <c r="Q244" s="592">
        <f ca="1"/>
        <v>0</v>
      </c>
      <c r="R244" s="592">
        <f ca="1"/>
        <v>0</v>
      </c>
      <c r="S244" s="1968">
        <f t="array" aca="1" ref="S244:S249" ca="1">'Distr CV 2'!G244:G249</f>
        <v>0</v>
      </c>
      <c r="T244" s="1968">
        <f ca="1"/>
        <v>0</v>
      </c>
      <c r="U244" s="1968">
        <f ca="1"/>
        <v>0</v>
      </c>
      <c r="V244" s="1968">
        <f ca="1"/>
        <v>0</v>
      </c>
      <c r="W244" s="1968">
        <f ca="1"/>
        <v>0</v>
      </c>
      <c r="X244" s="1968">
        <f ca="1"/>
        <v>0</v>
      </c>
      <c r="Y244" s="1986">
        <f ca="1"/>
        <v>0</v>
      </c>
    </row>
    <row r="245" spans="1:25">
      <c r="A245" s="1971" t="str">
        <v>8 meses antes</v>
      </c>
      <c r="B245" s="1967"/>
      <c r="C245" s="1967"/>
      <c r="D245" s="1967"/>
      <c r="E245" s="1967"/>
      <c r="F245" s="592">
        <f t="array" aca="1" ref="F245:Q245" ca="1">B27:M27*Produccion!$F$15</f>
        <v>0</v>
      </c>
      <c r="G245" s="592">
        <f ca="1"/>
        <v>0</v>
      </c>
      <c r="H245" s="592">
        <f ca="1"/>
        <v>0</v>
      </c>
      <c r="I245" s="592">
        <f ca="1"/>
        <v>0</v>
      </c>
      <c r="J245" s="592">
        <f ca="1"/>
        <v>0</v>
      </c>
      <c r="K245" s="592">
        <f ca="1"/>
        <v>0</v>
      </c>
      <c r="L245" s="592">
        <f ca="1"/>
        <v>0</v>
      </c>
      <c r="M245" s="592">
        <f ca="1"/>
        <v>0</v>
      </c>
      <c r="N245" s="592">
        <f ca="1"/>
        <v>0</v>
      </c>
      <c r="O245" s="592">
        <f ca="1"/>
        <v>0</v>
      </c>
      <c r="P245" s="592">
        <f ca="1"/>
        <v>0</v>
      </c>
      <c r="Q245" s="592">
        <f ca="1"/>
        <v>0</v>
      </c>
      <c r="R245" s="1968">
        <f t="array" aca="1" ref="R245:R249" ca="1">'Distr CV 2'!F245:F249</f>
        <v>0</v>
      </c>
      <c r="S245" s="1968">
        <f ca="1"/>
        <v>0</v>
      </c>
      <c r="T245" s="1968">
        <f ca="1"/>
        <v>0</v>
      </c>
      <c r="U245" s="1968">
        <f ca="1"/>
        <v>0</v>
      </c>
      <c r="V245" s="1968">
        <f ca="1"/>
        <v>0</v>
      </c>
      <c r="W245" s="1968">
        <f ca="1"/>
        <v>0</v>
      </c>
      <c r="X245" s="1968">
        <f ca="1"/>
        <v>0</v>
      </c>
      <c r="Y245" s="1986">
        <f ca="1"/>
        <v>0</v>
      </c>
    </row>
    <row r="246" spans="1:25">
      <c r="A246" s="1971" t="str">
        <v>9 meses antes</v>
      </c>
      <c r="B246" s="1967"/>
      <c r="C246" s="1967"/>
      <c r="D246" s="1967"/>
      <c r="E246" s="592">
        <f t="array" aca="1" ref="E246:P246" ca="1">B27:M27*Produccion!$E$15</f>
        <v>0</v>
      </c>
      <c r="F246" s="592">
        <f ca="1"/>
        <v>0</v>
      </c>
      <c r="G246" s="592">
        <f ca="1"/>
        <v>0</v>
      </c>
      <c r="H246" s="592">
        <f ca="1"/>
        <v>0</v>
      </c>
      <c r="I246" s="592">
        <f ca="1"/>
        <v>0</v>
      </c>
      <c r="J246" s="592">
        <f ca="1"/>
        <v>0</v>
      </c>
      <c r="K246" s="592">
        <f ca="1"/>
        <v>0</v>
      </c>
      <c r="L246" s="592">
        <f ca="1"/>
        <v>0</v>
      </c>
      <c r="M246" s="592">
        <f ca="1"/>
        <v>0</v>
      </c>
      <c r="N246" s="592">
        <f ca="1"/>
        <v>0</v>
      </c>
      <c r="O246" s="592">
        <f ca="1"/>
        <v>0</v>
      </c>
      <c r="P246" s="592">
        <f ca="1"/>
        <v>0</v>
      </c>
      <c r="Q246" s="1968">
        <f t="array" aca="1" ref="Q246:Q249" ca="1">'Distr CV 2'!E246:E249</f>
        <v>0</v>
      </c>
      <c r="R246" s="1968">
        <f ca="1"/>
        <v>0</v>
      </c>
      <c r="S246" s="1968">
        <f ca="1"/>
        <v>0</v>
      </c>
      <c r="T246" s="1968">
        <f ca="1"/>
        <v>0</v>
      </c>
      <c r="U246" s="1968">
        <f ca="1"/>
        <v>0</v>
      </c>
      <c r="V246" s="1968">
        <f ca="1"/>
        <v>0</v>
      </c>
      <c r="W246" s="1968">
        <f ca="1"/>
        <v>0</v>
      </c>
      <c r="X246" s="1968">
        <f ca="1"/>
        <v>0</v>
      </c>
      <c r="Y246" s="1986">
        <f ca="1"/>
        <v>0</v>
      </c>
    </row>
    <row r="247" spans="1:25">
      <c r="A247" s="1971" t="str">
        <v>10 meses antes</v>
      </c>
      <c r="B247" s="1967"/>
      <c r="C247" s="1967"/>
      <c r="D247" s="592">
        <f t="array" aca="1" ref="D247:O247" ca="1">B27:M27*Produccion!$D$15</f>
        <v>0</v>
      </c>
      <c r="E247" s="592">
        <f ca="1"/>
        <v>0</v>
      </c>
      <c r="F247" s="592">
        <f ca="1"/>
        <v>0</v>
      </c>
      <c r="G247" s="592">
        <f ca="1"/>
        <v>0</v>
      </c>
      <c r="H247" s="592">
        <f ca="1"/>
        <v>0</v>
      </c>
      <c r="I247" s="592">
        <f ca="1"/>
        <v>0</v>
      </c>
      <c r="J247" s="592">
        <f ca="1"/>
        <v>0</v>
      </c>
      <c r="K247" s="592">
        <f ca="1"/>
        <v>0</v>
      </c>
      <c r="L247" s="592">
        <f ca="1"/>
        <v>0</v>
      </c>
      <c r="M247" s="592">
        <f ca="1"/>
        <v>0</v>
      </c>
      <c r="N247" s="592">
        <f ca="1"/>
        <v>0</v>
      </c>
      <c r="O247" s="592">
        <f ca="1"/>
        <v>0</v>
      </c>
      <c r="P247" s="1968">
        <f t="array" aca="1" ref="P247:P249" ca="1">'Distr CV 2'!D247:D249</f>
        <v>0</v>
      </c>
      <c r="Q247" s="1968">
        <f ca="1"/>
        <v>0</v>
      </c>
      <c r="R247" s="1968">
        <f ca="1"/>
        <v>0</v>
      </c>
      <c r="S247" s="1968">
        <f ca="1"/>
        <v>0</v>
      </c>
      <c r="T247" s="1968">
        <f ca="1"/>
        <v>0</v>
      </c>
      <c r="U247" s="1968">
        <f ca="1"/>
        <v>0</v>
      </c>
      <c r="V247" s="1968">
        <f ca="1"/>
        <v>0</v>
      </c>
      <c r="W247" s="1968">
        <f ca="1"/>
        <v>0</v>
      </c>
      <c r="X247" s="1968">
        <f ca="1"/>
        <v>0</v>
      </c>
      <c r="Y247" s="1986">
        <f ca="1"/>
        <v>0</v>
      </c>
    </row>
    <row r="248" spans="1:25">
      <c r="A248" s="1971" t="str">
        <v>11 meses antes</v>
      </c>
      <c r="B248" s="1967"/>
      <c r="C248" s="592">
        <f t="array" aca="1" ref="C248:N248" ca="1">B27:M27*Produccion!$C$15</f>
        <v>0</v>
      </c>
      <c r="D248" s="592">
        <f ca="1"/>
        <v>0</v>
      </c>
      <c r="E248" s="592">
        <f ca="1"/>
        <v>0</v>
      </c>
      <c r="F248" s="592">
        <f ca="1"/>
        <v>0</v>
      </c>
      <c r="G248" s="592">
        <f ca="1"/>
        <v>0</v>
      </c>
      <c r="H248" s="592">
        <f ca="1"/>
        <v>0</v>
      </c>
      <c r="I248" s="592">
        <f ca="1"/>
        <v>0</v>
      </c>
      <c r="J248" s="592">
        <f ca="1"/>
        <v>0</v>
      </c>
      <c r="K248" s="592">
        <f ca="1"/>
        <v>0</v>
      </c>
      <c r="L248" s="592">
        <f ca="1"/>
        <v>0</v>
      </c>
      <c r="M248" s="592">
        <f ca="1"/>
        <v>0</v>
      </c>
      <c r="N248" s="592">
        <f ca="1"/>
        <v>0</v>
      </c>
      <c r="O248" s="1968">
        <f ca="1">'Distr CV 2'!C248</f>
        <v>0</v>
      </c>
      <c r="P248" s="1968">
        <f ca="1"/>
        <v>0</v>
      </c>
      <c r="Q248" s="1968">
        <f ca="1"/>
        <v>0</v>
      </c>
      <c r="R248" s="1968">
        <f ca="1"/>
        <v>0</v>
      </c>
      <c r="S248" s="1968">
        <f ca="1"/>
        <v>0</v>
      </c>
      <c r="T248" s="1968">
        <f ca="1"/>
        <v>0</v>
      </c>
      <c r="U248" s="1968">
        <f ca="1"/>
        <v>0</v>
      </c>
      <c r="V248" s="1968">
        <f ca="1"/>
        <v>0</v>
      </c>
      <c r="W248" s="1968">
        <f ca="1"/>
        <v>0</v>
      </c>
      <c r="X248" s="1968">
        <f ca="1"/>
        <v>0</v>
      </c>
      <c r="Y248" s="1986">
        <f ca="1"/>
        <v>0</v>
      </c>
    </row>
    <row r="249" spans="1:25" ht="13.5" thickBot="1">
      <c r="A249" s="1971" t="str">
        <v>12 meses antes</v>
      </c>
      <c r="B249" s="592">
        <f t="array" aca="1" ref="B249:M249" ca="1">B27:M27*Produccion!$B$15</f>
        <v>0</v>
      </c>
      <c r="C249" s="592">
        <f ca="1"/>
        <v>0</v>
      </c>
      <c r="D249" s="592">
        <f ca="1"/>
        <v>0</v>
      </c>
      <c r="E249" s="592">
        <f ca="1"/>
        <v>0</v>
      </c>
      <c r="F249" s="592">
        <f ca="1"/>
        <v>0</v>
      </c>
      <c r="G249" s="592">
        <f ca="1"/>
        <v>0</v>
      </c>
      <c r="H249" s="592">
        <f ca="1"/>
        <v>0</v>
      </c>
      <c r="I249" s="592">
        <f ca="1"/>
        <v>0</v>
      </c>
      <c r="J249" s="592">
        <f ca="1"/>
        <v>0</v>
      </c>
      <c r="K249" s="592">
        <f ca="1"/>
        <v>0</v>
      </c>
      <c r="L249" s="592">
        <f ca="1"/>
        <v>0</v>
      </c>
      <c r="M249" s="592">
        <f ca="1"/>
        <v>0</v>
      </c>
      <c r="N249" s="1967">
        <f ca="1">'Distr CV 2'!B249</f>
        <v>0</v>
      </c>
      <c r="O249" s="1968">
        <f ca="1">'Distr CV 2'!C249</f>
        <v>0</v>
      </c>
      <c r="P249" s="1968">
        <f ca="1"/>
        <v>0</v>
      </c>
      <c r="Q249" s="1968">
        <f ca="1"/>
        <v>0</v>
      </c>
      <c r="R249" s="1968">
        <f ca="1"/>
        <v>0</v>
      </c>
      <c r="S249" s="1968">
        <f ca="1"/>
        <v>0</v>
      </c>
      <c r="T249" s="1968">
        <f ca="1"/>
        <v>0</v>
      </c>
      <c r="U249" s="1968">
        <f ca="1"/>
        <v>0</v>
      </c>
      <c r="V249" s="1968">
        <f ca="1"/>
        <v>0</v>
      </c>
      <c r="W249" s="1968">
        <f ca="1"/>
        <v>0</v>
      </c>
      <c r="X249" s="1968">
        <f ca="1"/>
        <v>0</v>
      </c>
      <c r="Y249" s="1986">
        <f ca="1"/>
        <v>0</v>
      </c>
    </row>
    <row r="250" spans="1:25" ht="13.5" thickBot="1">
      <c r="A250" s="103" t="str">
        <f>"Totales CV "&amp;A$15</f>
        <v xml:space="preserve">Totales CV </v>
      </c>
      <c r="B250" s="596">
        <f t="shared" ref="B250:Y250" ca="1" si="17">SUM(B237:B249)</f>
        <v>0</v>
      </c>
      <c r="C250" s="596">
        <f t="shared" ca="1" si="17"/>
        <v>0</v>
      </c>
      <c r="D250" s="596">
        <f t="shared" ca="1" si="17"/>
        <v>0</v>
      </c>
      <c r="E250" s="596">
        <f t="shared" ca="1" si="17"/>
        <v>0</v>
      </c>
      <c r="F250" s="596">
        <f t="shared" ca="1" si="17"/>
        <v>0</v>
      </c>
      <c r="G250" s="596">
        <f t="shared" ca="1" si="17"/>
        <v>0</v>
      </c>
      <c r="H250" s="596">
        <f t="shared" ca="1" si="17"/>
        <v>0</v>
      </c>
      <c r="I250" s="596">
        <f t="shared" ca="1" si="17"/>
        <v>0</v>
      </c>
      <c r="J250" s="596">
        <f t="shared" ca="1" si="17"/>
        <v>0</v>
      </c>
      <c r="K250" s="596">
        <f t="shared" ca="1" si="17"/>
        <v>0</v>
      </c>
      <c r="L250" s="596">
        <f t="shared" ca="1" si="17"/>
        <v>0</v>
      </c>
      <c r="M250" s="596">
        <f t="shared" ca="1" si="17"/>
        <v>0</v>
      </c>
      <c r="N250" s="596">
        <f t="shared" ca="1" si="17"/>
        <v>0</v>
      </c>
      <c r="O250" s="596">
        <f t="shared" ca="1" si="17"/>
        <v>0</v>
      </c>
      <c r="P250" s="596">
        <f t="shared" ca="1" si="17"/>
        <v>0</v>
      </c>
      <c r="Q250" s="596">
        <f t="shared" ca="1" si="17"/>
        <v>0</v>
      </c>
      <c r="R250" s="596">
        <f t="shared" ca="1" si="17"/>
        <v>0</v>
      </c>
      <c r="S250" s="596">
        <f t="shared" ca="1" si="17"/>
        <v>0</v>
      </c>
      <c r="T250" s="596">
        <f t="shared" ca="1" si="17"/>
        <v>0</v>
      </c>
      <c r="U250" s="596">
        <f t="shared" ca="1" si="17"/>
        <v>0</v>
      </c>
      <c r="V250" s="596">
        <f t="shared" ca="1" si="17"/>
        <v>0</v>
      </c>
      <c r="W250" s="596">
        <f t="shared" ca="1" si="17"/>
        <v>0</v>
      </c>
      <c r="X250" s="596">
        <f t="shared" ca="1" si="17"/>
        <v>0</v>
      </c>
      <c r="Y250" s="1984">
        <f t="shared" ca="1" si="17"/>
        <v>0</v>
      </c>
    </row>
    <row r="251" spans="1:25" ht="13.5" thickBot="1">
      <c r="A251" s="103" t="str">
        <f>'Datos Básicos'!A28&amp;" sop. CV "&amp;$A$15</f>
        <v xml:space="preserve">IVA sop. CV </v>
      </c>
      <c r="B251" s="596">
        <f t="array" aca="1" ref="B251:Y251" ca="1">$K$235*B250:Y250</f>
        <v>0</v>
      </c>
      <c r="C251" s="596">
        <f ca="1"/>
        <v>0</v>
      </c>
      <c r="D251" s="596">
        <f ca="1"/>
        <v>0</v>
      </c>
      <c r="E251" s="596">
        <f ca="1"/>
        <v>0</v>
      </c>
      <c r="F251" s="596">
        <f ca="1"/>
        <v>0</v>
      </c>
      <c r="G251" s="596">
        <f ca="1"/>
        <v>0</v>
      </c>
      <c r="H251" s="596">
        <f ca="1"/>
        <v>0</v>
      </c>
      <c r="I251" s="596">
        <f ca="1"/>
        <v>0</v>
      </c>
      <c r="J251" s="596">
        <f ca="1"/>
        <v>0</v>
      </c>
      <c r="K251" s="596">
        <f ca="1"/>
        <v>0</v>
      </c>
      <c r="L251" s="596">
        <f ca="1"/>
        <v>0</v>
      </c>
      <c r="M251" s="596">
        <f ca="1"/>
        <v>0</v>
      </c>
      <c r="N251" s="596">
        <f ca="1"/>
        <v>0</v>
      </c>
      <c r="O251" s="596">
        <f ca="1"/>
        <v>0</v>
      </c>
      <c r="P251" s="596">
        <f ca="1"/>
        <v>0</v>
      </c>
      <c r="Q251" s="596">
        <f ca="1"/>
        <v>0</v>
      </c>
      <c r="R251" s="596">
        <f ca="1"/>
        <v>0</v>
      </c>
      <c r="S251" s="596">
        <f ca="1"/>
        <v>0</v>
      </c>
      <c r="T251" s="596">
        <f ca="1"/>
        <v>0</v>
      </c>
      <c r="U251" s="596">
        <f ca="1"/>
        <v>0</v>
      </c>
      <c r="V251" s="596">
        <f ca="1"/>
        <v>0</v>
      </c>
      <c r="W251" s="596">
        <f ca="1"/>
        <v>0</v>
      </c>
      <c r="X251" s="596">
        <f ca="1"/>
        <v>0</v>
      </c>
      <c r="Y251" s="1984">
        <f ca="1"/>
        <v>0</v>
      </c>
    </row>
  </sheetData>
  <sheetProtection sheet="1" objects="1" scenarios="1"/>
  <phoneticPr fontId="6" type="noConversion"/>
  <printOptions horizontalCentered="1" verticalCentered="1"/>
  <pageMargins left="0.38" right="0.19685039370078741" top="0.53" bottom="0.71" header="0.51181102362204722" footer="0.39370078740157483"/>
  <pageSetup paperSize="9" scale="26" fitToHeight="2" orientation="landscape" horizontalDpi="300" verticalDpi="300" r:id="rId1"/>
  <headerFooter alignWithMargins="0">
    <oddFooter>&amp;C&amp;"Tahoma,Normal"&amp;10&amp;A</oddFooter>
  </headerFooter>
  <rowBreaks count="1" manualBreakCount="1">
    <brk id="73"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64">
    <tabColor indexed="10"/>
    <pageSetUpPr fitToPage="1"/>
  </sheetPr>
  <dimension ref="A1:Z251"/>
  <sheetViews>
    <sheetView workbookViewId="0"/>
  </sheetViews>
  <sheetFormatPr baseColWidth="10" defaultColWidth="11" defaultRowHeight="12.75"/>
  <cols>
    <col min="1" max="1" width="24" style="232" customWidth="1"/>
    <col min="2" max="2" width="11.375" style="60" customWidth="1"/>
    <col min="3" max="4" width="11.375" style="61" customWidth="1"/>
    <col min="5" max="5" width="10.375" style="61" customWidth="1"/>
    <col min="6" max="14" width="11.375" style="61" customWidth="1"/>
    <col min="15" max="15" width="11.5" style="232" customWidth="1"/>
    <col min="16" max="16384" width="11" style="61"/>
  </cols>
  <sheetData>
    <row r="1" spans="1:15" ht="22.5">
      <c r="A1" s="67" t="s">
        <v>876</v>
      </c>
      <c r="K1" s="2681" t="str">
        <f>Parametros!D$77</f>
        <v>Año 2:  2028</v>
      </c>
      <c r="L1" s="421"/>
    </row>
    <row r="2" spans="1:15" ht="22.5">
      <c r="A2" s="67" t="str">
        <f>'Datos Básicos'!B9</f>
        <v>nombre empresa</v>
      </c>
    </row>
    <row r="3" spans="1:15" ht="14.25" customHeight="1">
      <c r="A3" s="59"/>
    </row>
    <row r="4" spans="1:15" ht="14.25" customHeight="1">
      <c r="A4" s="59"/>
    </row>
    <row r="5" spans="1:15" ht="14.25" customHeight="1">
      <c r="A5" s="59"/>
    </row>
    <row r="6" spans="1:15" ht="24" customHeight="1" thickBot="1">
      <c r="A6" s="422" t="str">
        <f>'Distr CV 0'!A6</f>
        <v>Previsión de unidades vendidas</v>
      </c>
    </row>
    <row r="7" spans="1:15" s="447" customFormat="1" ht="15.75" customHeight="1" thickBot="1">
      <c r="A7" s="446" t="str">
        <f>'Distr CV 0'!A7</f>
        <v>Ventas (Unidades)</v>
      </c>
      <c r="B7" s="444" t="str">
        <f t="array" ref="B7:M7">meses</f>
        <v>enero</v>
      </c>
      <c r="C7" s="440" t="str">
        <v>febrero</v>
      </c>
      <c r="D7" s="440" t="str">
        <v>marzo</v>
      </c>
      <c r="E7" s="440" t="str">
        <v>abril</v>
      </c>
      <c r="F7" s="440" t="str">
        <v>mayo</v>
      </c>
      <c r="G7" s="440" t="str">
        <v>junio</v>
      </c>
      <c r="H7" s="440" t="str">
        <v>julio</v>
      </c>
      <c r="I7" s="440" t="str">
        <v>agosto</v>
      </c>
      <c r="J7" s="440" t="str">
        <v>septiembre</v>
      </c>
      <c r="K7" s="440" t="str">
        <v>octubre</v>
      </c>
      <c r="L7" s="440" t="str">
        <v>noviembre</v>
      </c>
      <c r="M7" s="441" t="str">
        <v>diciembre</v>
      </c>
      <c r="N7" s="438" t="s">
        <v>15</v>
      </c>
    </row>
    <row r="8" spans="1:15" ht="15.75" customHeight="1">
      <c r="A8" s="1972" t="str">
        <f t="array" ref="A8:A15">productos</f>
        <v>producto o servicio</v>
      </c>
      <c r="B8" s="578">
        <f t="array" aca="1" ref="B8:M15" ca="1">'Prev.Ventas 2'!B5:M12</f>
        <v>824</v>
      </c>
      <c r="C8" s="579">
        <f ca="1"/>
        <v>1030</v>
      </c>
      <c r="D8" s="579">
        <f ca="1"/>
        <v>1133</v>
      </c>
      <c r="E8" s="579">
        <f ca="1"/>
        <v>1081.5</v>
      </c>
      <c r="F8" s="579">
        <f ca="1"/>
        <v>927</v>
      </c>
      <c r="G8" s="579">
        <f ca="1"/>
        <v>875.5</v>
      </c>
      <c r="H8" s="579">
        <f ca="1"/>
        <v>824</v>
      </c>
      <c r="I8" s="579">
        <f ca="1"/>
        <v>618</v>
      </c>
      <c r="J8" s="579">
        <f ca="1"/>
        <v>824</v>
      </c>
      <c r="K8" s="579">
        <f ca="1"/>
        <v>978.5</v>
      </c>
      <c r="L8" s="579">
        <f ca="1"/>
        <v>1030</v>
      </c>
      <c r="M8" s="601">
        <f ca="1"/>
        <v>1236</v>
      </c>
      <c r="N8" s="580">
        <f t="shared" ref="N8:N15" ca="1" si="0">SUM(B8:M8)</f>
        <v>11381.5</v>
      </c>
      <c r="O8" s="61"/>
    </row>
    <row r="9" spans="1:15" ht="15.75" customHeight="1">
      <c r="A9" s="1973" t="str">
        <v/>
      </c>
      <c r="B9" s="581">
        <f ca="1"/>
        <v>0</v>
      </c>
      <c r="C9" s="582">
        <f ca="1"/>
        <v>0</v>
      </c>
      <c r="D9" s="582">
        <f ca="1"/>
        <v>0</v>
      </c>
      <c r="E9" s="582">
        <f ca="1"/>
        <v>0</v>
      </c>
      <c r="F9" s="582">
        <f ca="1"/>
        <v>0</v>
      </c>
      <c r="G9" s="582">
        <f ca="1"/>
        <v>0</v>
      </c>
      <c r="H9" s="582">
        <f ca="1"/>
        <v>0</v>
      </c>
      <c r="I9" s="582">
        <f ca="1"/>
        <v>0</v>
      </c>
      <c r="J9" s="582">
        <f ca="1"/>
        <v>0</v>
      </c>
      <c r="K9" s="582">
        <f ca="1"/>
        <v>0</v>
      </c>
      <c r="L9" s="582">
        <f ca="1"/>
        <v>0</v>
      </c>
      <c r="M9" s="602">
        <f ca="1"/>
        <v>0</v>
      </c>
      <c r="N9" s="583">
        <f t="shared" ca="1" si="0"/>
        <v>0</v>
      </c>
      <c r="O9" s="61"/>
    </row>
    <row r="10" spans="1:15" ht="15.75" customHeight="1">
      <c r="A10" s="1973" t="str">
        <v/>
      </c>
      <c r="B10" s="581">
        <f ca="1"/>
        <v>0</v>
      </c>
      <c r="C10" s="582">
        <f ca="1"/>
        <v>0</v>
      </c>
      <c r="D10" s="582">
        <f ca="1"/>
        <v>0</v>
      </c>
      <c r="E10" s="582">
        <f ca="1"/>
        <v>0</v>
      </c>
      <c r="F10" s="582">
        <f ca="1"/>
        <v>0</v>
      </c>
      <c r="G10" s="582">
        <f ca="1"/>
        <v>0</v>
      </c>
      <c r="H10" s="582">
        <f ca="1"/>
        <v>0</v>
      </c>
      <c r="I10" s="582">
        <f ca="1"/>
        <v>0</v>
      </c>
      <c r="J10" s="582">
        <f ca="1"/>
        <v>0</v>
      </c>
      <c r="K10" s="582">
        <f ca="1"/>
        <v>0</v>
      </c>
      <c r="L10" s="582">
        <f ca="1"/>
        <v>0</v>
      </c>
      <c r="M10" s="602">
        <f ca="1"/>
        <v>0</v>
      </c>
      <c r="N10" s="583">
        <f t="shared" ca="1" si="0"/>
        <v>0</v>
      </c>
      <c r="O10" s="61"/>
    </row>
    <row r="11" spans="1:15" ht="15.75" customHeight="1">
      <c r="A11" s="1973" t="str">
        <v/>
      </c>
      <c r="B11" s="581">
        <f ca="1"/>
        <v>0</v>
      </c>
      <c r="C11" s="582">
        <f ca="1"/>
        <v>0</v>
      </c>
      <c r="D11" s="582">
        <f ca="1"/>
        <v>0</v>
      </c>
      <c r="E11" s="582">
        <f ca="1"/>
        <v>0</v>
      </c>
      <c r="F11" s="582">
        <f ca="1"/>
        <v>0</v>
      </c>
      <c r="G11" s="582">
        <f ca="1"/>
        <v>0</v>
      </c>
      <c r="H11" s="582">
        <f ca="1"/>
        <v>0</v>
      </c>
      <c r="I11" s="582">
        <f ca="1"/>
        <v>0</v>
      </c>
      <c r="J11" s="582">
        <f ca="1"/>
        <v>0</v>
      </c>
      <c r="K11" s="582">
        <f ca="1"/>
        <v>0</v>
      </c>
      <c r="L11" s="582">
        <f ca="1"/>
        <v>0</v>
      </c>
      <c r="M11" s="602">
        <f ca="1"/>
        <v>0</v>
      </c>
      <c r="N11" s="583">
        <f t="shared" ca="1" si="0"/>
        <v>0</v>
      </c>
      <c r="O11" s="61"/>
    </row>
    <row r="12" spans="1:15" ht="15.75" customHeight="1">
      <c r="A12" s="1973" t="str">
        <v/>
      </c>
      <c r="B12" s="581">
        <f ca="1"/>
        <v>0</v>
      </c>
      <c r="C12" s="582">
        <f ca="1"/>
        <v>0</v>
      </c>
      <c r="D12" s="582">
        <f ca="1"/>
        <v>0</v>
      </c>
      <c r="E12" s="582">
        <f ca="1"/>
        <v>0</v>
      </c>
      <c r="F12" s="582">
        <f ca="1"/>
        <v>0</v>
      </c>
      <c r="G12" s="582">
        <f ca="1"/>
        <v>0</v>
      </c>
      <c r="H12" s="582">
        <f ca="1"/>
        <v>0</v>
      </c>
      <c r="I12" s="582">
        <f ca="1"/>
        <v>0</v>
      </c>
      <c r="J12" s="582">
        <f ca="1"/>
        <v>0</v>
      </c>
      <c r="K12" s="582">
        <f ca="1"/>
        <v>0</v>
      </c>
      <c r="L12" s="582">
        <f ca="1"/>
        <v>0</v>
      </c>
      <c r="M12" s="602">
        <f ca="1"/>
        <v>0</v>
      </c>
      <c r="N12" s="583">
        <f t="shared" ca="1" si="0"/>
        <v>0</v>
      </c>
      <c r="O12" s="61"/>
    </row>
    <row r="13" spans="1:15" ht="15.75" customHeight="1">
      <c r="A13" s="1973" t="str">
        <v/>
      </c>
      <c r="B13" s="581">
        <f ca="1"/>
        <v>0</v>
      </c>
      <c r="C13" s="582">
        <f ca="1"/>
        <v>0</v>
      </c>
      <c r="D13" s="582">
        <f ca="1"/>
        <v>0</v>
      </c>
      <c r="E13" s="582">
        <f ca="1"/>
        <v>0</v>
      </c>
      <c r="F13" s="582">
        <f ca="1"/>
        <v>0</v>
      </c>
      <c r="G13" s="582">
        <f ca="1"/>
        <v>0</v>
      </c>
      <c r="H13" s="582">
        <f ca="1"/>
        <v>0</v>
      </c>
      <c r="I13" s="582">
        <f ca="1"/>
        <v>0</v>
      </c>
      <c r="J13" s="582">
        <f ca="1"/>
        <v>0</v>
      </c>
      <c r="K13" s="582">
        <f ca="1"/>
        <v>0</v>
      </c>
      <c r="L13" s="582">
        <f ca="1"/>
        <v>0</v>
      </c>
      <c r="M13" s="602">
        <f ca="1"/>
        <v>0</v>
      </c>
      <c r="N13" s="583">
        <f t="shared" ca="1" si="0"/>
        <v>0</v>
      </c>
      <c r="O13" s="61"/>
    </row>
    <row r="14" spans="1:15" ht="15.75" customHeight="1">
      <c r="A14" s="1973" t="str">
        <v/>
      </c>
      <c r="B14" s="581">
        <f ca="1"/>
        <v>0</v>
      </c>
      <c r="C14" s="582">
        <f ca="1"/>
        <v>0</v>
      </c>
      <c r="D14" s="582">
        <f ca="1"/>
        <v>0</v>
      </c>
      <c r="E14" s="582">
        <f ca="1"/>
        <v>0</v>
      </c>
      <c r="F14" s="582">
        <f ca="1"/>
        <v>0</v>
      </c>
      <c r="G14" s="582">
        <f ca="1"/>
        <v>0</v>
      </c>
      <c r="H14" s="582">
        <f ca="1"/>
        <v>0</v>
      </c>
      <c r="I14" s="582">
        <f ca="1"/>
        <v>0</v>
      </c>
      <c r="J14" s="582">
        <f ca="1"/>
        <v>0</v>
      </c>
      <c r="K14" s="582">
        <f ca="1"/>
        <v>0</v>
      </c>
      <c r="L14" s="582">
        <f ca="1"/>
        <v>0</v>
      </c>
      <c r="M14" s="602">
        <f ca="1"/>
        <v>0</v>
      </c>
      <c r="N14" s="583">
        <f t="shared" ca="1" si="0"/>
        <v>0</v>
      </c>
      <c r="O14" s="61"/>
    </row>
    <row r="15" spans="1:15" ht="15.75" customHeight="1" thickBot="1">
      <c r="A15" s="1974" t="str">
        <v/>
      </c>
      <c r="B15" s="584">
        <f ca="1"/>
        <v>0</v>
      </c>
      <c r="C15" s="585">
        <f ca="1"/>
        <v>0</v>
      </c>
      <c r="D15" s="585">
        <f ca="1"/>
        <v>0</v>
      </c>
      <c r="E15" s="585">
        <f ca="1"/>
        <v>0</v>
      </c>
      <c r="F15" s="585">
        <f ca="1"/>
        <v>0</v>
      </c>
      <c r="G15" s="585">
        <f ca="1"/>
        <v>0</v>
      </c>
      <c r="H15" s="585">
        <f ca="1"/>
        <v>0</v>
      </c>
      <c r="I15" s="585">
        <f ca="1"/>
        <v>0</v>
      </c>
      <c r="J15" s="585">
        <f ca="1"/>
        <v>0</v>
      </c>
      <c r="K15" s="585">
        <f ca="1"/>
        <v>0</v>
      </c>
      <c r="L15" s="585">
        <f ca="1"/>
        <v>0</v>
      </c>
      <c r="M15" s="603">
        <f ca="1"/>
        <v>0</v>
      </c>
      <c r="N15" s="586">
        <f t="shared" ca="1" si="0"/>
        <v>0</v>
      </c>
      <c r="O15" s="61"/>
    </row>
    <row r="16" spans="1:15" ht="15">
      <c r="A16" s="72"/>
    </row>
    <row r="17" spans="1:15" ht="15">
      <c r="A17" s="213"/>
    </row>
    <row r="18" spans="1:15" ht="18.75" thickBot="1">
      <c r="A18" s="1969" t="str">
        <f>'Distr CV 0'!A18</f>
        <v>Previsión de costes de producción de las unidades vendidas</v>
      </c>
      <c r="G18" s="2710" t="str">
        <f>$K$1</f>
        <v>Año 2:  2028</v>
      </c>
      <c r="I18" s="1969" t="str">
        <f>'Distr CV 0'!I18</f>
        <v>IVA NO incluido</v>
      </c>
    </row>
    <row r="19" spans="1:15" s="445" customFormat="1" ht="15.75" customHeight="1" thickBot="1">
      <c r="A19" s="446" t="str">
        <f>'Distr CV 0'!A19</f>
        <v>Costes producción</v>
      </c>
      <c r="B19" s="444" t="str">
        <f t="array" ref="B19:M19">meses</f>
        <v>enero</v>
      </c>
      <c r="C19" s="440" t="str">
        <v>febrero</v>
      </c>
      <c r="D19" s="440" t="str">
        <v>marzo</v>
      </c>
      <c r="E19" s="440" t="str">
        <v>abril</v>
      </c>
      <c r="F19" s="440" t="str">
        <v>mayo</v>
      </c>
      <c r="G19" s="440" t="str">
        <v>junio</v>
      </c>
      <c r="H19" s="440" t="str">
        <v>julio</v>
      </c>
      <c r="I19" s="440" t="str">
        <v>agosto</v>
      </c>
      <c r="J19" s="440" t="str">
        <v>septiembre</v>
      </c>
      <c r="K19" s="440" t="str">
        <v>octubre</v>
      </c>
      <c r="L19" s="440" t="str">
        <v>noviembre</v>
      </c>
      <c r="M19" s="441" t="str">
        <v>diciembre</v>
      </c>
      <c r="N19" s="438" t="str">
        <f>N$7</f>
        <v>Totales</v>
      </c>
    </row>
    <row r="20" spans="1:15" ht="15.75" customHeight="1">
      <c r="A20" s="1972" t="str">
        <f t="array" ref="A20:A27">productos</f>
        <v>producto o servicio</v>
      </c>
      <c r="B20" s="587">
        <f t="array" aca="1" ref="B20:M27" ca="1">B8:M15*'Precios-CV'!$F19:$F26</f>
        <v>288.40000000000003</v>
      </c>
      <c r="C20" s="588">
        <f ca="1"/>
        <v>360.50000000000006</v>
      </c>
      <c r="D20" s="588">
        <f ca="1"/>
        <v>396.55</v>
      </c>
      <c r="E20" s="588">
        <f ca="1"/>
        <v>378.52500000000003</v>
      </c>
      <c r="F20" s="588">
        <f ca="1"/>
        <v>324.45000000000005</v>
      </c>
      <c r="G20" s="588">
        <f ca="1"/>
        <v>306.42500000000001</v>
      </c>
      <c r="H20" s="588">
        <f ca="1"/>
        <v>288.40000000000003</v>
      </c>
      <c r="I20" s="588">
        <f ca="1"/>
        <v>216.3</v>
      </c>
      <c r="J20" s="588">
        <f ca="1"/>
        <v>288.40000000000003</v>
      </c>
      <c r="K20" s="588">
        <f ca="1"/>
        <v>342.47500000000002</v>
      </c>
      <c r="L20" s="588">
        <f ca="1"/>
        <v>360.50000000000006</v>
      </c>
      <c r="M20" s="598">
        <f ca="1"/>
        <v>432.6</v>
      </c>
      <c r="N20" s="580">
        <f t="shared" ref="N20:N39" ca="1" si="1">SUM(B20:M20)</f>
        <v>3983.5250000000005</v>
      </c>
      <c r="O20" s="61"/>
    </row>
    <row r="21" spans="1:15" ht="15.75" customHeight="1">
      <c r="A21" s="1973" t="str">
        <v/>
      </c>
      <c r="B21" s="589">
        <f ca="1"/>
        <v>0</v>
      </c>
      <c r="C21" s="590">
        <f ca="1"/>
        <v>0</v>
      </c>
      <c r="D21" s="590">
        <f ca="1"/>
        <v>0</v>
      </c>
      <c r="E21" s="590">
        <f ca="1"/>
        <v>0</v>
      </c>
      <c r="F21" s="590">
        <f ca="1"/>
        <v>0</v>
      </c>
      <c r="G21" s="590">
        <f ca="1"/>
        <v>0</v>
      </c>
      <c r="H21" s="590">
        <f ca="1"/>
        <v>0</v>
      </c>
      <c r="I21" s="590">
        <f ca="1"/>
        <v>0</v>
      </c>
      <c r="J21" s="590">
        <f ca="1"/>
        <v>0</v>
      </c>
      <c r="K21" s="590">
        <f ca="1"/>
        <v>0</v>
      </c>
      <c r="L21" s="590">
        <f ca="1"/>
        <v>0</v>
      </c>
      <c r="M21" s="599">
        <f ca="1"/>
        <v>0</v>
      </c>
      <c r="N21" s="583">
        <f t="shared" ca="1" si="1"/>
        <v>0</v>
      </c>
      <c r="O21" s="61"/>
    </row>
    <row r="22" spans="1:15" ht="15.75" customHeight="1">
      <c r="A22" s="1973" t="str">
        <v/>
      </c>
      <c r="B22" s="589">
        <f ca="1"/>
        <v>0</v>
      </c>
      <c r="C22" s="590">
        <f ca="1"/>
        <v>0</v>
      </c>
      <c r="D22" s="590">
        <f ca="1"/>
        <v>0</v>
      </c>
      <c r="E22" s="590">
        <f ca="1"/>
        <v>0</v>
      </c>
      <c r="F22" s="590">
        <f ca="1"/>
        <v>0</v>
      </c>
      <c r="G22" s="590">
        <f ca="1"/>
        <v>0</v>
      </c>
      <c r="H22" s="590">
        <f ca="1"/>
        <v>0</v>
      </c>
      <c r="I22" s="590">
        <f ca="1"/>
        <v>0</v>
      </c>
      <c r="J22" s="590">
        <f ca="1"/>
        <v>0</v>
      </c>
      <c r="K22" s="590">
        <f ca="1"/>
        <v>0</v>
      </c>
      <c r="L22" s="590">
        <f ca="1"/>
        <v>0</v>
      </c>
      <c r="M22" s="599">
        <f ca="1"/>
        <v>0</v>
      </c>
      <c r="N22" s="583">
        <f t="shared" ca="1" si="1"/>
        <v>0</v>
      </c>
      <c r="O22" s="61"/>
    </row>
    <row r="23" spans="1:15" ht="15.75" customHeight="1">
      <c r="A23" s="1973" t="str">
        <v/>
      </c>
      <c r="B23" s="589">
        <f ca="1"/>
        <v>0</v>
      </c>
      <c r="C23" s="590">
        <f ca="1"/>
        <v>0</v>
      </c>
      <c r="D23" s="590">
        <f ca="1"/>
        <v>0</v>
      </c>
      <c r="E23" s="590">
        <f ca="1"/>
        <v>0</v>
      </c>
      <c r="F23" s="590">
        <f ca="1"/>
        <v>0</v>
      </c>
      <c r="G23" s="590">
        <f ca="1"/>
        <v>0</v>
      </c>
      <c r="H23" s="590">
        <f ca="1"/>
        <v>0</v>
      </c>
      <c r="I23" s="590">
        <f ca="1"/>
        <v>0</v>
      </c>
      <c r="J23" s="590">
        <f ca="1"/>
        <v>0</v>
      </c>
      <c r="K23" s="590">
        <f ca="1"/>
        <v>0</v>
      </c>
      <c r="L23" s="590">
        <f ca="1"/>
        <v>0</v>
      </c>
      <c r="M23" s="599">
        <f ca="1"/>
        <v>0</v>
      </c>
      <c r="N23" s="583">
        <f t="shared" ca="1" si="1"/>
        <v>0</v>
      </c>
      <c r="O23" s="61"/>
    </row>
    <row r="24" spans="1:15" ht="15.75" customHeight="1">
      <c r="A24" s="1973" t="str">
        <v/>
      </c>
      <c r="B24" s="589">
        <f ca="1"/>
        <v>0</v>
      </c>
      <c r="C24" s="590">
        <f ca="1"/>
        <v>0</v>
      </c>
      <c r="D24" s="590">
        <f ca="1"/>
        <v>0</v>
      </c>
      <c r="E24" s="590">
        <f ca="1"/>
        <v>0</v>
      </c>
      <c r="F24" s="590">
        <f ca="1"/>
        <v>0</v>
      </c>
      <c r="G24" s="590">
        <f ca="1"/>
        <v>0</v>
      </c>
      <c r="H24" s="590">
        <f ca="1"/>
        <v>0</v>
      </c>
      <c r="I24" s="590">
        <f ca="1"/>
        <v>0</v>
      </c>
      <c r="J24" s="590">
        <f ca="1"/>
        <v>0</v>
      </c>
      <c r="K24" s="590">
        <f ca="1"/>
        <v>0</v>
      </c>
      <c r="L24" s="590">
        <f ca="1"/>
        <v>0</v>
      </c>
      <c r="M24" s="599">
        <f ca="1"/>
        <v>0</v>
      </c>
      <c r="N24" s="583">
        <f t="shared" ca="1" si="1"/>
        <v>0</v>
      </c>
      <c r="O24" s="61"/>
    </row>
    <row r="25" spans="1:15" ht="15.75" customHeight="1">
      <c r="A25" s="1973" t="str">
        <v/>
      </c>
      <c r="B25" s="589">
        <f ca="1"/>
        <v>0</v>
      </c>
      <c r="C25" s="590">
        <f ca="1"/>
        <v>0</v>
      </c>
      <c r="D25" s="590">
        <f ca="1"/>
        <v>0</v>
      </c>
      <c r="E25" s="590">
        <f ca="1"/>
        <v>0</v>
      </c>
      <c r="F25" s="590">
        <f ca="1"/>
        <v>0</v>
      </c>
      <c r="G25" s="590">
        <f ca="1"/>
        <v>0</v>
      </c>
      <c r="H25" s="590">
        <f ca="1"/>
        <v>0</v>
      </c>
      <c r="I25" s="590">
        <f ca="1"/>
        <v>0</v>
      </c>
      <c r="J25" s="590">
        <f ca="1"/>
        <v>0</v>
      </c>
      <c r="K25" s="590">
        <f ca="1"/>
        <v>0</v>
      </c>
      <c r="L25" s="590">
        <f ca="1"/>
        <v>0</v>
      </c>
      <c r="M25" s="599">
        <f ca="1"/>
        <v>0</v>
      </c>
      <c r="N25" s="583">
        <f t="shared" ca="1" si="1"/>
        <v>0</v>
      </c>
      <c r="O25" s="61"/>
    </row>
    <row r="26" spans="1:15" ht="15.75" customHeight="1">
      <c r="A26" s="1973" t="str">
        <v/>
      </c>
      <c r="B26" s="589">
        <f ca="1"/>
        <v>0</v>
      </c>
      <c r="C26" s="590">
        <f ca="1"/>
        <v>0</v>
      </c>
      <c r="D26" s="590">
        <f ca="1"/>
        <v>0</v>
      </c>
      <c r="E26" s="590">
        <f ca="1"/>
        <v>0</v>
      </c>
      <c r="F26" s="590">
        <f ca="1"/>
        <v>0</v>
      </c>
      <c r="G26" s="590">
        <f ca="1"/>
        <v>0</v>
      </c>
      <c r="H26" s="590">
        <f ca="1"/>
        <v>0</v>
      </c>
      <c r="I26" s="590">
        <f ca="1"/>
        <v>0</v>
      </c>
      <c r="J26" s="590">
        <f ca="1"/>
        <v>0</v>
      </c>
      <c r="K26" s="590">
        <f ca="1"/>
        <v>0</v>
      </c>
      <c r="L26" s="590">
        <f ca="1"/>
        <v>0</v>
      </c>
      <c r="M26" s="599">
        <f ca="1"/>
        <v>0</v>
      </c>
      <c r="N26" s="583">
        <f t="shared" ca="1" si="1"/>
        <v>0</v>
      </c>
      <c r="O26" s="61"/>
    </row>
    <row r="27" spans="1:15" ht="15.75" customHeight="1" thickBot="1">
      <c r="A27" s="1974" t="str">
        <v/>
      </c>
      <c r="B27" s="591">
        <f ca="1"/>
        <v>0</v>
      </c>
      <c r="C27" s="592">
        <f ca="1"/>
        <v>0</v>
      </c>
      <c r="D27" s="592">
        <f ca="1"/>
        <v>0</v>
      </c>
      <c r="E27" s="592">
        <f ca="1"/>
        <v>0</v>
      </c>
      <c r="F27" s="592">
        <f ca="1"/>
        <v>0</v>
      </c>
      <c r="G27" s="592">
        <f ca="1"/>
        <v>0</v>
      </c>
      <c r="H27" s="592">
        <f ca="1"/>
        <v>0</v>
      </c>
      <c r="I27" s="592">
        <f ca="1"/>
        <v>0</v>
      </c>
      <c r="J27" s="592">
        <f ca="1"/>
        <v>0</v>
      </c>
      <c r="K27" s="592">
        <f ca="1"/>
        <v>0</v>
      </c>
      <c r="L27" s="592">
        <f ca="1"/>
        <v>0</v>
      </c>
      <c r="M27" s="600">
        <f ca="1"/>
        <v>0</v>
      </c>
      <c r="N27" s="593">
        <f t="shared" ca="1" si="1"/>
        <v>0</v>
      </c>
      <c r="O27" s="61"/>
    </row>
    <row r="28" spans="1:15" ht="15.75" customHeight="1" thickBot="1">
      <c r="A28" s="103" t="s">
        <v>15</v>
      </c>
      <c r="B28" s="595">
        <f t="shared" ref="B28:M28" ca="1" si="2">SUM(B20:B27)</f>
        <v>288.40000000000003</v>
      </c>
      <c r="C28" s="596">
        <f t="shared" ca="1" si="2"/>
        <v>360.50000000000006</v>
      </c>
      <c r="D28" s="596">
        <f t="shared" ca="1" si="2"/>
        <v>396.55</v>
      </c>
      <c r="E28" s="596">
        <f t="shared" ca="1" si="2"/>
        <v>378.52500000000003</v>
      </c>
      <c r="F28" s="596">
        <f t="shared" ca="1" si="2"/>
        <v>324.45000000000005</v>
      </c>
      <c r="G28" s="596">
        <f t="shared" ca="1" si="2"/>
        <v>306.42500000000001</v>
      </c>
      <c r="H28" s="596">
        <f t="shared" ca="1" si="2"/>
        <v>288.40000000000003</v>
      </c>
      <c r="I28" s="596">
        <f t="shared" ca="1" si="2"/>
        <v>216.3</v>
      </c>
      <c r="J28" s="596">
        <f t="shared" ca="1" si="2"/>
        <v>288.40000000000003</v>
      </c>
      <c r="K28" s="596">
        <f t="shared" ca="1" si="2"/>
        <v>342.47500000000002</v>
      </c>
      <c r="L28" s="596">
        <f t="shared" ca="1" si="2"/>
        <v>360.50000000000006</v>
      </c>
      <c r="M28" s="597">
        <f t="shared" ca="1" si="2"/>
        <v>432.6</v>
      </c>
      <c r="N28" s="594">
        <f t="shared" ca="1" si="1"/>
        <v>3983.5250000000005</v>
      </c>
      <c r="O28" s="61"/>
    </row>
    <row r="29" spans="1:15" ht="15">
      <c r="A29" s="213"/>
    </row>
    <row r="30" spans="1:15" ht="15.75" thickBot="1">
      <c r="A30" s="213"/>
    </row>
    <row r="31" spans="1:15" ht="19.5" customHeight="1" thickBot="1">
      <c r="A31" s="446" t="str">
        <f>'Distr CV 0'!A31</f>
        <v>IVA sop. Costes producc.</v>
      </c>
      <c r="B31" s="444" t="str">
        <f t="array" ref="B31:M31">meses</f>
        <v>enero</v>
      </c>
      <c r="C31" s="440" t="str">
        <v>febrero</v>
      </c>
      <c r="D31" s="440" t="str">
        <v>marzo</v>
      </c>
      <c r="E31" s="440" t="str">
        <v>abril</v>
      </c>
      <c r="F31" s="440" t="str">
        <v>mayo</v>
      </c>
      <c r="G31" s="440" t="str">
        <v>junio</v>
      </c>
      <c r="H31" s="440" t="str">
        <v>julio</v>
      </c>
      <c r="I31" s="440" t="str">
        <v>agosto</v>
      </c>
      <c r="J31" s="440" t="str">
        <v>septiembre</v>
      </c>
      <c r="K31" s="440" t="str">
        <v>octubre</v>
      </c>
      <c r="L31" s="440" t="str">
        <v>noviembre</v>
      </c>
      <c r="M31" s="441" t="str">
        <v>diciembre</v>
      </c>
      <c r="N31" s="438" t="str">
        <f>N$7</f>
        <v>Totales</v>
      </c>
    </row>
    <row r="32" spans="1:15" ht="15.75" customHeight="1">
      <c r="A32" s="1972" t="str">
        <f t="array" ref="A32:A39">productos</f>
        <v>producto o servicio</v>
      </c>
      <c r="B32" s="587">
        <f t="array" aca="1" ref="B32:M39" ca="1">B20:M27*Parametros!$F24:$F31</f>
        <v>60.564000000000007</v>
      </c>
      <c r="C32" s="588">
        <f ca="1"/>
        <v>75.705000000000013</v>
      </c>
      <c r="D32" s="588">
        <f ca="1"/>
        <v>83.275499999999994</v>
      </c>
      <c r="E32" s="588">
        <f ca="1"/>
        <v>79.490250000000003</v>
      </c>
      <c r="F32" s="588">
        <f ca="1"/>
        <v>68.134500000000003</v>
      </c>
      <c r="G32" s="588">
        <f ca="1"/>
        <v>64.349249999999998</v>
      </c>
      <c r="H32" s="588">
        <f ca="1"/>
        <v>60.564000000000007</v>
      </c>
      <c r="I32" s="588">
        <f ca="1"/>
        <v>45.423000000000002</v>
      </c>
      <c r="J32" s="588">
        <f ca="1"/>
        <v>60.564000000000007</v>
      </c>
      <c r="K32" s="588">
        <f ca="1"/>
        <v>71.919750000000008</v>
      </c>
      <c r="L32" s="588">
        <f ca="1"/>
        <v>75.705000000000013</v>
      </c>
      <c r="M32" s="598">
        <f ca="1"/>
        <v>90.846000000000004</v>
      </c>
      <c r="N32" s="580">
        <f t="shared" ca="1" si="1"/>
        <v>836.54025000000001</v>
      </c>
      <c r="O32" s="61"/>
    </row>
    <row r="33" spans="1:15" ht="15.75" customHeight="1">
      <c r="A33" s="1973" t="str">
        <v/>
      </c>
      <c r="B33" s="589">
        <f ca="1"/>
        <v>0</v>
      </c>
      <c r="C33" s="590">
        <f ca="1"/>
        <v>0</v>
      </c>
      <c r="D33" s="590">
        <f ca="1"/>
        <v>0</v>
      </c>
      <c r="E33" s="590">
        <f ca="1"/>
        <v>0</v>
      </c>
      <c r="F33" s="590">
        <f ca="1"/>
        <v>0</v>
      </c>
      <c r="G33" s="590">
        <f ca="1"/>
        <v>0</v>
      </c>
      <c r="H33" s="590">
        <f ca="1"/>
        <v>0</v>
      </c>
      <c r="I33" s="590">
        <f ca="1"/>
        <v>0</v>
      </c>
      <c r="J33" s="590">
        <f ca="1"/>
        <v>0</v>
      </c>
      <c r="K33" s="590">
        <f ca="1"/>
        <v>0</v>
      </c>
      <c r="L33" s="590">
        <f ca="1"/>
        <v>0</v>
      </c>
      <c r="M33" s="599">
        <f ca="1"/>
        <v>0</v>
      </c>
      <c r="N33" s="583">
        <f t="shared" ca="1" si="1"/>
        <v>0</v>
      </c>
      <c r="O33" s="61"/>
    </row>
    <row r="34" spans="1:15" ht="15.75" customHeight="1">
      <c r="A34" s="1973" t="str">
        <v/>
      </c>
      <c r="B34" s="589">
        <f ca="1"/>
        <v>0</v>
      </c>
      <c r="C34" s="590">
        <f ca="1"/>
        <v>0</v>
      </c>
      <c r="D34" s="590">
        <f ca="1"/>
        <v>0</v>
      </c>
      <c r="E34" s="590">
        <f ca="1"/>
        <v>0</v>
      </c>
      <c r="F34" s="590">
        <f ca="1"/>
        <v>0</v>
      </c>
      <c r="G34" s="590">
        <f ca="1"/>
        <v>0</v>
      </c>
      <c r="H34" s="590">
        <f ca="1"/>
        <v>0</v>
      </c>
      <c r="I34" s="590">
        <f ca="1"/>
        <v>0</v>
      </c>
      <c r="J34" s="590">
        <f ca="1"/>
        <v>0</v>
      </c>
      <c r="K34" s="590">
        <f ca="1"/>
        <v>0</v>
      </c>
      <c r="L34" s="590">
        <f ca="1"/>
        <v>0</v>
      </c>
      <c r="M34" s="599">
        <f ca="1"/>
        <v>0</v>
      </c>
      <c r="N34" s="583">
        <f t="shared" ca="1" si="1"/>
        <v>0</v>
      </c>
      <c r="O34" s="61"/>
    </row>
    <row r="35" spans="1:15" ht="15.75" customHeight="1">
      <c r="A35" s="1973" t="str">
        <v/>
      </c>
      <c r="B35" s="589">
        <f ca="1"/>
        <v>0</v>
      </c>
      <c r="C35" s="590">
        <f ca="1"/>
        <v>0</v>
      </c>
      <c r="D35" s="590">
        <f ca="1"/>
        <v>0</v>
      </c>
      <c r="E35" s="590">
        <f ca="1"/>
        <v>0</v>
      </c>
      <c r="F35" s="590">
        <f ca="1"/>
        <v>0</v>
      </c>
      <c r="G35" s="590">
        <f ca="1"/>
        <v>0</v>
      </c>
      <c r="H35" s="590">
        <f ca="1"/>
        <v>0</v>
      </c>
      <c r="I35" s="590">
        <f ca="1"/>
        <v>0</v>
      </c>
      <c r="J35" s="590">
        <f ca="1"/>
        <v>0</v>
      </c>
      <c r="K35" s="590">
        <f ca="1"/>
        <v>0</v>
      </c>
      <c r="L35" s="590">
        <f ca="1"/>
        <v>0</v>
      </c>
      <c r="M35" s="599">
        <f ca="1"/>
        <v>0</v>
      </c>
      <c r="N35" s="583">
        <f t="shared" ca="1" si="1"/>
        <v>0</v>
      </c>
      <c r="O35" s="61"/>
    </row>
    <row r="36" spans="1:15" ht="15.75" customHeight="1">
      <c r="A36" s="1973" t="str">
        <v/>
      </c>
      <c r="B36" s="589">
        <f ca="1"/>
        <v>0</v>
      </c>
      <c r="C36" s="590">
        <f ca="1"/>
        <v>0</v>
      </c>
      <c r="D36" s="590">
        <f ca="1"/>
        <v>0</v>
      </c>
      <c r="E36" s="590">
        <f ca="1"/>
        <v>0</v>
      </c>
      <c r="F36" s="590">
        <f ca="1"/>
        <v>0</v>
      </c>
      <c r="G36" s="590">
        <f ca="1"/>
        <v>0</v>
      </c>
      <c r="H36" s="590">
        <f ca="1"/>
        <v>0</v>
      </c>
      <c r="I36" s="590">
        <f ca="1"/>
        <v>0</v>
      </c>
      <c r="J36" s="590">
        <f ca="1"/>
        <v>0</v>
      </c>
      <c r="K36" s="590">
        <f ca="1"/>
        <v>0</v>
      </c>
      <c r="L36" s="590">
        <f ca="1"/>
        <v>0</v>
      </c>
      <c r="M36" s="599">
        <f ca="1"/>
        <v>0</v>
      </c>
      <c r="N36" s="583">
        <f t="shared" ca="1" si="1"/>
        <v>0</v>
      </c>
      <c r="O36" s="61"/>
    </row>
    <row r="37" spans="1:15" ht="15.75" customHeight="1">
      <c r="A37" s="1973" t="str">
        <v/>
      </c>
      <c r="B37" s="589">
        <f ca="1"/>
        <v>0</v>
      </c>
      <c r="C37" s="590">
        <f ca="1"/>
        <v>0</v>
      </c>
      <c r="D37" s="590">
        <f ca="1"/>
        <v>0</v>
      </c>
      <c r="E37" s="590">
        <f ca="1"/>
        <v>0</v>
      </c>
      <c r="F37" s="590">
        <f ca="1"/>
        <v>0</v>
      </c>
      <c r="G37" s="590">
        <f ca="1"/>
        <v>0</v>
      </c>
      <c r="H37" s="590">
        <f ca="1"/>
        <v>0</v>
      </c>
      <c r="I37" s="590">
        <f ca="1"/>
        <v>0</v>
      </c>
      <c r="J37" s="590">
        <f ca="1"/>
        <v>0</v>
      </c>
      <c r="K37" s="590">
        <f ca="1"/>
        <v>0</v>
      </c>
      <c r="L37" s="590">
        <f ca="1"/>
        <v>0</v>
      </c>
      <c r="M37" s="599">
        <f ca="1"/>
        <v>0</v>
      </c>
      <c r="N37" s="583">
        <f t="shared" ca="1" si="1"/>
        <v>0</v>
      </c>
      <c r="O37" s="61"/>
    </row>
    <row r="38" spans="1:15" ht="15.75" customHeight="1">
      <c r="A38" s="1973" t="str">
        <v/>
      </c>
      <c r="B38" s="589">
        <f ca="1"/>
        <v>0</v>
      </c>
      <c r="C38" s="590">
        <f ca="1"/>
        <v>0</v>
      </c>
      <c r="D38" s="590">
        <f ca="1"/>
        <v>0</v>
      </c>
      <c r="E38" s="590">
        <f ca="1"/>
        <v>0</v>
      </c>
      <c r="F38" s="590">
        <f ca="1"/>
        <v>0</v>
      </c>
      <c r="G38" s="590">
        <f ca="1"/>
        <v>0</v>
      </c>
      <c r="H38" s="590">
        <f ca="1"/>
        <v>0</v>
      </c>
      <c r="I38" s="590">
        <f ca="1"/>
        <v>0</v>
      </c>
      <c r="J38" s="590">
        <f ca="1"/>
        <v>0</v>
      </c>
      <c r="K38" s="590">
        <f ca="1"/>
        <v>0</v>
      </c>
      <c r="L38" s="590">
        <f ca="1"/>
        <v>0</v>
      </c>
      <c r="M38" s="599">
        <f ca="1"/>
        <v>0</v>
      </c>
      <c r="N38" s="583">
        <f t="shared" ca="1" si="1"/>
        <v>0</v>
      </c>
      <c r="O38" s="61"/>
    </row>
    <row r="39" spans="1:15" ht="15.75" customHeight="1" thickBot="1">
      <c r="A39" s="1974" t="str">
        <v/>
      </c>
      <c r="B39" s="591">
        <f ca="1"/>
        <v>0</v>
      </c>
      <c r="C39" s="592">
        <f ca="1"/>
        <v>0</v>
      </c>
      <c r="D39" s="592">
        <f ca="1"/>
        <v>0</v>
      </c>
      <c r="E39" s="592">
        <f ca="1"/>
        <v>0</v>
      </c>
      <c r="F39" s="592">
        <f ca="1"/>
        <v>0</v>
      </c>
      <c r="G39" s="592">
        <f ca="1"/>
        <v>0</v>
      </c>
      <c r="H39" s="592">
        <f ca="1"/>
        <v>0</v>
      </c>
      <c r="I39" s="592">
        <f ca="1"/>
        <v>0</v>
      </c>
      <c r="J39" s="592">
        <f ca="1"/>
        <v>0</v>
      </c>
      <c r="K39" s="592">
        <f ca="1"/>
        <v>0</v>
      </c>
      <c r="L39" s="592">
        <f ca="1"/>
        <v>0</v>
      </c>
      <c r="M39" s="600">
        <f ca="1"/>
        <v>0</v>
      </c>
      <c r="N39" s="593">
        <f t="shared" ca="1" si="1"/>
        <v>0</v>
      </c>
      <c r="O39" s="61"/>
    </row>
    <row r="40" spans="1:15" ht="15.75" customHeight="1" thickBot="1">
      <c r="A40" s="103" t="str">
        <f>A$28</f>
        <v>Totales</v>
      </c>
      <c r="B40" s="595">
        <f t="shared" ref="B40:M40" ca="1" si="3">SUM(B32:B39)</f>
        <v>60.564000000000007</v>
      </c>
      <c r="C40" s="596">
        <f t="shared" ca="1" si="3"/>
        <v>75.705000000000013</v>
      </c>
      <c r="D40" s="596">
        <f t="shared" ca="1" si="3"/>
        <v>83.275499999999994</v>
      </c>
      <c r="E40" s="596">
        <f t="shared" ca="1" si="3"/>
        <v>79.490250000000003</v>
      </c>
      <c r="F40" s="596">
        <f t="shared" ca="1" si="3"/>
        <v>68.134500000000003</v>
      </c>
      <c r="G40" s="596">
        <f t="shared" ca="1" si="3"/>
        <v>64.349249999999998</v>
      </c>
      <c r="H40" s="596">
        <f t="shared" ca="1" si="3"/>
        <v>60.564000000000007</v>
      </c>
      <c r="I40" s="596">
        <f t="shared" ca="1" si="3"/>
        <v>45.423000000000002</v>
      </c>
      <c r="J40" s="596">
        <f t="shared" ca="1" si="3"/>
        <v>60.564000000000007</v>
      </c>
      <c r="K40" s="596">
        <f t="shared" ca="1" si="3"/>
        <v>71.919750000000008</v>
      </c>
      <c r="L40" s="596">
        <f t="shared" ca="1" si="3"/>
        <v>75.705000000000013</v>
      </c>
      <c r="M40" s="597">
        <f t="shared" ca="1" si="3"/>
        <v>90.846000000000004</v>
      </c>
      <c r="N40" s="594">
        <f ca="1">SUM(B40:M40)</f>
        <v>836.54025000000001</v>
      </c>
      <c r="O40" s="61"/>
    </row>
    <row r="41" spans="1:15" ht="15">
      <c r="A41" s="213"/>
      <c r="B41" s="2796" t="str">
        <f>'Distr CV 0'!B41</f>
        <v>No tiene sentido calcular el IVA del CV en el mes en el que se imputa (cuando se vende) sino en el mes en el que se produce la compra</v>
      </c>
    </row>
    <row r="42" spans="1:15" ht="15">
      <c r="A42" s="213"/>
    </row>
    <row r="43" spans="1:15" ht="15">
      <c r="A43" s="213"/>
    </row>
    <row r="44" spans="1:15" ht="18.75" thickBot="1">
      <c r="A44" s="1969" t="str">
        <f>'Distr CV 0'!A44</f>
        <v>Costes de producción en el año</v>
      </c>
      <c r="G44" s="2710" t="str">
        <f>$K$1</f>
        <v>Año 2:  2028</v>
      </c>
      <c r="I44" s="1969" t="str">
        <f>I$18</f>
        <v>IVA NO incluido</v>
      </c>
    </row>
    <row r="45" spans="1:15" s="445" customFormat="1" ht="15.75" customHeight="1" thickBot="1">
      <c r="A45" s="446" t="str">
        <f>A$19</f>
        <v>Costes producción</v>
      </c>
      <c r="B45" s="444" t="str">
        <f t="array" ref="B45:M45">meses</f>
        <v>enero</v>
      </c>
      <c r="C45" s="440" t="str">
        <v>febrero</v>
      </c>
      <c r="D45" s="440" t="str">
        <v>marzo</v>
      </c>
      <c r="E45" s="440" t="str">
        <v>abril</v>
      </c>
      <c r="F45" s="440" t="str">
        <v>mayo</v>
      </c>
      <c r="G45" s="440" t="str">
        <v>junio</v>
      </c>
      <c r="H45" s="440" t="str">
        <v>julio</v>
      </c>
      <c r="I45" s="440" t="str">
        <v>agosto</v>
      </c>
      <c r="J45" s="440" t="str">
        <v>septiembre</v>
      </c>
      <c r="K45" s="440" t="str">
        <v>octubre</v>
      </c>
      <c r="L45" s="440" t="str">
        <v>noviembre</v>
      </c>
      <c r="M45" s="441" t="str">
        <v>diciembre</v>
      </c>
      <c r="N45" s="438" t="str">
        <f>N$7</f>
        <v>Totales</v>
      </c>
    </row>
    <row r="46" spans="1:15" ht="15.75" customHeight="1">
      <c r="A46" s="1972" t="str">
        <f t="array" ref="A46:A53">productos</f>
        <v>producto o servicio</v>
      </c>
      <c r="B46" s="587">
        <f t="array" aca="1" ref="B46:M46" ca="1">N124:Y124</f>
        <v>288.40000000000003</v>
      </c>
      <c r="C46" s="588">
        <f ca="1"/>
        <v>360.50000000000006</v>
      </c>
      <c r="D46" s="588">
        <f ca="1"/>
        <v>396.55</v>
      </c>
      <c r="E46" s="588">
        <f ca="1"/>
        <v>378.52500000000003</v>
      </c>
      <c r="F46" s="588">
        <f ca="1"/>
        <v>324.45000000000005</v>
      </c>
      <c r="G46" s="588">
        <f ca="1"/>
        <v>306.42500000000001</v>
      </c>
      <c r="H46" s="588">
        <f ca="1"/>
        <v>288.40000000000003</v>
      </c>
      <c r="I46" s="588">
        <f ca="1"/>
        <v>216.3</v>
      </c>
      <c r="J46" s="588">
        <f ca="1"/>
        <v>288.40000000000003</v>
      </c>
      <c r="K46" s="588">
        <f ca="1"/>
        <v>342.47500000000002</v>
      </c>
      <c r="L46" s="588">
        <f ca="1"/>
        <v>360.50000000000006</v>
      </c>
      <c r="M46" s="598">
        <f ca="1"/>
        <v>432.6</v>
      </c>
      <c r="N46" s="580">
        <f t="shared" ref="N46:N54" ca="1" si="4">SUM(B46:M46)</f>
        <v>3983.5250000000005</v>
      </c>
      <c r="O46" s="61"/>
    </row>
    <row r="47" spans="1:15" ht="15.75" customHeight="1">
      <c r="A47" s="1973" t="str">
        <v/>
      </c>
      <c r="B47" s="589">
        <f t="array" aca="1" ref="B47:M47" ca="1">N142:Y142</f>
        <v>0</v>
      </c>
      <c r="C47" s="590">
        <f ca="1"/>
        <v>0</v>
      </c>
      <c r="D47" s="590">
        <f ca="1"/>
        <v>0</v>
      </c>
      <c r="E47" s="590">
        <f ca="1"/>
        <v>0</v>
      </c>
      <c r="F47" s="590">
        <f ca="1"/>
        <v>0</v>
      </c>
      <c r="G47" s="590">
        <f ca="1"/>
        <v>0</v>
      </c>
      <c r="H47" s="590">
        <f ca="1"/>
        <v>0</v>
      </c>
      <c r="I47" s="590">
        <f ca="1"/>
        <v>0</v>
      </c>
      <c r="J47" s="590">
        <f ca="1"/>
        <v>0</v>
      </c>
      <c r="K47" s="590">
        <f ca="1"/>
        <v>0</v>
      </c>
      <c r="L47" s="590">
        <f ca="1"/>
        <v>0</v>
      </c>
      <c r="M47" s="599">
        <f ca="1"/>
        <v>0</v>
      </c>
      <c r="N47" s="583">
        <f t="shared" ca="1" si="4"/>
        <v>0</v>
      </c>
      <c r="O47" s="61"/>
    </row>
    <row r="48" spans="1:15" ht="15.75" customHeight="1">
      <c r="A48" s="1973" t="str">
        <v/>
      </c>
      <c r="B48" s="589">
        <f t="array" aca="1" ref="B48:M48" ca="1">N160:Y160</f>
        <v>0</v>
      </c>
      <c r="C48" s="590">
        <f ca="1"/>
        <v>0</v>
      </c>
      <c r="D48" s="590">
        <f ca="1"/>
        <v>0</v>
      </c>
      <c r="E48" s="590">
        <f ca="1"/>
        <v>0</v>
      </c>
      <c r="F48" s="590">
        <f ca="1"/>
        <v>0</v>
      </c>
      <c r="G48" s="590">
        <f ca="1"/>
        <v>0</v>
      </c>
      <c r="H48" s="590">
        <f ca="1"/>
        <v>0</v>
      </c>
      <c r="I48" s="590">
        <f ca="1"/>
        <v>0</v>
      </c>
      <c r="J48" s="590">
        <f ca="1"/>
        <v>0</v>
      </c>
      <c r="K48" s="590">
        <f ca="1"/>
        <v>0</v>
      </c>
      <c r="L48" s="590">
        <f ca="1"/>
        <v>0</v>
      </c>
      <c r="M48" s="599">
        <f ca="1"/>
        <v>0</v>
      </c>
      <c r="N48" s="583">
        <f t="shared" ca="1" si="4"/>
        <v>0</v>
      </c>
      <c r="O48" s="61"/>
    </row>
    <row r="49" spans="1:15" ht="15.75" customHeight="1">
      <c r="A49" s="1973" t="str">
        <v/>
      </c>
      <c r="B49" s="589">
        <f t="array" aca="1" ref="B49:M49" ca="1">N178:Y178</f>
        <v>0</v>
      </c>
      <c r="C49" s="590">
        <f ca="1"/>
        <v>0</v>
      </c>
      <c r="D49" s="590">
        <f ca="1"/>
        <v>0</v>
      </c>
      <c r="E49" s="590">
        <f ca="1"/>
        <v>0</v>
      </c>
      <c r="F49" s="590">
        <f ca="1"/>
        <v>0</v>
      </c>
      <c r="G49" s="590">
        <f ca="1"/>
        <v>0</v>
      </c>
      <c r="H49" s="590">
        <f ca="1"/>
        <v>0</v>
      </c>
      <c r="I49" s="590">
        <f ca="1"/>
        <v>0</v>
      </c>
      <c r="J49" s="590">
        <f ca="1"/>
        <v>0</v>
      </c>
      <c r="K49" s="590">
        <f ca="1"/>
        <v>0</v>
      </c>
      <c r="L49" s="590">
        <f ca="1"/>
        <v>0</v>
      </c>
      <c r="M49" s="599">
        <f ca="1"/>
        <v>0</v>
      </c>
      <c r="N49" s="583">
        <f t="shared" ca="1" si="4"/>
        <v>0</v>
      </c>
      <c r="O49" s="61"/>
    </row>
    <row r="50" spans="1:15" ht="15.75" customHeight="1">
      <c r="A50" s="1973" t="str">
        <v/>
      </c>
      <c r="B50" s="589">
        <f t="array" aca="1" ref="B50:M50" ca="1">N196:Y196</f>
        <v>0</v>
      </c>
      <c r="C50" s="590">
        <f ca="1"/>
        <v>0</v>
      </c>
      <c r="D50" s="590">
        <f ca="1"/>
        <v>0</v>
      </c>
      <c r="E50" s="590">
        <f ca="1"/>
        <v>0</v>
      </c>
      <c r="F50" s="590">
        <f ca="1"/>
        <v>0</v>
      </c>
      <c r="G50" s="590">
        <f ca="1"/>
        <v>0</v>
      </c>
      <c r="H50" s="590">
        <f ca="1"/>
        <v>0</v>
      </c>
      <c r="I50" s="590">
        <f ca="1"/>
        <v>0</v>
      </c>
      <c r="J50" s="590">
        <f ca="1"/>
        <v>0</v>
      </c>
      <c r="K50" s="590">
        <f ca="1"/>
        <v>0</v>
      </c>
      <c r="L50" s="590">
        <f ca="1"/>
        <v>0</v>
      </c>
      <c r="M50" s="599">
        <f ca="1"/>
        <v>0</v>
      </c>
      <c r="N50" s="583">
        <f t="shared" ca="1" si="4"/>
        <v>0</v>
      </c>
      <c r="O50" s="61"/>
    </row>
    <row r="51" spans="1:15" ht="15.75" customHeight="1">
      <c r="A51" s="1973" t="str">
        <v/>
      </c>
      <c r="B51" s="589">
        <f t="array" aca="1" ref="B51:M51" ca="1">N214:Y214</f>
        <v>0</v>
      </c>
      <c r="C51" s="590">
        <f ca="1"/>
        <v>0</v>
      </c>
      <c r="D51" s="590">
        <f ca="1"/>
        <v>0</v>
      </c>
      <c r="E51" s="590">
        <f ca="1"/>
        <v>0</v>
      </c>
      <c r="F51" s="590">
        <f ca="1"/>
        <v>0</v>
      </c>
      <c r="G51" s="590">
        <f ca="1"/>
        <v>0</v>
      </c>
      <c r="H51" s="590">
        <f ca="1"/>
        <v>0</v>
      </c>
      <c r="I51" s="590">
        <f ca="1"/>
        <v>0</v>
      </c>
      <c r="J51" s="590">
        <f ca="1"/>
        <v>0</v>
      </c>
      <c r="K51" s="590">
        <f ca="1"/>
        <v>0</v>
      </c>
      <c r="L51" s="590">
        <f ca="1"/>
        <v>0</v>
      </c>
      <c r="M51" s="599">
        <f ca="1"/>
        <v>0</v>
      </c>
      <c r="N51" s="583">
        <f t="shared" ca="1" si="4"/>
        <v>0</v>
      </c>
      <c r="O51" s="61"/>
    </row>
    <row r="52" spans="1:15" ht="15.75" customHeight="1">
      <c r="A52" s="1973" t="str">
        <v/>
      </c>
      <c r="B52" s="589">
        <f t="array" aca="1" ref="B52:M52" ca="1">N232:Y232</f>
        <v>0</v>
      </c>
      <c r="C52" s="590">
        <f ca="1"/>
        <v>0</v>
      </c>
      <c r="D52" s="590">
        <f ca="1"/>
        <v>0</v>
      </c>
      <c r="E52" s="590">
        <f ca="1"/>
        <v>0</v>
      </c>
      <c r="F52" s="590">
        <f ca="1"/>
        <v>0</v>
      </c>
      <c r="G52" s="590">
        <f ca="1"/>
        <v>0</v>
      </c>
      <c r="H52" s="590">
        <f ca="1"/>
        <v>0</v>
      </c>
      <c r="I52" s="590">
        <f ca="1"/>
        <v>0</v>
      </c>
      <c r="J52" s="590">
        <f ca="1"/>
        <v>0</v>
      </c>
      <c r="K52" s="590">
        <f ca="1"/>
        <v>0</v>
      </c>
      <c r="L52" s="590">
        <f ca="1"/>
        <v>0</v>
      </c>
      <c r="M52" s="599">
        <f ca="1"/>
        <v>0</v>
      </c>
      <c r="N52" s="583">
        <f t="shared" ca="1" si="4"/>
        <v>0</v>
      </c>
      <c r="O52" s="61"/>
    </row>
    <row r="53" spans="1:15" ht="15.75" customHeight="1" thickBot="1">
      <c r="A53" s="1974" t="str">
        <v/>
      </c>
      <c r="B53" s="591">
        <f t="array" aca="1" ref="B53:M53" ca="1">N250:Y250</f>
        <v>0</v>
      </c>
      <c r="C53" s="592">
        <f ca="1"/>
        <v>0</v>
      </c>
      <c r="D53" s="592">
        <f ca="1"/>
        <v>0</v>
      </c>
      <c r="E53" s="592">
        <f ca="1"/>
        <v>0</v>
      </c>
      <c r="F53" s="592">
        <f ca="1"/>
        <v>0</v>
      </c>
      <c r="G53" s="592">
        <f ca="1"/>
        <v>0</v>
      </c>
      <c r="H53" s="592">
        <f ca="1"/>
        <v>0</v>
      </c>
      <c r="I53" s="592">
        <f ca="1"/>
        <v>0</v>
      </c>
      <c r="J53" s="592">
        <f ca="1"/>
        <v>0</v>
      </c>
      <c r="K53" s="592">
        <f ca="1"/>
        <v>0</v>
      </c>
      <c r="L53" s="592">
        <f ca="1"/>
        <v>0</v>
      </c>
      <c r="M53" s="600">
        <f ca="1"/>
        <v>0</v>
      </c>
      <c r="N53" s="593">
        <f t="shared" ca="1" si="4"/>
        <v>0</v>
      </c>
      <c r="O53" s="61"/>
    </row>
    <row r="54" spans="1:15" ht="15.75" customHeight="1" thickBot="1">
      <c r="A54" s="103" t="str">
        <f>A$28</f>
        <v>Totales</v>
      </c>
      <c r="B54" s="595">
        <f t="shared" ref="B54:M54" ca="1" si="5">SUM(B46:B53)</f>
        <v>288.40000000000003</v>
      </c>
      <c r="C54" s="596">
        <f t="shared" ca="1" si="5"/>
        <v>360.50000000000006</v>
      </c>
      <c r="D54" s="596">
        <f t="shared" ca="1" si="5"/>
        <v>396.55</v>
      </c>
      <c r="E54" s="596">
        <f t="shared" ca="1" si="5"/>
        <v>378.52500000000003</v>
      </c>
      <c r="F54" s="596">
        <f t="shared" ca="1" si="5"/>
        <v>324.45000000000005</v>
      </c>
      <c r="G54" s="596">
        <f t="shared" ca="1" si="5"/>
        <v>306.42500000000001</v>
      </c>
      <c r="H54" s="596">
        <f t="shared" ca="1" si="5"/>
        <v>288.40000000000003</v>
      </c>
      <c r="I54" s="596">
        <f t="shared" ca="1" si="5"/>
        <v>216.3</v>
      </c>
      <c r="J54" s="596">
        <f t="shared" ca="1" si="5"/>
        <v>288.40000000000003</v>
      </c>
      <c r="K54" s="596">
        <f t="shared" ca="1" si="5"/>
        <v>342.47500000000002</v>
      </c>
      <c r="L54" s="596">
        <f t="shared" ca="1" si="5"/>
        <v>360.50000000000006</v>
      </c>
      <c r="M54" s="597">
        <f t="shared" ca="1" si="5"/>
        <v>432.6</v>
      </c>
      <c r="N54" s="594">
        <f t="shared" ca="1" si="4"/>
        <v>3983.5250000000005</v>
      </c>
      <c r="O54" s="61"/>
    </row>
    <row r="55" spans="1:15">
      <c r="A55" s="1003" t="s">
        <v>891</v>
      </c>
      <c r="B55" s="1003">
        <f ca="1">SUM(B124:M124,B142:M142,B160:M160,B178:M178,B196:M196,B214:M214,B232:M232,B250:M250)</f>
        <v>0</v>
      </c>
    </row>
    <row r="57" spans="1:15" ht="18.75" thickBot="1">
      <c r="A57" s="1969" t="str">
        <f>'Distr CV 0'!A57</f>
        <v>IVA soportado de los costes de producción en el año</v>
      </c>
      <c r="G57" s="2710" t="str">
        <f>$K$1</f>
        <v>Año 2:  2028</v>
      </c>
      <c r="I57" s="1969"/>
    </row>
    <row r="58" spans="1:15" s="445" customFormat="1" ht="15.75" customHeight="1" thickBot="1">
      <c r="A58" s="446" t="str">
        <f>A$19</f>
        <v>Costes producción</v>
      </c>
      <c r="B58" s="444" t="str">
        <f t="array" ref="B58:M58">meses</f>
        <v>enero</v>
      </c>
      <c r="C58" s="440" t="str">
        <v>febrero</v>
      </c>
      <c r="D58" s="440" t="str">
        <v>marzo</v>
      </c>
      <c r="E58" s="440" t="str">
        <v>abril</v>
      </c>
      <c r="F58" s="440" t="str">
        <v>mayo</v>
      </c>
      <c r="G58" s="440" t="str">
        <v>junio</v>
      </c>
      <c r="H58" s="440" t="str">
        <v>julio</v>
      </c>
      <c r="I58" s="440" t="str">
        <v>agosto</v>
      </c>
      <c r="J58" s="440" t="str">
        <v>septiembre</v>
      </c>
      <c r="K58" s="440" t="str">
        <v>octubre</v>
      </c>
      <c r="L58" s="440" t="str">
        <v>noviembre</v>
      </c>
      <c r="M58" s="441" t="str">
        <v>diciembre</v>
      </c>
      <c r="N58" s="438" t="str">
        <f>N$7</f>
        <v>Totales</v>
      </c>
    </row>
    <row r="59" spans="1:15" ht="15.75" customHeight="1">
      <c r="A59" s="1972" t="str">
        <f t="array" ref="A59:A66">productos</f>
        <v>producto o servicio</v>
      </c>
      <c r="B59" s="587">
        <f t="array" aca="1" ref="B59:M59" ca="1">N125:Y125</f>
        <v>60.564000000000007</v>
      </c>
      <c r="C59" s="588">
        <f ca="1"/>
        <v>75.705000000000013</v>
      </c>
      <c r="D59" s="588">
        <f ca="1"/>
        <v>83.275499999999994</v>
      </c>
      <c r="E59" s="588">
        <f ca="1"/>
        <v>79.490250000000003</v>
      </c>
      <c r="F59" s="588">
        <f ca="1"/>
        <v>68.134500000000003</v>
      </c>
      <c r="G59" s="588">
        <f ca="1"/>
        <v>64.349249999999998</v>
      </c>
      <c r="H59" s="588">
        <f ca="1"/>
        <v>60.564000000000007</v>
      </c>
      <c r="I59" s="588">
        <f ca="1"/>
        <v>45.423000000000002</v>
      </c>
      <c r="J59" s="588">
        <f ca="1"/>
        <v>60.564000000000007</v>
      </c>
      <c r="K59" s="588">
        <f ca="1"/>
        <v>71.919750000000008</v>
      </c>
      <c r="L59" s="588">
        <f ca="1"/>
        <v>75.705000000000013</v>
      </c>
      <c r="M59" s="598">
        <f ca="1"/>
        <v>90.846000000000004</v>
      </c>
      <c r="N59" s="580">
        <f t="shared" ref="N59:N67" ca="1" si="6">SUM(B59:M59)</f>
        <v>836.54025000000001</v>
      </c>
      <c r="O59" s="61"/>
    </row>
    <row r="60" spans="1:15" ht="15.75" customHeight="1">
      <c r="A60" s="1973" t="str">
        <v/>
      </c>
      <c r="B60" s="589">
        <f t="array" aca="1" ref="B60:M60" ca="1">N143:Y143</f>
        <v>0</v>
      </c>
      <c r="C60" s="590">
        <f ca="1"/>
        <v>0</v>
      </c>
      <c r="D60" s="590">
        <f ca="1"/>
        <v>0</v>
      </c>
      <c r="E60" s="590">
        <f ca="1"/>
        <v>0</v>
      </c>
      <c r="F60" s="590">
        <f ca="1"/>
        <v>0</v>
      </c>
      <c r="G60" s="590">
        <f ca="1"/>
        <v>0</v>
      </c>
      <c r="H60" s="590">
        <f ca="1"/>
        <v>0</v>
      </c>
      <c r="I60" s="590">
        <f ca="1"/>
        <v>0</v>
      </c>
      <c r="J60" s="590">
        <f ca="1"/>
        <v>0</v>
      </c>
      <c r="K60" s="590">
        <f ca="1"/>
        <v>0</v>
      </c>
      <c r="L60" s="590">
        <f ca="1"/>
        <v>0</v>
      </c>
      <c r="M60" s="599">
        <f ca="1"/>
        <v>0</v>
      </c>
      <c r="N60" s="583">
        <f t="shared" ca="1" si="6"/>
        <v>0</v>
      </c>
      <c r="O60" s="61"/>
    </row>
    <row r="61" spans="1:15" ht="15.75" customHeight="1">
      <c r="A61" s="1973" t="str">
        <v/>
      </c>
      <c r="B61" s="589">
        <f t="array" aca="1" ref="B61:M61" ca="1">N161:Y161</f>
        <v>0</v>
      </c>
      <c r="C61" s="590">
        <f ca="1"/>
        <v>0</v>
      </c>
      <c r="D61" s="590">
        <f ca="1"/>
        <v>0</v>
      </c>
      <c r="E61" s="590">
        <f ca="1"/>
        <v>0</v>
      </c>
      <c r="F61" s="590">
        <f ca="1"/>
        <v>0</v>
      </c>
      <c r="G61" s="590">
        <f ca="1"/>
        <v>0</v>
      </c>
      <c r="H61" s="590">
        <f ca="1"/>
        <v>0</v>
      </c>
      <c r="I61" s="590">
        <f ca="1"/>
        <v>0</v>
      </c>
      <c r="J61" s="590">
        <f ca="1"/>
        <v>0</v>
      </c>
      <c r="K61" s="590">
        <f ca="1"/>
        <v>0</v>
      </c>
      <c r="L61" s="590">
        <f ca="1"/>
        <v>0</v>
      </c>
      <c r="M61" s="599">
        <f ca="1"/>
        <v>0</v>
      </c>
      <c r="N61" s="583">
        <f t="shared" ca="1" si="6"/>
        <v>0</v>
      </c>
      <c r="O61" s="61"/>
    </row>
    <row r="62" spans="1:15" ht="15.75" customHeight="1">
      <c r="A62" s="1973" t="str">
        <v/>
      </c>
      <c r="B62" s="589">
        <f t="array" aca="1" ref="B62:M62" ca="1">N179:Y179</f>
        <v>0</v>
      </c>
      <c r="C62" s="590">
        <f ca="1"/>
        <v>0</v>
      </c>
      <c r="D62" s="590">
        <f ca="1"/>
        <v>0</v>
      </c>
      <c r="E62" s="590">
        <f ca="1"/>
        <v>0</v>
      </c>
      <c r="F62" s="590">
        <f ca="1"/>
        <v>0</v>
      </c>
      <c r="G62" s="590">
        <f ca="1"/>
        <v>0</v>
      </c>
      <c r="H62" s="590">
        <f ca="1"/>
        <v>0</v>
      </c>
      <c r="I62" s="590">
        <f ca="1"/>
        <v>0</v>
      </c>
      <c r="J62" s="590">
        <f ca="1"/>
        <v>0</v>
      </c>
      <c r="K62" s="590">
        <f ca="1"/>
        <v>0</v>
      </c>
      <c r="L62" s="590">
        <f ca="1"/>
        <v>0</v>
      </c>
      <c r="M62" s="599">
        <f ca="1"/>
        <v>0</v>
      </c>
      <c r="N62" s="583">
        <f t="shared" ca="1" si="6"/>
        <v>0</v>
      </c>
      <c r="O62" s="61"/>
    </row>
    <row r="63" spans="1:15" ht="15.75" customHeight="1">
      <c r="A63" s="1973" t="str">
        <v/>
      </c>
      <c r="B63" s="589">
        <f t="array" aca="1" ref="B63:M63" ca="1">N197:Y197</f>
        <v>0</v>
      </c>
      <c r="C63" s="590">
        <f ca="1"/>
        <v>0</v>
      </c>
      <c r="D63" s="590">
        <f ca="1"/>
        <v>0</v>
      </c>
      <c r="E63" s="590">
        <f ca="1"/>
        <v>0</v>
      </c>
      <c r="F63" s="590">
        <f ca="1"/>
        <v>0</v>
      </c>
      <c r="G63" s="590">
        <f ca="1"/>
        <v>0</v>
      </c>
      <c r="H63" s="590">
        <f ca="1"/>
        <v>0</v>
      </c>
      <c r="I63" s="590">
        <f ca="1"/>
        <v>0</v>
      </c>
      <c r="J63" s="590">
        <f ca="1"/>
        <v>0</v>
      </c>
      <c r="K63" s="590">
        <f ca="1"/>
        <v>0</v>
      </c>
      <c r="L63" s="590">
        <f ca="1"/>
        <v>0</v>
      </c>
      <c r="M63" s="599">
        <f ca="1"/>
        <v>0</v>
      </c>
      <c r="N63" s="583">
        <f t="shared" ca="1" si="6"/>
        <v>0</v>
      </c>
      <c r="O63" s="61"/>
    </row>
    <row r="64" spans="1:15" ht="15.75" customHeight="1">
      <c r="A64" s="1973" t="str">
        <v/>
      </c>
      <c r="B64" s="589">
        <f t="array" aca="1" ref="B64:M64" ca="1">N215:Y215</f>
        <v>0</v>
      </c>
      <c r="C64" s="590">
        <f ca="1"/>
        <v>0</v>
      </c>
      <c r="D64" s="590">
        <f ca="1"/>
        <v>0</v>
      </c>
      <c r="E64" s="590">
        <f ca="1"/>
        <v>0</v>
      </c>
      <c r="F64" s="590">
        <f ca="1"/>
        <v>0</v>
      </c>
      <c r="G64" s="590">
        <f ca="1"/>
        <v>0</v>
      </c>
      <c r="H64" s="590">
        <f ca="1"/>
        <v>0</v>
      </c>
      <c r="I64" s="590">
        <f ca="1"/>
        <v>0</v>
      </c>
      <c r="J64" s="590">
        <f ca="1"/>
        <v>0</v>
      </c>
      <c r="K64" s="590">
        <f ca="1"/>
        <v>0</v>
      </c>
      <c r="L64" s="590">
        <f ca="1"/>
        <v>0</v>
      </c>
      <c r="M64" s="599">
        <f ca="1"/>
        <v>0</v>
      </c>
      <c r="N64" s="583">
        <f t="shared" ca="1" si="6"/>
        <v>0</v>
      </c>
      <c r="O64" s="61"/>
    </row>
    <row r="65" spans="1:26" ht="15.75" customHeight="1">
      <c r="A65" s="1973" t="str">
        <v/>
      </c>
      <c r="B65" s="589">
        <f t="array" aca="1" ref="B65:M65" ca="1">N233:Y233</f>
        <v>0</v>
      </c>
      <c r="C65" s="590">
        <f ca="1"/>
        <v>0</v>
      </c>
      <c r="D65" s="590">
        <f ca="1"/>
        <v>0</v>
      </c>
      <c r="E65" s="590">
        <f ca="1"/>
        <v>0</v>
      </c>
      <c r="F65" s="590">
        <f ca="1"/>
        <v>0</v>
      </c>
      <c r="G65" s="590">
        <f ca="1"/>
        <v>0</v>
      </c>
      <c r="H65" s="590">
        <f ca="1"/>
        <v>0</v>
      </c>
      <c r="I65" s="590">
        <f ca="1"/>
        <v>0</v>
      </c>
      <c r="J65" s="590">
        <f ca="1"/>
        <v>0</v>
      </c>
      <c r="K65" s="590">
        <f ca="1"/>
        <v>0</v>
      </c>
      <c r="L65" s="590">
        <f ca="1"/>
        <v>0</v>
      </c>
      <c r="M65" s="599">
        <f ca="1"/>
        <v>0</v>
      </c>
      <c r="N65" s="583">
        <f t="shared" ca="1" si="6"/>
        <v>0</v>
      </c>
      <c r="O65" s="61"/>
    </row>
    <row r="66" spans="1:26" ht="15.75" customHeight="1" thickBot="1">
      <c r="A66" s="1974" t="str">
        <v/>
      </c>
      <c r="B66" s="591">
        <f t="array" aca="1" ref="B66:M66" ca="1">N251:Y251</f>
        <v>0</v>
      </c>
      <c r="C66" s="592">
        <f ca="1"/>
        <v>0</v>
      </c>
      <c r="D66" s="592">
        <f ca="1"/>
        <v>0</v>
      </c>
      <c r="E66" s="592">
        <f ca="1"/>
        <v>0</v>
      </c>
      <c r="F66" s="592">
        <f ca="1"/>
        <v>0</v>
      </c>
      <c r="G66" s="592">
        <f ca="1"/>
        <v>0</v>
      </c>
      <c r="H66" s="592">
        <f ca="1"/>
        <v>0</v>
      </c>
      <c r="I66" s="592">
        <f ca="1"/>
        <v>0</v>
      </c>
      <c r="J66" s="592">
        <f ca="1"/>
        <v>0</v>
      </c>
      <c r="K66" s="592">
        <f ca="1"/>
        <v>0</v>
      </c>
      <c r="L66" s="592">
        <f ca="1"/>
        <v>0</v>
      </c>
      <c r="M66" s="600">
        <f ca="1"/>
        <v>0</v>
      </c>
      <c r="N66" s="593">
        <f t="shared" ca="1" si="6"/>
        <v>0</v>
      </c>
      <c r="O66" s="61"/>
    </row>
    <row r="67" spans="1:26" ht="15.75" customHeight="1" thickBot="1">
      <c r="A67" s="103" t="str">
        <f>A$28</f>
        <v>Totales</v>
      </c>
      <c r="B67" s="595">
        <f t="shared" ref="B67:M67" ca="1" si="7">SUM(B59:B66)</f>
        <v>60.564000000000007</v>
      </c>
      <c r="C67" s="596">
        <f t="shared" ca="1" si="7"/>
        <v>75.705000000000013</v>
      </c>
      <c r="D67" s="596">
        <f t="shared" ca="1" si="7"/>
        <v>83.275499999999994</v>
      </c>
      <c r="E67" s="596">
        <f t="shared" ca="1" si="7"/>
        <v>79.490250000000003</v>
      </c>
      <c r="F67" s="596">
        <f t="shared" ca="1" si="7"/>
        <v>68.134500000000003</v>
      </c>
      <c r="G67" s="596">
        <f t="shared" ca="1" si="7"/>
        <v>64.349249999999998</v>
      </c>
      <c r="H67" s="596">
        <f t="shared" ca="1" si="7"/>
        <v>60.564000000000007</v>
      </c>
      <c r="I67" s="596">
        <f t="shared" ca="1" si="7"/>
        <v>45.423000000000002</v>
      </c>
      <c r="J67" s="596">
        <f t="shared" ca="1" si="7"/>
        <v>60.564000000000007</v>
      </c>
      <c r="K67" s="596">
        <f t="shared" ca="1" si="7"/>
        <v>71.919750000000008</v>
      </c>
      <c r="L67" s="596">
        <f t="shared" ca="1" si="7"/>
        <v>75.705000000000013</v>
      </c>
      <c r="M67" s="597">
        <f t="shared" ca="1" si="7"/>
        <v>90.846000000000004</v>
      </c>
      <c r="N67" s="594">
        <f t="shared" ca="1" si="6"/>
        <v>836.54025000000001</v>
      </c>
      <c r="O67" s="61"/>
    </row>
    <row r="68" spans="1:26">
      <c r="A68" s="1003" t="s">
        <v>892</v>
      </c>
      <c r="B68" s="1003">
        <f ca="1">SUM(B125:M125,B143:M143,B161:M161,B179:M179,B197:M197,B215:M215,B233:M233,B251:M251)</f>
        <v>0</v>
      </c>
    </row>
    <row r="69" spans="1:26" ht="15">
      <c r="A69" s="213"/>
    </row>
    <row r="70" spans="1:26" ht="18.75" thickBot="1">
      <c r="A70" s="1969" t="str">
        <f>'Distr CV 0'!A70</f>
        <v>Distribución de los costes de producción por meses de las unidades vendidas en el año</v>
      </c>
      <c r="I70" s="1969" t="str">
        <f>I$18</f>
        <v>IVA NO incluido</v>
      </c>
    </row>
    <row r="71" spans="1:26" s="445" customFormat="1" ht="32.25" customHeight="1" thickBot="1">
      <c r="A71" s="446" t="str">
        <f>A$19</f>
        <v>Costes producción</v>
      </c>
      <c r="B71" s="1987" t="str">
        <f t="array" ref="B71:M71">'Estimaciones Ventas'!B18:M18</f>
        <v>enero 
2027</v>
      </c>
      <c r="C71" s="1987" t="str">
        <v>febrero 
2027</v>
      </c>
      <c r="D71" s="1987" t="str">
        <v>marzo 
2027</v>
      </c>
      <c r="E71" s="1987" t="str">
        <v>abril 
2027</v>
      </c>
      <c r="F71" s="1987" t="str">
        <v>mayo 
2027</v>
      </c>
      <c r="G71" s="1987" t="str">
        <v>junio 
2027</v>
      </c>
      <c r="H71" s="1987" t="str">
        <v>julio 
2027</v>
      </c>
      <c r="I71" s="1987" t="str">
        <v>agosto 
2027</v>
      </c>
      <c r="J71" s="1987" t="str">
        <v>septiembre 
2027</v>
      </c>
      <c r="K71" s="1987" t="str">
        <v>octubre 
2027</v>
      </c>
      <c r="L71" s="1987" t="str">
        <v>noviembre 
2027</v>
      </c>
      <c r="M71" s="1987" t="str">
        <v>diciembre 
2027</v>
      </c>
      <c r="N71" s="2703" t="str">
        <f t="array" ref="N71:Y71">'Estimaciones Ventas'!B31:M31</f>
        <v>enero 
2028</v>
      </c>
      <c r="O71" s="2704" t="str">
        <v>febrero 
2028</v>
      </c>
      <c r="P71" s="2704" t="str">
        <v>marzo 
2028</v>
      </c>
      <c r="Q71" s="2704" t="str">
        <v>abril 
2028</v>
      </c>
      <c r="R71" s="2704" t="str">
        <v>mayo 
2028</v>
      </c>
      <c r="S71" s="2704" t="str">
        <v>junio 
2028</v>
      </c>
      <c r="T71" s="2704" t="str">
        <v>julio 
2028</v>
      </c>
      <c r="U71" s="2704" t="str">
        <v>agosto 
2028</v>
      </c>
      <c r="V71" s="2704" t="str">
        <v>septiembre 
2028</v>
      </c>
      <c r="W71" s="2704" t="str">
        <v>octubre 
2028</v>
      </c>
      <c r="X71" s="2704" t="str">
        <v>noviembre 
2028</v>
      </c>
      <c r="Y71" s="2705" t="str">
        <v>diciembre 
2028</v>
      </c>
      <c r="Z71" s="61"/>
    </row>
    <row r="72" spans="1:26" ht="15.75" customHeight="1">
      <c r="A72" s="1970" t="s">
        <v>862</v>
      </c>
      <c r="B72" s="1967"/>
      <c r="C72" s="1967"/>
      <c r="D72" s="1967"/>
      <c r="E72" s="1967"/>
      <c r="F72" s="1967"/>
      <c r="G72" s="1967"/>
      <c r="H72" s="1965">
        <v>0</v>
      </c>
      <c r="I72" s="1966">
        <v>0</v>
      </c>
      <c r="J72" s="1966">
        <v>0</v>
      </c>
      <c r="K72" s="1966">
        <v>0</v>
      </c>
      <c r="L72" s="1966">
        <v>0</v>
      </c>
      <c r="M72" s="1966">
        <v>0</v>
      </c>
      <c r="N72" s="588">
        <f t="array" aca="1" ref="N72" ca="1">SUM(B20:B27*Produccion!$N$8:$N$15)</f>
        <v>288.40000000000003</v>
      </c>
      <c r="O72" s="588">
        <f t="array" aca="1" ref="O72" ca="1">SUM(C20:C27*Produccion!$N$8:$N$15)</f>
        <v>360.50000000000006</v>
      </c>
      <c r="P72" s="588">
        <f t="array" aca="1" ref="P72" ca="1">SUM(D20:D27*Produccion!$N$8:$N$15)</f>
        <v>396.55</v>
      </c>
      <c r="Q72" s="588">
        <f t="array" aca="1" ref="Q72" ca="1">SUM(E20:E27*Produccion!$N$8:$N$15)</f>
        <v>378.52500000000003</v>
      </c>
      <c r="R72" s="588">
        <f t="array" aca="1" ref="R72" ca="1">SUM(F20:F27*Produccion!$N$8:$N$15)</f>
        <v>324.45000000000005</v>
      </c>
      <c r="S72" s="588">
        <f t="array" aca="1" ref="S72" ca="1">SUM(G20:G27*Produccion!$N$8:$N$15)</f>
        <v>306.42500000000001</v>
      </c>
      <c r="T72" s="588">
        <f t="array" aca="1" ref="T72" ca="1">SUM(H20:H27*Produccion!$N$8:$N$15)</f>
        <v>288.40000000000003</v>
      </c>
      <c r="U72" s="588">
        <f t="array" aca="1" ref="U72" ca="1">SUM(I20:I27*Produccion!$N$8:$N$15)</f>
        <v>216.3</v>
      </c>
      <c r="V72" s="588">
        <f t="array" aca="1" ref="V72" ca="1">SUM(J20:J27*Produccion!$N$8:$N$15)</f>
        <v>288.40000000000003</v>
      </c>
      <c r="W72" s="588">
        <f t="array" aca="1" ref="W72" ca="1">SUM(K20:K27*Produccion!$N$8:$N$15)</f>
        <v>342.47500000000002</v>
      </c>
      <c r="X72" s="588">
        <f t="array" aca="1" ref="X72" ca="1">SUM(L20:L27*Produccion!$N$8:$N$15)</f>
        <v>360.50000000000006</v>
      </c>
      <c r="Y72" s="1985">
        <f t="array" aca="1" ref="Y72" ca="1">SUM(M20:M27*Produccion!$N$8:$N$15)</f>
        <v>432.6</v>
      </c>
    </row>
    <row r="73" spans="1:26" ht="15.75" customHeight="1">
      <c r="A73" s="1971" t="s">
        <v>864</v>
      </c>
      <c r="B73" s="1967"/>
      <c r="C73" s="1967"/>
      <c r="D73" s="1967"/>
      <c r="E73" s="1967"/>
      <c r="F73" s="1967"/>
      <c r="G73" s="1967"/>
      <c r="H73" s="1967"/>
      <c r="I73" s="1964"/>
      <c r="J73" s="1964"/>
      <c r="K73" s="1964"/>
      <c r="L73" s="1964"/>
      <c r="M73" s="590">
        <f t="array" aca="1" ref="M73" ca="1">SUM(B20:B27*Produccion!$M$8:$M$15)</f>
        <v>0</v>
      </c>
      <c r="N73" s="590">
        <f t="array" aca="1" ref="N73" ca="1">SUM(C20:C27*Produccion!$M$8:$M$15)</f>
        <v>0</v>
      </c>
      <c r="O73" s="590">
        <f t="array" aca="1" ref="O73" ca="1">SUM(D20:D27*Produccion!$M$8:$M$15)</f>
        <v>0</v>
      </c>
      <c r="P73" s="590">
        <f t="array" aca="1" ref="P73" ca="1">SUM(E20:E27*Produccion!$M$8:$M$15)</f>
        <v>0</v>
      </c>
      <c r="Q73" s="590">
        <f t="array" aca="1" ref="Q73" ca="1">SUM(F20:F27*Produccion!$M$8:$M$15)</f>
        <v>0</v>
      </c>
      <c r="R73" s="590">
        <f t="array" aca="1" ref="R73" ca="1">SUM(G20:G27*Produccion!$M$8:$M$15)</f>
        <v>0</v>
      </c>
      <c r="S73" s="590">
        <f t="array" aca="1" ref="S73" ca="1">SUM(H20:H27*Produccion!$M$8:$M$15)</f>
        <v>0</v>
      </c>
      <c r="T73" s="590">
        <f t="array" aca="1" ref="T73" ca="1">SUM(I20:I27*Produccion!$M$8:$M$15)</f>
        <v>0</v>
      </c>
      <c r="U73" s="590">
        <f t="array" aca="1" ref="U73" ca="1">SUM(J20:J27*Produccion!$M$8:$M$15)</f>
        <v>0</v>
      </c>
      <c r="V73" s="590">
        <f t="array" aca="1" ref="V73" ca="1">SUM(K20:K27*Produccion!$M$8:$M$15)</f>
        <v>0</v>
      </c>
      <c r="W73" s="590">
        <f t="array" aca="1" ref="W73" ca="1">SUM(L20:L27*Produccion!$M$8:$M$15)</f>
        <v>0</v>
      </c>
      <c r="X73" s="590">
        <f t="array" aca="1" ref="X73" ca="1">SUM(M20:M27*Produccion!$M$8:$M$15)</f>
        <v>0</v>
      </c>
      <c r="Y73" s="1983">
        <f t="array" aca="1" ref="Y73:Y84" ca="1">'Distr CV 3'!M73:M84</f>
        <v>0</v>
      </c>
    </row>
    <row r="74" spans="1:26" ht="15.75" customHeight="1">
      <c r="A74" s="1971" t="s">
        <v>865</v>
      </c>
      <c r="B74" s="1967"/>
      <c r="C74" s="1967"/>
      <c r="D74" s="1967"/>
      <c r="E74" s="1967"/>
      <c r="F74" s="1967"/>
      <c r="G74" s="1967"/>
      <c r="H74" s="1967"/>
      <c r="I74" s="1964"/>
      <c r="J74" s="1964"/>
      <c r="K74" s="1964"/>
      <c r="L74" s="590">
        <f t="array" aca="1" ref="L74" ca="1">SUM(B20:B27*Produccion!$L$8:$L$15)</f>
        <v>0</v>
      </c>
      <c r="M74" s="590">
        <f t="array" aca="1" ref="M74" ca="1">SUM(C20:C27*Produccion!$L$8:$L$15)</f>
        <v>0</v>
      </c>
      <c r="N74" s="590">
        <f t="array" aca="1" ref="N74" ca="1">SUM(D20:D27*Produccion!$L$8:$L$15)</f>
        <v>0</v>
      </c>
      <c r="O74" s="590">
        <f t="array" aca="1" ref="O74" ca="1">SUM(E20:E27*Produccion!$L$8:$L$15)</f>
        <v>0</v>
      </c>
      <c r="P74" s="590">
        <f t="array" aca="1" ref="P74" ca="1">SUM(F20:F27*Produccion!$L$8:$L$15)</f>
        <v>0</v>
      </c>
      <c r="Q74" s="590">
        <f t="array" aca="1" ref="Q74" ca="1">SUM(G20:G27*Produccion!$L$8:$L$15)</f>
        <v>0</v>
      </c>
      <c r="R74" s="590">
        <f t="array" aca="1" ref="R74" ca="1">SUM(H20:H27*Produccion!$L$8:$L$15)</f>
        <v>0</v>
      </c>
      <c r="S74" s="590">
        <f t="array" aca="1" ref="S74" ca="1">SUM(I20:I27*Produccion!$L$8:$L$15)</f>
        <v>0</v>
      </c>
      <c r="T74" s="590">
        <f t="array" aca="1" ref="T74" ca="1">SUM(J20:J27*Produccion!$L$8:$L$15)</f>
        <v>0</v>
      </c>
      <c r="U74" s="590">
        <f t="array" aca="1" ref="U74" ca="1">SUM(K20:K27*Produccion!$L$8:$L$15)</f>
        <v>0</v>
      </c>
      <c r="V74" s="590">
        <f t="array" aca="1" ref="V74" ca="1">SUM(L20:L27*Produccion!$L$8:$L$15)</f>
        <v>0</v>
      </c>
      <c r="W74" s="590">
        <f t="array" aca="1" ref="W74" ca="1">SUM(M20:M27*Produccion!$L$8:$L$15)</f>
        <v>0</v>
      </c>
      <c r="X74" s="1964">
        <f t="array" aca="1" ref="X74:X84" ca="1">'Distr CV 3'!L74:L84</f>
        <v>0</v>
      </c>
      <c r="Y74" s="1983">
        <f ca="1"/>
        <v>0</v>
      </c>
    </row>
    <row r="75" spans="1:26" ht="15.75" customHeight="1">
      <c r="A75" s="1971" t="s">
        <v>866</v>
      </c>
      <c r="B75" s="1967"/>
      <c r="C75" s="1967"/>
      <c r="D75" s="1967"/>
      <c r="E75" s="1967"/>
      <c r="F75" s="1967"/>
      <c r="G75" s="1967"/>
      <c r="H75" s="1967"/>
      <c r="I75" s="1964"/>
      <c r="J75" s="1964"/>
      <c r="K75" s="590">
        <f t="array" aca="1" ref="K75" ca="1">SUM(B20:B27*Produccion!$K$8:$K$15)</f>
        <v>0</v>
      </c>
      <c r="L75" s="590">
        <f t="array" aca="1" ref="L75" ca="1">SUM(C20:C27*Produccion!$K$8:$K$15)</f>
        <v>0</v>
      </c>
      <c r="M75" s="590">
        <f t="array" aca="1" ref="M75" ca="1">SUM(D20:D27*Produccion!$K$8:$K$15)</f>
        <v>0</v>
      </c>
      <c r="N75" s="590">
        <f t="array" aca="1" ref="N75" ca="1">SUM(E20:E27*Produccion!$K$8:$K$15)</f>
        <v>0</v>
      </c>
      <c r="O75" s="590">
        <f t="array" aca="1" ref="O75" ca="1">SUM(F20:F27*Produccion!$K$8:$K$15)</f>
        <v>0</v>
      </c>
      <c r="P75" s="590">
        <f t="array" aca="1" ref="P75" ca="1">SUM(G20:G27*Produccion!$K$8:$K$15)</f>
        <v>0</v>
      </c>
      <c r="Q75" s="590">
        <f t="array" aca="1" ref="Q75" ca="1">SUM(H20:H27*Produccion!$K$8:$K$15)</f>
        <v>0</v>
      </c>
      <c r="R75" s="590">
        <f t="array" aca="1" ref="R75" ca="1">SUM(I20:I27*Produccion!$K$8:$K$15)</f>
        <v>0</v>
      </c>
      <c r="S75" s="590">
        <f t="array" aca="1" ref="S75" ca="1">SUM(J20:J27*Produccion!$K$8:$K$15)</f>
        <v>0</v>
      </c>
      <c r="T75" s="590">
        <f t="array" aca="1" ref="T75" ca="1">SUM(K20:K27*Produccion!$K$8:$K$15)</f>
        <v>0</v>
      </c>
      <c r="U75" s="590">
        <f t="array" aca="1" ref="U75" ca="1">SUM(L20:L27*Produccion!$K$8:$K$15)</f>
        <v>0</v>
      </c>
      <c r="V75" s="590">
        <f t="array" aca="1" ref="V75" ca="1">SUM(M20:M27*Produccion!$K$8:$K$15)</f>
        <v>0</v>
      </c>
      <c r="W75" s="1964">
        <f t="array" aca="1" ref="W75:W84" ca="1">'Distr CV 3'!K75:K84</f>
        <v>0</v>
      </c>
      <c r="X75" s="1964">
        <f ca="1"/>
        <v>0</v>
      </c>
      <c r="Y75" s="1983">
        <f ca="1"/>
        <v>0</v>
      </c>
    </row>
    <row r="76" spans="1:26" ht="15.75" customHeight="1">
      <c r="A76" s="1971" t="s">
        <v>867</v>
      </c>
      <c r="B76" s="1967"/>
      <c r="C76" s="1967"/>
      <c r="D76" s="1967"/>
      <c r="E76" s="1967"/>
      <c r="F76" s="1967"/>
      <c r="G76" s="1967"/>
      <c r="H76" s="1967"/>
      <c r="I76" s="1964"/>
      <c r="J76" s="590">
        <f t="array" aca="1" ref="J76" ca="1">SUM(B20:B27*Produccion!$J$8:$J$15)</f>
        <v>0</v>
      </c>
      <c r="K76" s="590">
        <f t="array" aca="1" ref="K76" ca="1">SUM(C20:C27*Produccion!$J$8:$J$15)</f>
        <v>0</v>
      </c>
      <c r="L76" s="590">
        <f t="array" aca="1" ref="L76" ca="1">SUM(D20:D27*Produccion!$J$8:$J$15)</f>
        <v>0</v>
      </c>
      <c r="M76" s="590">
        <f t="array" aca="1" ref="M76" ca="1">SUM(E20:E27*Produccion!$J$8:$J$15)</f>
        <v>0</v>
      </c>
      <c r="N76" s="590">
        <f t="array" aca="1" ref="N76" ca="1">SUM(F20:F27*Produccion!$J$8:$J$15)</f>
        <v>0</v>
      </c>
      <c r="O76" s="590">
        <f t="array" aca="1" ref="O76" ca="1">SUM(G20:G27*Produccion!$J$8:$J$15)</f>
        <v>0</v>
      </c>
      <c r="P76" s="590">
        <f t="array" aca="1" ref="P76" ca="1">SUM(H20:H27*Produccion!$J$8:$J$15)</f>
        <v>0</v>
      </c>
      <c r="Q76" s="590">
        <f t="array" aca="1" ref="Q76" ca="1">SUM(I20:I27*Produccion!$J$8:$J$15)</f>
        <v>0</v>
      </c>
      <c r="R76" s="590">
        <f t="array" aca="1" ref="R76" ca="1">SUM(J20:J27*Produccion!$J$8:$J$15)</f>
        <v>0</v>
      </c>
      <c r="S76" s="590">
        <f t="array" aca="1" ref="S76" ca="1">SUM(K20:K27*Produccion!$J$8:$J$15)</f>
        <v>0</v>
      </c>
      <c r="T76" s="590">
        <f t="array" aca="1" ref="T76" ca="1">SUM(L20:L27*Produccion!$J$8:$J$15)</f>
        <v>0</v>
      </c>
      <c r="U76" s="590">
        <f t="array" aca="1" ref="U76" ca="1">SUM(M20:M27*Produccion!$J$8:$J$15)</f>
        <v>0</v>
      </c>
      <c r="V76" s="1964">
        <f t="array" aca="1" ref="V76:V84" ca="1">'Distr CV 3'!J76:J84</f>
        <v>0</v>
      </c>
      <c r="W76" s="1964">
        <f ca="1"/>
        <v>0</v>
      </c>
      <c r="X76" s="1964">
        <f ca="1"/>
        <v>0</v>
      </c>
      <c r="Y76" s="1983">
        <f ca="1"/>
        <v>0</v>
      </c>
    </row>
    <row r="77" spans="1:26" ht="15.75" customHeight="1">
      <c r="A77" s="1971" t="s">
        <v>868</v>
      </c>
      <c r="B77" s="1967"/>
      <c r="C77" s="1967"/>
      <c r="D77" s="1967"/>
      <c r="E77" s="1967"/>
      <c r="F77" s="1967"/>
      <c r="G77" s="1967"/>
      <c r="H77" s="1967"/>
      <c r="I77" s="590">
        <f t="array" aca="1" ref="I77" ca="1">SUM(B20:B27*Produccion!$I$8:$I$15)</f>
        <v>0</v>
      </c>
      <c r="J77" s="590">
        <f t="array" aca="1" ref="J77" ca="1">SUM(C20:C27*Produccion!$I$8:$I$15)</f>
        <v>0</v>
      </c>
      <c r="K77" s="590">
        <f t="array" aca="1" ref="K77" ca="1">SUM(D20:D27*Produccion!$I$8:$I$15)</f>
        <v>0</v>
      </c>
      <c r="L77" s="590">
        <f t="array" aca="1" ref="L77" ca="1">SUM(E20:E27*Produccion!$I$8:$I$15)</f>
        <v>0</v>
      </c>
      <c r="M77" s="590">
        <f t="array" aca="1" ref="M77" ca="1">SUM(F20:F27*Produccion!$I$8:$I$15)</f>
        <v>0</v>
      </c>
      <c r="N77" s="590">
        <f t="array" aca="1" ref="N77" ca="1">SUM(G20:G27*Produccion!$I$8:$I$15)</f>
        <v>0</v>
      </c>
      <c r="O77" s="590">
        <f t="array" aca="1" ref="O77" ca="1">SUM(H20:H27*Produccion!$I$8:$I$15)</f>
        <v>0</v>
      </c>
      <c r="P77" s="590">
        <f t="array" aca="1" ref="P77" ca="1">SUM(I20:I27*Produccion!$I$8:$I$15)</f>
        <v>0</v>
      </c>
      <c r="Q77" s="590">
        <f t="array" aca="1" ref="Q77" ca="1">SUM(J20:J27*Produccion!$I$8:$I$15)</f>
        <v>0</v>
      </c>
      <c r="R77" s="590">
        <f t="array" aca="1" ref="R77" ca="1">SUM(K20:K27*Produccion!$I$8:$I$15)</f>
        <v>0</v>
      </c>
      <c r="S77" s="590">
        <f t="array" aca="1" ref="S77" ca="1">SUM(L20:L27*Produccion!$I$8:$I$15)</f>
        <v>0</v>
      </c>
      <c r="T77" s="590">
        <f t="array" aca="1" ref="T77" ca="1">SUM(M20:M27*Produccion!$I$8:$I$15)</f>
        <v>0</v>
      </c>
      <c r="U77" s="1964">
        <f t="array" aca="1" ref="U77:U84" ca="1">'Distr CV 3'!I77:I84</f>
        <v>0</v>
      </c>
      <c r="V77" s="1964">
        <f ca="1"/>
        <v>0</v>
      </c>
      <c r="W77" s="1964">
        <f ca="1"/>
        <v>0</v>
      </c>
      <c r="X77" s="1964">
        <f ca="1"/>
        <v>0</v>
      </c>
      <c r="Y77" s="1983">
        <f ca="1"/>
        <v>0</v>
      </c>
    </row>
    <row r="78" spans="1:26" ht="15.75" customHeight="1">
      <c r="A78" s="1971" t="s">
        <v>869</v>
      </c>
      <c r="B78" s="1967"/>
      <c r="C78" s="1967"/>
      <c r="D78" s="1967"/>
      <c r="E78" s="1967"/>
      <c r="F78" s="1967"/>
      <c r="G78" s="1967"/>
      <c r="H78" s="590">
        <f t="array" aca="1" ref="H78" ca="1">SUM(B20:B27*Produccion!$H$8:$H$15)</f>
        <v>0</v>
      </c>
      <c r="I78" s="590">
        <f t="array" aca="1" ref="I78" ca="1">SUM(C20:C27*Produccion!$H$8:$H$15)</f>
        <v>0</v>
      </c>
      <c r="J78" s="590">
        <f t="array" aca="1" ref="J78" ca="1">SUM(D20:D27*Produccion!$H$8:$H$15)</f>
        <v>0</v>
      </c>
      <c r="K78" s="590">
        <f t="array" aca="1" ref="K78" ca="1">SUM(E20:E27*Produccion!$H$8:$H$15)</f>
        <v>0</v>
      </c>
      <c r="L78" s="590">
        <f t="array" aca="1" ref="L78" ca="1">SUM(F20:F27*Produccion!$H$8:$H$15)</f>
        <v>0</v>
      </c>
      <c r="M78" s="590">
        <f t="array" aca="1" ref="M78" ca="1">SUM(G20:G27*Produccion!$H$8:$H$15)</f>
        <v>0</v>
      </c>
      <c r="N78" s="590">
        <f t="array" aca="1" ref="N78" ca="1">SUM(H20:H27*Produccion!$H$8:$H$15)</f>
        <v>0</v>
      </c>
      <c r="O78" s="590">
        <f t="array" aca="1" ref="O78" ca="1">SUM(I20:I27*Produccion!$H$8:$H$15)</f>
        <v>0</v>
      </c>
      <c r="P78" s="590">
        <f t="array" aca="1" ref="P78" ca="1">SUM(J20:J27*Produccion!$H$8:$H$15)</f>
        <v>0</v>
      </c>
      <c r="Q78" s="590">
        <f t="array" aca="1" ref="Q78" ca="1">SUM(K20:K27*Produccion!$H$8:$H$15)</f>
        <v>0</v>
      </c>
      <c r="R78" s="590">
        <f t="array" aca="1" ref="R78" ca="1">SUM(L20:L27*Produccion!$H$8:$H$15)</f>
        <v>0</v>
      </c>
      <c r="S78" s="590">
        <f t="array" aca="1" ref="S78" ca="1">SUM(M20:M27*Produccion!$H$8:$H$15)</f>
        <v>0</v>
      </c>
      <c r="T78" s="1964">
        <f t="array" aca="1" ref="T78:T84" ca="1">'Distr CV 3'!H78:H84</f>
        <v>0</v>
      </c>
      <c r="U78" s="1964">
        <f ca="1"/>
        <v>0</v>
      </c>
      <c r="V78" s="1964">
        <f ca="1"/>
        <v>0</v>
      </c>
      <c r="W78" s="1964">
        <f ca="1"/>
        <v>0</v>
      </c>
      <c r="X78" s="1964">
        <f ca="1"/>
        <v>0</v>
      </c>
      <c r="Y78" s="1983">
        <f ca="1"/>
        <v>0</v>
      </c>
    </row>
    <row r="79" spans="1:26" ht="15.75" customHeight="1">
      <c r="A79" s="1971" t="s">
        <v>870</v>
      </c>
      <c r="B79" s="1967"/>
      <c r="C79" s="1967"/>
      <c r="D79" s="1967"/>
      <c r="E79" s="1967"/>
      <c r="F79" s="1967"/>
      <c r="G79" s="592">
        <f t="array" aca="1" ref="G79" ca="1">SUM(B20:B27*Produccion!$G$8:$G$15)</f>
        <v>0</v>
      </c>
      <c r="H79" s="592">
        <f t="array" aca="1" ref="H79" ca="1">SUM(C20:C27*Produccion!$G$8:$G$15)</f>
        <v>0</v>
      </c>
      <c r="I79" s="592">
        <f t="array" aca="1" ref="I79" ca="1">SUM(D20:D27*Produccion!$G$8:$G$15)</f>
        <v>0</v>
      </c>
      <c r="J79" s="592">
        <f t="array" aca="1" ref="J79" ca="1">SUM(E20:E27*Produccion!$G$8:$G$15)</f>
        <v>0</v>
      </c>
      <c r="K79" s="592">
        <f t="array" aca="1" ref="K79" ca="1">SUM(F20:F27*Produccion!$G$8:$G$15)</f>
        <v>0</v>
      </c>
      <c r="L79" s="592">
        <f t="array" aca="1" ref="L79" ca="1">SUM(G20:G27*Produccion!$G$8:$G$15)</f>
        <v>0</v>
      </c>
      <c r="M79" s="592">
        <f t="array" aca="1" ref="M79" ca="1">SUM(H20:H27*Produccion!$G$8:$G$15)</f>
        <v>0</v>
      </c>
      <c r="N79" s="592">
        <f t="array" aca="1" ref="N79" ca="1">SUM(I20:I27*Produccion!$G$8:$G$15)</f>
        <v>0</v>
      </c>
      <c r="O79" s="592">
        <f t="array" aca="1" ref="O79" ca="1">SUM(J20:J27*Produccion!$G$8:$G$15)</f>
        <v>0</v>
      </c>
      <c r="P79" s="592">
        <f t="array" aca="1" ref="P79" ca="1">SUM(K20:K27*Produccion!$G$8:$G$15)</f>
        <v>0</v>
      </c>
      <c r="Q79" s="592">
        <f t="array" aca="1" ref="Q79" ca="1">SUM(L20:L27*Produccion!$G$8:$G$15)</f>
        <v>0</v>
      </c>
      <c r="R79" s="592">
        <f t="array" aca="1" ref="R79" ca="1">SUM(M20:M27*Produccion!$G$8:$G$15)</f>
        <v>0</v>
      </c>
      <c r="S79" s="1968">
        <f t="array" aca="1" ref="S79:S84" ca="1">'Distr CV 3'!G79:G84</f>
        <v>0</v>
      </c>
      <c r="T79" s="1968">
        <f ca="1"/>
        <v>0</v>
      </c>
      <c r="U79" s="1968">
        <f ca="1"/>
        <v>0</v>
      </c>
      <c r="V79" s="1968">
        <f ca="1"/>
        <v>0</v>
      </c>
      <c r="W79" s="1968">
        <f ca="1"/>
        <v>0</v>
      </c>
      <c r="X79" s="1968">
        <f ca="1"/>
        <v>0</v>
      </c>
      <c r="Y79" s="1986">
        <f ca="1"/>
        <v>0</v>
      </c>
    </row>
    <row r="80" spans="1:26" ht="15.75" customHeight="1">
      <c r="A80" s="1971" t="s">
        <v>871</v>
      </c>
      <c r="B80" s="1967"/>
      <c r="C80" s="1967"/>
      <c r="D80" s="1967"/>
      <c r="E80" s="1967"/>
      <c r="F80" s="592">
        <f t="array" aca="1" ref="F80" ca="1">SUM(B20:B27*Produccion!$F$8:$F$15)</f>
        <v>0</v>
      </c>
      <c r="G80" s="592">
        <f t="array" aca="1" ref="G80" ca="1">SUM(C20:C27*Produccion!$F$8:$F$15)</f>
        <v>0</v>
      </c>
      <c r="H80" s="592">
        <f t="array" aca="1" ref="H80" ca="1">SUM(D20:D27*Produccion!$F$8:$F$15)</f>
        <v>0</v>
      </c>
      <c r="I80" s="592">
        <f t="array" aca="1" ref="I80" ca="1">SUM(E20:E27*Produccion!$F$8:$F$15)</f>
        <v>0</v>
      </c>
      <c r="J80" s="592">
        <f t="array" aca="1" ref="J80" ca="1">SUM(F20:F27*Produccion!$F$8:$F$15)</f>
        <v>0</v>
      </c>
      <c r="K80" s="592">
        <f t="array" aca="1" ref="K80" ca="1">SUM(G20:G27*Produccion!$F$8:$F$15)</f>
        <v>0</v>
      </c>
      <c r="L80" s="592">
        <f t="array" aca="1" ref="L80" ca="1">SUM(H20:H27*Produccion!$F$8:$F$15)</f>
        <v>0</v>
      </c>
      <c r="M80" s="592">
        <f t="array" aca="1" ref="M80" ca="1">SUM(I20:I27*Produccion!$F$8:$F$15)</f>
        <v>0</v>
      </c>
      <c r="N80" s="592">
        <f t="array" aca="1" ref="N80" ca="1">SUM(J20:J27*Produccion!$F$8:$F$15)</f>
        <v>0</v>
      </c>
      <c r="O80" s="592">
        <f t="array" aca="1" ref="O80" ca="1">SUM(K20:K27*Produccion!$F$8:$F$15)</f>
        <v>0</v>
      </c>
      <c r="P80" s="592">
        <f t="array" aca="1" ref="P80" ca="1">SUM(L20:L27*Produccion!$F$8:$F$15)</f>
        <v>0</v>
      </c>
      <c r="Q80" s="592">
        <f t="array" aca="1" ref="Q80" ca="1">SUM(M20:M27*Produccion!$F$8:$F$15)</f>
        <v>0</v>
      </c>
      <c r="R80" s="1968">
        <f t="array" aca="1" ref="R80:R84" ca="1">'Distr CV 3'!F80:F84</f>
        <v>0</v>
      </c>
      <c r="S80" s="1968">
        <f ca="1"/>
        <v>0</v>
      </c>
      <c r="T80" s="1968">
        <f ca="1"/>
        <v>0</v>
      </c>
      <c r="U80" s="1968">
        <f ca="1"/>
        <v>0</v>
      </c>
      <c r="V80" s="1968">
        <f ca="1"/>
        <v>0</v>
      </c>
      <c r="W80" s="1968">
        <f ca="1"/>
        <v>0</v>
      </c>
      <c r="X80" s="1968">
        <f ca="1"/>
        <v>0</v>
      </c>
      <c r="Y80" s="1986">
        <f ca="1"/>
        <v>0</v>
      </c>
    </row>
    <row r="81" spans="1:26" ht="15.75" customHeight="1">
      <c r="A81" s="1971" t="s">
        <v>872</v>
      </c>
      <c r="B81" s="1967"/>
      <c r="C81" s="1967"/>
      <c r="D81" s="1967"/>
      <c r="E81" s="592">
        <f t="array" aca="1" ref="E81" ca="1">SUM(B20:B27*Produccion!$E$8:$E$15)</f>
        <v>0</v>
      </c>
      <c r="F81" s="592">
        <f t="array" aca="1" ref="F81" ca="1">SUM(C20:C27*Produccion!$E$8:$E$15)</f>
        <v>0</v>
      </c>
      <c r="G81" s="592">
        <f t="array" aca="1" ref="G81" ca="1">SUM(D20:D27*Produccion!$E$8:$E$15)</f>
        <v>0</v>
      </c>
      <c r="H81" s="592">
        <f t="array" aca="1" ref="H81" ca="1">SUM(E20:E27*Produccion!$E$8:$E$15)</f>
        <v>0</v>
      </c>
      <c r="I81" s="592">
        <f t="array" aca="1" ref="I81" ca="1">SUM(F20:F27*Produccion!$E$8:$E$15)</f>
        <v>0</v>
      </c>
      <c r="J81" s="592">
        <f t="array" aca="1" ref="J81" ca="1">SUM(G20:G27*Produccion!$E$8:$E$15)</f>
        <v>0</v>
      </c>
      <c r="K81" s="592">
        <f t="array" aca="1" ref="K81" ca="1">SUM(H20:H27*Produccion!$E$8:$E$15)</f>
        <v>0</v>
      </c>
      <c r="L81" s="592">
        <f t="array" aca="1" ref="L81" ca="1">SUM(I20:I27*Produccion!$E$8:$E$15)</f>
        <v>0</v>
      </c>
      <c r="M81" s="592">
        <f t="array" aca="1" ref="M81" ca="1">SUM(J20:J27*Produccion!$E$8:$E$15)</f>
        <v>0</v>
      </c>
      <c r="N81" s="592">
        <f t="array" aca="1" ref="N81" ca="1">SUM(K20:K27*Produccion!$E$8:$E$15)</f>
        <v>0</v>
      </c>
      <c r="O81" s="592">
        <f t="array" aca="1" ref="O81" ca="1">SUM(L20:L27*Produccion!$E$8:$E$15)</f>
        <v>0</v>
      </c>
      <c r="P81" s="592">
        <f t="array" aca="1" ref="P81" ca="1">SUM(M20:M27*Produccion!$E$8:$E$15)</f>
        <v>0</v>
      </c>
      <c r="Q81" s="1968">
        <f t="array" aca="1" ref="Q81:Q84" ca="1">'Distr CV 3'!E81:E84</f>
        <v>0</v>
      </c>
      <c r="R81" s="1968">
        <f ca="1"/>
        <v>0</v>
      </c>
      <c r="S81" s="1968">
        <f ca="1"/>
        <v>0</v>
      </c>
      <c r="T81" s="1968">
        <f ca="1"/>
        <v>0</v>
      </c>
      <c r="U81" s="1968">
        <f ca="1"/>
        <v>0</v>
      </c>
      <c r="V81" s="1968">
        <f ca="1"/>
        <v>0</v>
      </c>
      <c r="W81" s="1968">
        <f ca="1"/>
        <v>0</v>
      </c>
      <c r="X81" s="1968">
        <f ca="1"/>
        <v>0</v>
      </c>
      <c r="Y81" s="1986">
        <f ca="1"/>
        <v>0</v>
      </c>
    </row>
    <row r="82" spans="1:26" ht="15.75" customHeight="1">
      <c r="A82" s="1971" t="s">
        <v>873</v>
      </c>
      <c r="B82" s="1967"/>
      <c r="C82" s="1967"/>
      <c r="D82" s="591">
        <f t="array" aca="1" ref="D82" ca="1">SUM(B20:B27*Produccion!$D$8:$D$15)</f>
        <v>0</v>
      </c>
      <c r="E82" s="591">
        <f t="array" aca="1" ref="E82" ca="1">SUM(C20:C27*Produccion!$D$8:$D$15)</f>
        <v>0</v>
      </c>
      <c r="F82" s="591">
        <f t="array" aca="1" ref="F82" ca="1">SUM(D20:D27*Produccion!$D$8:$D$15)</f>
        <v>0</v>
      </c>
      <c r="G82" s="591">
        <f t="array" aca="1" ref="G82" ca="1">SUM(E20:E27*Produccion!$D$8:$D$15)</f>
        <v>0</v>
      </c>
      <c r="H82" s="591">
        <f t="array" aca="1" ref="H82" ca="1">SUM(F20:F27*Produccion!$D$8:$D$15)</f>
        <v>0</v>
      </c>
      <c r="I82" s="591">
        <f t="array" aca="1" ref="I82" ca="1">SUM(G20:G27*Produccion!$D$8:$D$15)</f>
        <v>0</v>
      </c>
      <c r="J82" s="591">
        <f t="array" aca="1" ref="J82" ca="1">SUM(H20:H27*Produccion!$D$8:$D$15)</f>
        <v>0</v>
      </c>
      <c r="K82" s="591">
        <f t="array" aca="1" ref="K82" ca="1">SUM(I20:I27*Produccion!$D$8:$D$15)</f>
        <v>0</v>
      </c>
      <c r="L82" s="591">
        <f t="array" aca="1" ref="L82" ca="1">SUM(J20:J27*Produccion!$D$8:$D$15)</f>
        <v>0</v>
      </c>
      <c r="M82" s="591">
        <f t="array" aca="1" ref="M82" ca="1">SUM(K20:K27*Produccion!$D$8:$D$15)</f>
        <v>0</v>
      </c>
      <c r="N82" s="591">
        <f t="array" aca="1" ref="N82" ca="1">SUM(L20:L27*Produccion!$D$8:$D$15)</f>
        <v>0</v>
      </c>
      <c r="O82" s="591">
        <f t="array" aca="1" ref="O82" ca="1">SUM(M20:M27*Produccion!$D$8:$D$15)</f>
        <v>0</v>
      </c>
      <c r="P82" s="1968">
        <f t="array" aca="1" ref="P82:P84" ca="1">'Distr CV 3'!D82:D84</f>
        <v>0</v>
      </c>
      <c r="Q82" s="1968">
        <f ca="1"/>
        <v>0</v>
      </c>
      <c r="R82" s="1968">
        <f ca="1"/>
        <v>0</v>
      </c>
      <c r="S82" s="1968">
        <f ca="1"/>
        <v>0</v>
      </c>
      <c r="T82" s="1968">
        <f ca="1"/>
        <v>0</v>
      </c>
      <c r="U82" s="1968">
        <f ca="1"/>
        <v>0</v>
      </c>
      <c r="V82" s="1968">
        <f ca="1"/>
        <v>0</v>
      </c>
      <c r="W82" s="1968">
        <f ca="1"/>
        <v>0</v>
      </c>
      <c r="X82" s="1968">
        <f ca="1"/>
        <v>0</v>
      </c>
      <c r="Y82" s="1986">
        <f ca="1"/>
        <v>0</v>
      </c>
    </row>
    <row r="83" spans="1:26" ht="15.75" customHeight="1">
      <c r="A83" s="1971" t="s">
        <v>874</v>
      </c>
      <c r="B83" s="1967"/>
      <c r="C83" s="592">
        <f t="array" aca="1" ref="C83" ca="1">SUM(B20:B27*Produccion!$C$8:$C$15)</f>
        <v>0</v>
      </c>
      <c r="D83" s="592">
        <f t="array" aca="1" ref="D83" ca="1">SUM(C20:C27*Produccion!$C$8:$C$15)</f>
        <v>0</v>
      </c>
      <c r="E83" s="592">
        <f t="array" aca="1" ref="E83" ca="1">SUM(D20:D27*Produccion!$C$8:$C$15)</f>
        <v>0</v>
      </c>
      <c r="F83" s="592">
        <f t="array" aca="1" ref="F83" ca="1">SUM(E20:E27*Produccion!$C$8:$C$15)</f>
        <v>0</v>
      </c>
      <c r="G83" s="592">
        <f t="array" aca="1" ref="G83" ca="1">SUM(F20:F27*Produccion!$C$8:$C$15)</f>
        <v>0</v>
      </c>
      <c r="H83" s="592">
        <f t="array" aca="1" ref="H83" ca="1">SUM(G20:G27*Produccion!$C$8:$C$15)</f>
        <v>0</v>
      </c>
      <c r="I83" s="592">
        <f t="array" aca="1" ref="I83" ca="1">SUM(H20:H27*Produccion!$C$8:$C$15)</f>
        <v>0</v>
      </c>
      <c r="J83" s="592">
        <f t="array" aca="1" ref="J83" ca="1">SUM(I20:I27*Produccion!$C$8:$C$15)</f>
        <v>0</v>
      </c>
      <c r="K83" s="592">
        <f t="array" aca="1" ref="K83" ca="1">SUM(J20:J27*Produccion!$C$8:$C$15)</f>
        <v>0</v>
      </c>
      <c r="L83" s="592">
        <f t="array" aca="1" ref="L83" ca="1">SUM(K20:K27*Produccion!$C$8:$C$15)</f>
        <v>0</v>
      </c>
      <c r="M83" s="592">
        <f t="array" aca="1" ref="M83" ca="1">SUM(L20:L27*Produccion!$C$8:$C$15)</f>
        <v>0</v>
      </c>
      <c r="N83" s="592">
        <f t="array" aca="1" ref="N83" ca="1">SUM(M20:M27*Produccion!$C$8:$C$15)</f>
        <v>0</v>
      </c>
      <c r="O83" s="1968">
        <f t="array" aca="1" ref="O83:O84" ca="1">'Distr CV 3'!C83:C84</f>
        <v>0</v>
      </c>
      <c r="P83" s="1968">
        <f ca="1"/>
        <v>0</v>
      </c>
      <c r="Q83" s="1968">
        <f ca="1"/>
        <v>0</v>
      </c>
      <c r="R83" s="1968">
        <f ca="1"/>
        <v>0</v>
      </c>
      <c r="S83" s="1968">
        <f ca="1"/>
        <v>0</v>
      </c>
      <c r="T83" s="1968">
        <f ca="1"/>
        <v>0</v>
      </c>
      <c r="U83" s="1968">
        <f ca="1"/>
        <v>0</v>
      </c>
      <c r="V83" s="1968">
        <f ca="1"/>
        <v>0</v>
      </c>
      <c r="W83" s="1968">
        <f ca="1"/>
        <v>0</v>
      </c>
      <c r="X83" s="1968">
        <f ca="1"/>
        <v>0</v>
      </c>
      <c r="Y83" s="1986">
        <f ca="1"/>
        <v>0</v>
      </c>
    </row>
    <row r="84" spans="1:26" ht="15.75" customHeight="1" thickBot="1">
      <c r="A84" s="1971" t="s">
        <v>875</v>
      </c>
      <c r="B84" s="592">
        <f t="array" aca="1" ref="B84" ca="1">SUM(B20:B27*Produccion!$B$8:$B$15)</f>
        <v>0</v>
      </c>
      <c r="C84" s="592">
        <f t="array" aca="1" ref="C84" ca="1">SUM(C20:C27*Produccion!$B$8:$B$15)</f>
        <v>0</v>
      </c>
      <c r="D84" s="592">
        <f t="array" aca="1" ref="D84" ca="1">SUM(D20:D27*Produccion!$B$8:$B$15)</f>
        <v>0</v>
      </c>
      <c r="E84" s="592">
        <f t="array" aca="1" ref="E84" ca="1">SUM(E20:E27*Produccion!$B$8:$B$15)</f>
        <v>0</v>
      </c>
      <c r="F84" s="592">
        <f t="array" aca="1" ref="F84" ca="1">SUM(F20:F27*Produccion!$B$8:$B$15)</f>
        <v>0</v>
      </c>
      <c r="G84" s="592">
        <f t="array" aca="1" ref="G84" ca="1">SUM(G20:G27*Produccion!$B$8:$B$15)</f>
        <v>0</v>
      </c>
      <c r="H84" s="592">
        <f t="array" aca="1" ref="H84" ca="1">SUM(H20:H27*Produccion!$B$8:$B$15)</f>
        <v>0</v>
      </c>
      <c r="I84" s="592">
        <f t="array" aca="1" ref="I84" ca="1">SUM(I20:I27*Produccion!$B$8:$B$15)</f>
        <v>0</v>
      </c>
      <c r="J84" s="592">
        <f t="array" aca="1" ref="J84" ca="1">SUM(J20:J27*Produccion!$B$8:$B$15)</f>
        <v>0</v>
      </c>
      <c r="K84" s="592">
        <f t="array" aca="1" ref="K84" ca="1">SUM(K20:K27*Produccion!$B$8:$B$15)</f>
        <v>0</v>
      </c>
      <c r="L84" s="592">
        <f t="array" aca="1" ref="L84" ca="1">SUM(L20:L27*Produccion!$B$8:$B$15)</f>
        <v>0</v>
      </c>
      <c r="M84" s="592">
        <f t="array" aca="1" ref="M84" ca="1">SUM(M20:M27*Produccion!$B$8:$B$15)</f>
        <v>0</v>
      </c>
      <c r="N84" s="1968">
        <f ca="1">'Distr CV 3'!B84</f>
        <v>0</v>
      </c>
      <c r="O84" s="1968">
        <f ca="1"/>
        <v>0</v>
      </c>
      <c r="P84" s="1968">
        <f ca="1"/>
        <v>0</v>
      </c>
      <c r="Q84" s="1968">
        <f ca="1"/>
        <v>0</v>
      </c>
      <c r="R84" s="1968">
        <f ca="1"/>
        <v>0</v>
      </c>
      <c r="S84" s="1968">
        <f ca="1"/>
        <v>0</v>
      </c>
      <c r="T84" s="1968">
        <f ca="1"/>
        <v>0</v>
      </c>
      <c r="U84" s="1968">
        <f ca="1"/>
        <v>0</v>
      </c>
      <c r="V84" s="1968">
        <f ca="1"/>
        <v>0</v>
      </c>
      <c r="W84" s="1968">
        <f ca="1"/>
        <v>0</v>
      </c>
      <c r="X84" s="1968">
        <f ca="1"/>
        <v>0</v>
      </c>
      <c r="Y84" s="1986">
        <f ca="1"/>
        <v>0</v>
      </c>
    </row>
    <row r="85" spans="1:26" ht="15.75" customHeight="1" thickBot="1">
      <c r="A85" s="103" t="str">
        <f>A$28</f>
        <v>Totales</v>
      </c>
      <c r="B85" s="596">
        <f t="shared" ref="B85:Y85" ca="1" si="8">SUM(B72:B84)</f>
        <v>0</v>
      </c>
      <c r="C85" s="596">
        <f t="shared" ca="1" si="8"/>
        <v>0</v>
      </c>
      <c r="D85" s="596">
        <f t="shared" ca="1" si="8"/>
        <v>0</v>
      </c>
      <c r="E85" s="596">
        <f t="shared" ca="1" si="8"/>
        <v>0</v>
      </c>
      <c r="F85" s="596">
        <f t="shared" ca="1" si="8"/>
        <v>0</v>
      </c>
      <c r="G85" s="596">
        <f t="shared" ca="1" si="8"/>
        <v>0</v>
      </c>
      <c r="H85" s="596">
        <f t="shared" ca="1" si="8"/>
        <v>0</v>
      </c>
      <c r="I85" s="596">
        <f t="shared" ca="1" si="8"/>
        <v>0</v>
      </c>
      <c r="J85" s="596">
        <f t="shared" ca="1" si="8"/>
        <v>0</v>
      </c>
      <c r="K85" s="596">
        <f t="shared" ca="1" si="8"/>
        <v>0</v>
      </c>
      <c r="L85" s="596">
        <f t="shared" ca="1" si="8"/>
        <v>0</v>
      </c>
      <c r="M85" s="596">
        <f t="shared" ca="1" si="8"/>
        <v>0</v>
      </c>
      <c r="N85" s="596">
        <f t="shared" ca="1" si="8"/>
        <v>288.40000000000003</v>
      </c>
      <c r="O85" s="596">
        <f t="shared" ca="1" si="8"/>
        <v>360.50000000000006</v>
      </c>
      <c r="P85" s="596">
        <f t="shared" ca="1" si="8"/>
        <v>396.55</v>
      </c>
      <c r="Q85" s="596">
        <f t="shared" ca="1" si="8"/>
        <v>378.52500000000003</v>
      </c>
      <c r="R85" s="596">
        <f t="shared" ca="1" si="8"/>
        <v>324.45000000000005</v>
      </c>
      <c r="S85" s="596">
        <f t="shared" ca="1" si="8"/>
        <v>306.42500000000001</v>
      </c>
      <c r="T85" s="596">
        <f t="shared" ca="1" si="8"/>
        <v>288.40000000000003</v>
      </c>
      <c r="U85" s="596">
        <f t="shared" ca="1" si="8"/>
        <v>216.3</v>
      </c>
      <c r="V85" s="596">
        <f t="shared" ca="1" si="8"/>
        <v>288.40000000000003</v>
      </c>
      <c r="W85" s="596">
        <f t="shared" ca="1" si="8"/>
        <v>342.47500000000002</v>
      </c>
      <c r="X85" s="596">
        <f t="shared" ca="1" si="8"/>
        <v>360.50000000000006</v>
      </c>
      <c r="Y85" s="1984">
        <f t="shared" ca="1" si="8"/>
        <v>432.6</v>
      </c>
    </row>
    <row r="86" spans="1:26">
      <c r="B86" s="61"/>
    </row>
    <row r="87" spans="1:26">
      <c r="B87" s="61">
        <f ca="1">SUM(B85:M85)</f>
        <v>0</v>
      </c>
    </row>
    <row r="88" spans="1:26">
      <c r="B88" s="61"/>
    </row>
    <row r="89" spans="1:26" ht="18.75" thickBot="1">
      <c r="A89" s="1969" t="str">
        <f>'Distr CV 0'!A89</f>
        <v>IVA de los costes de producción por meses de compra</v>
      </c>
      <c r="I89" s="1969"/>
    </row>
    <row r="90" spans="1:26" s="445" customFormat="1" ht="35.25" customHeight="1" thickBot="1">
      <c r="A90" s="446" t="str">
        <f>A$19</f>
        <v>Costes producción</v>
      </c>
      <c r="B90" s="1987" t="str">
        <f t="array" ref="B90:Y90">B$71:Y$71</f>
        <v>enero 
2027</v>
      </c>
      <c r="C90" s="1987" t="str">
        <v>febrero 
2027</v>
      </c>
      <c r="D90" s="1987" t="str">
        <v>marzo 
2027</v>
      </c>
      <c r="E90" s="1987" t="str">
        <v>abril 
2027</v>
      </c>
      <c r="F90" s="1987" t="str">
        <v>mayo 
2027</v>
      </c>
      <c r="G90" s="1987" t="str">
        <v>junio 
2027</v>
      </c>
      <c r="H90" s="1987" t="str">
        <v>julio 
2027</v>
      </c>
      <c r="I90" s="1987" t="str">
        <v>agosto 
2027</v>
      </c>
      <c r="J90" s="1987" t="str">
        <v>septiembre 
2027</v>
      </c>
      <c r="K90" s="1987" t="str">
        <v>octubre 
2027</v>
      </c>
      <c r="L90" s="1987" t="str">
        <v>noviembre 
2027</v>
      </c>
      <c r="M90" s="1987" t="str">
        <v>diciembre 
2027</v>
      </c>
      <c r="N90" s="2703" t="str">
        <v>enero 
2028</v>
      </c>
      <c r="O90" s="2704" t="str">
        <v>febrero 
2028</v>
      </c>
      <c r="P90" s="2704" t="str">
        <v>marzo 
2028</v>
      </c>
      <c r="Q90" s="2704" t="str">
        <v>abril 
2028</v>
      </c>
      <c r="R90" s="2704" t="str">
        <v>mayo 
2028</v>
      </c>
      <c r="S90" s="2704" t="str">
        <v>junio 
2028</v>
      </c>
      <c r="T90" s="2704" t="str">
        <v>julio 
2028</v>
      </c>
      <c r="U90" s="2704" t="str">
        <v>agosto 
2028</v>
      </c>
      <c r="V90" s="2704" t="str">
        <v>septiembre 
2028</v>
      </c>
      <c r="W90" s="2704" t="str">
        <v>octubre 
2028</v>
      </c>
      <c r="X90" s="2704" t="str">
        <v>noviembre 
2028</v>
      </c>
      <c r="Y90" s="2705" t="str">
        <v>diciembre 
2028</v>
      </c>
      <c r="Z90" s="61"/>
    </row>
    <row r="91" spans="1:26" ht="15.75" customHeight="1">
      <c r="A91" s="1970" t="str">
        <f t="array" ref="A91:A104">A$72:A$85</f>
        <v>mismo mes</v>
      </c>
      <c r="B91" s="1967"/>
      <c r="C91" s="1967"/>
      <c r="D91" s="1967"/>
      <c r="E91" s="1967"/>
      <c r="F91" s="1967"/>
      <c r="G91" s="1967"/>
      <c r="H91" s="1965">
        <v>0</v>
      </c>
      <c r="I91" s="1966">
        <v>0</v>
      </c>
      <c r="J91" s="1966">
        <v>0</v>
      </c>
      <c r="K91" s="1966">
        <v>0</v>
      </c>
      <c r="L91" s="1966">
        <v>0</v>
      </c>
      <c r="M91" s="1966">
        <v>0</v>
      </c>
      <c r="N91" s="588">
        <f t="array" aca="1" ref="N91" ca="1">SUM(B32:B39*Produccion!$N$8:$N$15)</f>
        <v>60.564000000000007</v>
      </c>
      <c r="O91" s="588">
        <f t="array" aca="1" ref="O91" ca="1">SUM(C32:C39*Produccion!$N$8:$N$15)</f>
        <v>75.705000000000013</v>
      </c>
      <c r="P91" s="588">
        <f t="array" aca="1" ref="P91" ca="1">SUM(D32:D39*Produccion!$N$8:$N$15)</f>
        <v>83.275499999999994</v>
      </c>
      <c r="Q91" s="588">
        <f t="array" aca="1" ref="Q91" ca="1">SUM(E32:E39*Produccion!$N$8:$N$15)</f>
        <v>79.490250000000003</v>
      </c>
      <c r="R91" s="588">
        <f t="array" aca="1" ref="R91" ca="1">SUM(F32:F39*Produccion!$N$8:$N$15)</f>
        <v>68.134500000000003</v>
      </c>
      <c r="S91" s="588">
        <f t="array" aca="1" ref="S91" ca="1">SUM(G32:G39*Produccion!$N$8:$N$15)</f>
        <v>64.349249999999998</v>
      </c>
      <c r="T91" s="588">
        <f t="array" aca="1" ref="T91" ca="1">SUM(H32:H39*Produccion!$N$8:$N$15)</f>
        <v>60.564000000000007</v>
      </c>
      <c r="U91" s="588">
        <f t="array" aca="1" ref="U91" ca="1">SUM(I32:I39*Produccion!$N$8:$N$15)</f>
        <v>45.423000000000002</v>
      </c>
      <c r="V91" s="588">
        <f t="array" aca="1" ref="V91" ca="1">SUM(J32:J39*Produccion!$N$8:$N$15)</f>
        <v>60.564000000000007</v>
      </c>
      <c r="W91" s="588">
        <f t="array" aca="1" ref="W91" ca="1">SUM(K32:K39*Produccion!$N$8:$N$15)</f>
        <v>71.919750000000008</v>
      </c>
      <c r="X91" s="588">
        <f t="array" aca="1" ref="X91" ca="1">SUM(L32:L39*Produccion!$N$8:$N$15)</f>
        <v>75.705000000000013</v>
      </c>
      <c r="Y91" s="1985">
        <f t="array" aca="1" ref="Y91" ca="1">SUM(M32:M39*Produccion!$N$8:$N$15)</f>
        <v>90.846000000000004</v>
      </c>
    </row>
    <row r="92" spans="1:26" ht="15.75" customHeight="1">
      <c r="A92" s="1971" t="str">
        <v>1 mes antes</v>
      </c>
      <c r="B92" s="1967"/>
      <c r="C92" s="1967"/>
      <c r="D92" s="1967"/>
      <c r="E92" s="1967"/>
      <c r="F92" s="1967"/>
      <c r="G92" s="1967"/>
      <c r="H92" s="1967"/>
      <c r="I92" s="1964"/>
      <c r="J92" s="1964"/>
      <c r="K92" s="1964"/>
      <c r="L92" s="1964"/>
      <c r="M92" s="590">
        <f t="array" aca="1" ref="M92" ca="1">SUM(B32:B39*Produccion!$M$8:$M$15)</f>
        <v>0</v>
      </c>
      <c r="N92" s="590">
        <f t="array" aca="1" ref="N92" ca="1">SUM(C32:C39*Produccion!$M$8:$M$15)</f>
        <v>0</v>
      </c>
      <c r="O92" s="590">
        <f t="array" aca="1" ref="O92" ca="1">SUM(D32:D39*Produccion!$M$8:$M$15)</f>
        <v>0</v>
      </c>
      <c r="P92" s="590">
        <f t="array" aca="1" ref="P92" ca="1">SUM(E32:E39*Produccion!$M$8:$M$15)</f>
        <v>0</v>
      </c>
      <c r="Q92" s="590">
        <f t="array" aca="1" ref="Q92" ca="1">SUM(F32:F39*Produccion!$M$8:$M$15)</f>
        <v>0</v>
      </c>
      <c r="R92" s="590">
        <f t="array" aca="1" ref="R92" ca="1">SUM(G32:G39*Produccion!$M$8:$M$15)</f>
        <v>0</v>
      </c>
      <c r="S92" s="590">
        <f t="array" aca="1" ref="S92" ca="1">SUM(H32:H39*Produccion!$M$8:$M$15)</f>
        <v>0</v>
      </c>
      <c r="T92" s="590">
        <f t="array" aca="1" ref="T92" ca="1">SUM(I32:I39*Produccion!$M$8:$M$15)</f>
        <v>0</v>
      </c>
      <c r="U92" s="590">
        <f t="array" aca="1" ref="U92" ca="1">SUM(J32:J39*Produccion!$M$8:$M$15)</f>
        <v>0</v>
      </c>
      <c r="V92" s="590">
        <f t="array" aca="1" ref="V92" ca="1">SUM(K32:K39*Produccion!$M$8:$M$15)</f>
        <v>0</v>
      </c>
      <c r="W92" s="590">
        <f t="array" aca="1" ref="W92" ca="1">SUM(L32:L39*Produccion!$M$8:$M$15)</f>
        <v>0</v>
      </c>
      <c r="X92" s="590">
        <f t="array" aca="1" ref="X92" ca="1">SUM(M32:M39*Produccion!$M$8:$M$15)</f>
        <v>0</v>
      </c>
      <c r="Y92" s="1983">
        <f t="array" aca="1" ref="Y92:Y103" ca="1">'Distr CV 3'!M92:M103</f>
        <v>0</v>
      </c>
    </row>
    <row r="93" spans="1:26" ht="15.75" customHeight="1">
      <c r="A93" s="1971" t="str">
        <v>2 meses antes</v>
      </c>
      <c r="B93" s="1967"/>
      <c r="C93" s="1967"/>
      <c r="D93" s="1967"/>
      <c r="E93" s="1967"/>
      <c r="F93" s="1967"/>
      <c r="G93" s="1967"/>
      <c r="H93" s="1967"/>
      <c r="I93" s="1964"/>
      <c r="J93" s="1964"/>
      <c r="K93" s="1964"/>
      <c r="L93" s="590">
        <f t="array" aca="1" ref="L93" ca="1">SUM(B32:B39*Produccion!$L$8:$L$15)</f>
        <v>0</v>
      </c>
      <c r="M93" s="590">
        <f t="array" aca="1" ref="M93" ca="1">SUM(C32:C39*Produccion!$L$8:$L$15)</f>
        <v>0</v>
      </c>
      <c r="N93" s="590">
        <f t="array" aca="1" ref="N93" ca="1">SUM(D32:D39*Produccion!$L$8:$L$15)</f>
        <v>0</v>
      </c>
      <c r="O93" s="590">
        <f t="array" aca="1" ref="O93" ca="1">SUM(E32:E39*Produccion!$L$8:$L$15)</f>
        <v>0</v>
      </c>
      <c r="P93" s="590">
        <f t="array" aca="1" ref="P93" ca="1">SUM(F32:F39*Produccion!$L$8:$L$15)</f>
        <v>0</v>
      </c>
      <c r="Q93" s="590">
        <f t="array" aca="1" ref="Q93" ca="1">SUM(G32:G39*Produccion!$L$8:$L$15)</f>
        <v>0</v>
      </c>
      <c r="R93" s="590">
        <f t="array" aca="1" ref="R93" ca="1">SUM(H32:H39*Produccion!$L$8:$L$15)</f>
        <v>0</v>
      </c>
      <c r="S93" s="590">
        <f t="array" aca="1" ref="S93" ca="1">SUM(I32:I39*Produccion!$L$8:$L$15)</f>
        <v>0</v>
      </c>
      <c r="T93" s="590">
        <f t="array" aca="1" ref="T93" ca="1">SUM(J32:J39*Produccion!$L$8:$L$15)</f>
        <v>0</v>
      </c>
      <c r="U93" s="590">
        <f t="array" aca="1" ref="U93" ca="1">SUM(K32:K39*Produccion!$L$8:$L$15)</f>
        <v>0</v>
      </c>
      <c r="V93" s="590">
        <f t="array" aca="1" ref="V93" ca="1">SUM(L32:L39*Produccion!$L$8:$L$15)</f>
        <v>0</v>
      </c>
      <c r="W93" s="590">
        <f t="array" aca="1" ref="W93" ca="1">SUM(M32:M39*Produccion!$L$8:$L$15)</f>
        <v>0</v>
      </c>
      <c r="X93" s="1964">
        <f t="array" aca="1" ref="X93:X103" ca="1">'Distr CV 3'!L93:L103</f>
        <v>0</v>
      </c>
      <c r="Y93" s="1983">
        <f ca="1"/>
        <v>0</v>
      </c>
    </row>
    <row r="94" spans="1:26" ht="15.75" customHeight="1">
      <c r="A94" s="1971" t="str">
        <v>3 meses antes</v>
      </c>
      <c r="B94" s="1967"/>
      <c r="C94" s="1967"/>
      <c r="D94" s="1967"/>
      <c r="E94" s="1967"/>
      <c r="F94" s="1967"/>
      <c r="G94" s="1967"/>
      <c r="H94" s="1967"/>
      <c r="I94" s="1964"/>
      <c r="J94" s="1964"/>
      <c r="K94" s="590">
        <f t="array" aca="1" ref="K94" ca="1">SUM(B32:B39*Produccion!$K$8:$K$15)</f>
        <v>0</v>
      </c>
      <c r="L94" s="590">
        <f t="array" aca="1" ref="L94" ca="1">SUM(C32:C39*Produccion!$K$8:$K$15)</f>
        <v>0</v>
      </c>
      <c r="M94" s="590">
        <f t="array" aca="1" ref="M94" ca="1">SUM(D32:D39*Produccion!$K$8:$K$15)</f>
        <v>0</v>
      </c>
      <c r="N94" s="590">
        <f t="array" aca="1" ref="N94" ca="1">SUM(E32:E39*Produccion!$K$8:$K$15)</f>
        <v>0</v>
      </c>
      <c r="O94" s="590">
        <f t="array" aca="1" ref="O94" ca="1">SUM(F32:F39*Produccion!$K$8:$K$15)</f>
        <v>0</v>
      </c>
      <c r="P94" s="590">
        <f t="array" aca="1" ref="P94" ca="1">SUM(G32:G39*Produccion!$K$8:$K$15)</f>
        <v>0</v>
      </c>
      <c r="Q94" s="590">
        <f t="array" aca="1" ref="Q94" ca="1">SUM(H32:H39*Produccion!$K$8:$K$15)</f>
        <v>0</v>
      </c>
      <c r="R94" s="590">
        <f t="array" aca="1" ref="R94" ca="1">SUM(I32:I39*Produccion!$K$8:$K$15)</f>
        <v>0</v>
      </c>
      <c r="S94" s="590">
        <f t="array" aca="1" ref="S94" ca="1">SUM(J32:J39*Produccion!$K$8:$K$15)</f>
        <v>0</v>
      </c>
      <c r="T94" s="590">
        <f t="array" aca="1" ref="T94" ca="1">SUM(K32:K39*Produccion!$K$8:$K$15)</f>
        <v>0</v>
      </c>
      <c r="U94" s="590">
        <f t="array" aca="1" ref="U94" ca="1">SUM(L32:L39*Produccion!$K$8:$K$15)</f>
        <v>0</v>
      </c>
      <c r="V94" s="590">
        <f t="array" aca="1" ref="V94" ca="1">SUM(M32:M39*Produccion!$K$8:$K$15)</f>
        <v>0</v>
      </c>
      <c r="W94" s="1964">
        <f t="array" aca="1" ref="W94:W103" ca="1">'Distr CV 3'!K94:K103</f>
        <v>0</v>
      </c>
      <c r="X94" s="1964">
        <f ca="1"/>
        <v>0</v>
      </c>
      <c r="Y94" s="1983">
        <f ca="1"/>
        <v>0</v>
      </c>
    </row>
    <row r="95" spans="1:26" ht="15.75" customHeight="1">
      <c r="A95" s="1971" t="str">
        <v>4 meses antes</v>
      </c>
      <c r="B95" s="1967"/>
      <c r="C95" s="1967"/>
      <c r="D95" s="1967"/>
      <c r="E95" s="1967"/>
      <c r="F95" s="1967"/>
      <c r="G95" s="1967"/>
      <c r="H95" s="1967"/>
      <c r="I95" s="1964"/>
      <c r="J95" s="590">
        <f t="array" aca="1" ref="J95" ca="1">SUM(B32:B39*Produccion!$J$8:$J$15)</f>
        <v>0</v>
      </c>
      <c r="K95" s="590">
        <f t="array" aca="1" ref="K95" ca="1">SUM(C32:C39*Produccion!$J$8:$J$15)</f>
        <v>0</v>
      </c>
      <c r="L95" s="590">
        <f t="array" aca="1" ref="L95" ca="1">SUM(D32:D39*Produccion!$J$8:$J$15)</f>
        <v>0</v>
      </c>
      <c r="M95" s="590">
        <f t="array" aca="1" ref="M95" ca="1">SUM(E32:E39*Produccion!$J$8:$J$15)</f>
        <v>0</v>
      </c>
      <c r="N95" s="590">
        <f t="array" aca="1" ref="N95" ca="1">SUM(F32:F39*Produccion!$J$8:$J$15)</f>
        <v>0</v>
      </c>
      <c r="O95" s="590">
        <f t="array" aca="1" ref="O95" ca="1">SUM(G32:G39*Produccion!$J$8:$J$15)</f>
        <v>0</v>
      </c>
      <c r="P95" s="590">
        <f t="array" aca="1" ref="P95" ca="1">SUM(H32:H39*Produccion!$J$8:$J$15)</f>
        <v>0</v>
      </c>
      <c r="Q95" s="590">
        <f t="array" aca="1" ref="Q95" ca="1">SUM(I32:I39*Produccion!$J$8:$J$15)</f>
        <v>0</v>
      </c>
      <c r="R95" s="590">
        <f t="array" aca="1" ref="R95" ca="1">SUM(J32:J39*Produccion!$J$8:$J$15)</f>
        <v>0</v>
      </c>
      <c r="S95" s="590">
        <f t="array" aca="1" ref="S95" ca="1">SUM(K32:K39*Produccion!$J$8:$J$15)</f>
        <v>0</v>
      </c>
      <c r="T95" s="590">
        <f t="array" aca="1" ref="T95" ca="1">SUM(L32:L39*Produccion!$J$8:$J$15)</f>
        <v>0</v>
      </c>
      <c r="U95" s="590">
        <f t="array" aca="1" ref="U95" ca="1">SUM(M32:M39*Produccion!$J$8:$J$15)</f>
        <v>0</v>
      </c>
      <c r="V95" s="1964">
        <f t="array" aca="1" ref="V95:V103" ca="1">'Distr CV 3'!J95:J103</f>
        <v>0</v>
      </c>
      <c r="W95" s="1964">
        <f ca="1"/>
        <v>0</v>
      </c>
      <c r="X95" s="1964">
        <f ca="1"/>
        <v>0</v>
      </c>
      <c r="Y95" s="1983">
        <f ca="1"/>
        <v>0</v>
      </c>
    </row>
    <row r="96" spans="1:26" ht="15.75" customHeight="1">
      <c r="A96" s="1971" t="str">
        <v>5 meses antes</v>
      </c>
      <c r="B96" s="1967"/>
      <c r="C96" s="1967"/>
      <c r="D96" s="1967"/>
      <c r="E96" s="1967"/>
      <c r="F96" s="1967"/>
      <c r="G96" s="1967"/>
      <c r="H96" s="1967"/>
      <c r="I96" s="590">
        <f t="array" aca="1" ref="I96" ca="1">SUM(B32:B39*Produccion!$I$8:$I$15)</f>
        <v>0</v>
      </c>
      <c r="J96" s="590">
        <f t="array" aca="1" ref="J96" ca="1">SUM(C32:C39*Produccion!$I$8:$I$15)</f>
        <v>0</v>
      </c>
      <c r="K96" s="590">
        <f t="array" aca="1" ref="K96" ca="1">SUM(D32:D39*Produccion!$I$8:$I$15)</f>
        <v>0</v>
      </c>
      <c r="L96" s="590">
        <f t="array" aca="1" ref="L96" ca="1">SUM(E32:E39*Produccion!$I$8:$I$15)</f>
        <v>0</v>
      </c>
      <c r="M96" s="590">
        <f t="array" aca="1" ref="M96" ca="1">SUM(F32:F39*Produccion!$I$8:$I$15)</f>
        <v>0</v>
      </c>
      <c r="N96" s="590">
        <f t="array" aca="1" ref="N96" ca="1">SUM(G32:G39*Produccion!$I$8:$I$15)</f>
        <v>0</v>
      </c>
      <c r="O96" s="590">
        <f t="array" aca="1" ref="O96" ca="1">SUM(H32:H39*Produccion!$I$8:$I$15)</f>
        <v>0</v>
      </c>
      <c r="P96" s="590">
        <f t="array" aca="1" ref="P96" ca="1">SUM(I32:I39*Produccion!$I$8:$I$15)</f>
        <v>0</v>
      </c>
      <c r="Q96" s="590">
        <f t="array" aca="1" ref="Q96" ca="1">SUM(J32:J39*Produccion!$I$8:$I$15)</f>
        <v>0</v>
      </c>
      <c r="R96" s="590">
        <f t="array" aca="1" ref="R96" ca="1">SUM(K32:K39*Produccion!$I$8:$I$15)</f>
        <v>0</v>
      </c>
      <c r="S96" s="590">
        <f t="array" aca="1" ref="S96" ca="1">SUM(L32:L39*Produccion!$I$8:$I$15)</f>
        <v>0</v>
      </c>
      <c r="T96" s="590">
        <f t="array" aca="1" ref="T96" ca="1">SUM(M32:M39*Produccion!$I$8:$I$15)</f>
        <v>0</v>
      </c>
      <c r="U96" s="1964">
        <f t="array" aca="1" ref="U96:U103" ca="1">'Distr CV 3'!I96:I103</f>
        <v>0</v>
      </c>
      <c r="V96" s="1964">
        <f ca="1"/>
        <v>0</v>
      </c>
      <c r="W96" s="1964">
        <f ca="1"/>
        <v>0</v>
      </c>
      <c r="X96" s="1964">
        <f ca="1"/>
        <v>0</v>
      </c>
      <c r="Y96" s="1983">
        <f ca="1"/>
        <v>0</v>
      </c>
    </row>
    <row r="97" spans="1:26" ht="15.75" customHeight="1">
      <c r="A97" s="1971" t="str">
        <v>6 meses antes</v>
      </c>
      <c r="B97" s="1967"/>
      <c r="C97" s="1967"/>
      <c r="D97" s="1967"/>
      <c r="E97" s="1967"/>
      <c r="F97" s="1967"/>
      <c r="G97" s="1967"/>
      <c r="H97" s="590">
        <f t="array" aca="1" ref="H97" ca="1">SUM(B32:B39*Produccion!$H$8:$H$15)</f>
        <v>0</v>
      </c>
      <c r="I97" s="590">
        <f t="array" aca="1" ref="I97" ca="1">SUM(C32:C39*Produccion!$H$8:$H$15)</f>
        <v>0</v>
      </c>
      <c r="J97" s="590">
        <f t="array" aca="1" ref="J97" ca="1">SUM(D32:D39*Produccion!$H$8:$H$15)</f>
        <v>0</v>
      </c>
      <c r="K97" s="590">
        <f t="array" aca="1" ref="K97" ca="1">SUM(E32:E39*Produccion!$H$8:$H$15)</f>
        <v>0</v>
      </c>
      <c r="L97" s="590">
        <f t="array" aca="1" ref="L97" ca="1">SUM(F32:F39*Produccion!$H$8:$H$15)</f>
        <v>0</v>
      </c>
      <c r="M97" s="590">
        <f t="array" aca="1" ref="M97" ca="1">SUM(G32:G39*Produccion!$H$8:$H$15)</f>
        <v>0</v>
      </c>
      <c r="N97" s="590">
        <f t="array" aca="1" ref="N97" ca="1">SUM(H32:H39*Produccion!$H$8:$H$15)</f>
        <v>0</v>
      </c>
      <c r="O97" s="590">
        <f t="array" aca="1" ref="O97" ca="1">SUM(I32:I39*Produccion!$H$8:$H$15)</f>
        <v>0</v>
      </c>
      <c r="P97" s="590">
        <f t="array" aca="1" ref="P97" ca="1">SUM(J32:J39*Produccion!$H$8:$H$15)</f>
        <v>0</v>
      </c>
      <c r="Q97" s="590">
        <f t="array" aca="1" ref="Q97" ca="1">SUM(K32:K39*Produccion!$H$8:$H$15)</f>
        <v>0</v>
      </c>
      <c r="R97" s="590">
        <f t="array" aca="1" ref="R97" ca="1">SUM(L32:L39*Produccion!$H$8:$H$15)</f>
        <v>0</v>
      </c>
      <c r="S97" s="590">
        <f t="array" aca="1" ref="S97" ca="1">SUM(M32:M39*Produccion!$H$8:$H$15)</f>
        <v>0</v>
      </c>
      <c r="T97" s="1964">
        <f t="array" aca="1" ref="T97:T103" ca="1">'Distr CV 3'!H97:H103</f>
        <v>0</v>
      </c>
      <c r="U97" s="1964">
        <f ca="1"/>
        <v>0</v>
      </c>
      <c r="V97" s="1964">
        <f ca="1"/>
        <v>0</v>
      </c>
      <c r="W97" s="1964">
        <f ca="1"/>
        <v>0</v>
      </c>
      <c r="X97" s="1964">
        <f ca="1"/>
        <v>0</v>
      </c>
      <c r="Y97" s="1983">
        <f ca="1"/>
        <v>0</v>
      </c>
    </row>
    <row r="98" spans="1:26" ht="15.75" customHeight="1">
      <c r="A98" s="1971" t="str">
        <v>7 meses antes</v>
      </c>
      <c r="B98" s="1967"/>
      <c r="C98" s="1967"/>
      <c r="D98" s="1967"/>
      <c r="E98" s="1967"/>
      <c r="F98" s="1967"/>
      <c r="G98" s="592">
        <f t="array" aca="1" ref="G98" ca="1">SUM(B32:B39*Produccion!$G$8:$G$15)</f>
        <v>0</v>
      </c>
      <c r="H98" s="592">
        <f t="array" aca="1" ref="H98" ca="1">SUM(C32:C39*Produccion!$G$8:$G$15)</f>
        <v>0</v>
      </c>
      <c r="I98" s="592">
        <f t="array" aca="1" ref="I98" ca="1">SUM(D32:D39*Produccion!$G$8:$G$15)</f>
        <v>0</v>
      </c>
      <c r="J98" s="592">
        <f t="array" aca="1" ref="J98" ca="1">SUM(E32:E39*Produccion!$G$8:$G$15)</f>
        <v>0</v>
      </c>
      <c r="K98" s="592">
        <f t="array" aca="1" ref="K98" ca="1">SUM(F32:F39*Produccion!$G$8:$G$15)</f>
        <v>0</v>
      </c>
      <c r="L98" s="592">
        <f t="array" aca="1" ref="L98" ca="1">SUM(G32:G39*Produccion!$G$8:$G$15)</f>
        <v>0</v>
      </c>
      <c r="M98" s="592">
        <f t="array" aca="1" ref="M98" ca="1">SUM(H32:H39*Produccion!$G$8:$G$15)</f>
        <v>0</v>
      </c>
      <c r="N98" s="592">
        <f t="array" aca="1" ref="N98" ca="1">SUM(I32:I39*Produccion!$G$8:$G$15)</f>
        <v>0</v>
      </c>
      <c r="O98" s="592">
        <f t="array" aca="1" ref="O98" ca="1">SUM(J32:J39*Produccion!$G$8:$G$15)</f>
        <v>0</v>
      </c>
      <c r="P98" s="592">
        <f t="array" aca="1" ref="P98" ca="1">SUM(K32:K39*Produccion!$G$8:$G$15)</f>
        <v>0</v>
      </c>
      <c r="Q98" s="592">
        <f t="array" aca="1" ref="Q98" ca="1">SUM(L32:L39*Produccion!$G$8:$G$15)</f>
        <v>0</v>
      </c>
      <c r="R98" s="592">
        <f t="array" aca="1" ref="R98" ca="1">SUM(M32:M39*Produccion!$G$8:$G$15)</f>
        <v>0</v>
      </c>
      <c r="S98" s="1968">
        <f t="array" aca="1" ref="S98:S103" ca="1">'Distr CV 3'!G98:G103</f>
        <v>0</v>
      </c>
      <c r="T98" s="1968">
        <f ca="1"/>
        <v>0</v>
      </c>
      <c r="U98" s="1968">
        <f ca="1"/>
        <v>0</v>
      </c>
      <c r="V98" s="1968">
        <f ca="1"/>
        <v>0</v>
      </c>
      <c r="W98" s="1968">
        <f ca="1"/>
        <v>0</v>
      </c>
      <c r="X98" s="1968">
        <f ca="1"/>
        <v>0</v>
      </c>
      <c r="Y98" s="1986">
        <f ca="1"/>
        <v>0</v>
      </c>
    </row>
    <row r="99" spans="1:26" ht="15.75" customHeight="1">
      <c r="A99" s="1971" t="str">
        <v>8 meses antes</v>
      </c>
      <c r="B99" s="1967"/>
      <c r="C99" s="1967"/>
      <c r="D99" s="1967"/>
      <c r="E99" s="1967"/>
      <c r="F99" s="592">
        <f t="array" aca="1" ref="F99" ca="1">SUM(B32:B39*Produccion!$F$8:$F$15)</f>
        <v>0</v>
      </c>
      <c r="G99" s="592">
        <f t="array" aca="1" ref="G99" ca="1">SUM(C32:C39*Produccion!$F$8:$F$15)</f>
        <v>0</v>
      </c>
      <c r="H99" s="592">
        <f t="array" aca="1" ref="H99" ca="1">SUM(D32:D39*Produccion!$F$8:$F$15)</f>
        <v>0</v>
      </c>
      <c r="I99" s="592">
        <f t="array" aca="1" ref="I99" ca="1">SUM(E32:E39*Produccion!$F$8:$F$15)</f>
        <v>0</v>
      </c>
      <c r="J99" s="592">
        <f t="array" aca="1" ref="J99" ca="1">SUM(F32:F39*Produccion!$F$8:$F$15)</f>
        <v>0</v>
      </c>
      <c r="K99" s="592">
        <f t="array" aca="1" ref="K99" ca="1">SUM(G32:G39*Produccion!$F$8:$F$15)</f>
        <v>0</v>
      </c>
      <c r="L99" s="592">
        <f t="array" aca="1" ref="L99" ca="1">SUM(H32:H39*Produccion!$F$8:$F$15)</f>
        <v>0</v>
      </c>
      <c r="M99" s="592">
        <f t="array" aca="1" ref="M99" ca="1">SUM(I32:I39*Produccion!$F$8:$F$15)</f>
        <v>0</v>
      </c>
      <c r="N99" s="592">
        <f t="array" aca="1" ref="N99" ca="1">SUM(J32:J39*Produccion!$F$8:$F$15)</f>
        <v>0</v>
      </c>
      <c r="O99" s="592">
        <f t="array" aca="1" ref="O99" ca="1">SUM(K32:K39*Produccion!$F$8:$F$15)</f>
        <v>0</v>
      </c>
      <c r="P99" s="592">
        <f t="array" aca="1" ref="P99" ca="1">SUM(L32:L39*Produccion!$F$8:$F$15)</f>
        <v>0</v>
      </c>
      <c r="Q99" s="592">
        <f t="array" aca="1" ref="Q99" ca="1">SUM(M32:M39*Produccion!$F$8:$F$15)</f>
        <v>0</v>
      </c>
      <c r="R99" s="1968">
        <f t="array" aca="1" ref="R99:R103" ca="1">'Distr CV 3'!F99:F103</f>
        <v>0</v>
      </c>
      <c r="S99" s="1968">
        <f ca="1"/>
        <v>0</v>
      </c>
      <c r="T99" s="1968">
        <f ca="1"/>
        <v>0</v>
      </c>
      <c r="U99" s="1968">
        <f ca="1"/>
        <v>0</v>
      </c>
      <c r="V99" s="1968">
        <f ca="1"/>
        <v>0</v>
      </c>
      <c r="W99" s="1968">
        <f ca="1"/>
        <v>0</v>
      </c>
      <c r="X99" s="1968">
        <f ca="1"/>
        <v>0</v>
      </c>
      <c r="Y99" s="1986">
        <f ca="1"/>
        <v>0</v>
      </c>
    </row>
    <row r="100" spans="1:26" ht="15.75" customHeight="1">
      <c r="A100" s="1971" t="str">
        <v>9 meses antes</v>
      </c>
      <c r="B100" s="1967"/>
      <c r="C100" s="1967"/>
      <c r="D100" s="1967"/>
      <c r="E100" s="592">
        <f t="array" aca="1" ref="E100" ca="1">SUM(B32:B39*Produccion!$E$8:$E$15)</f>
        <v>0</v>
      </c>
      <c r="F100" s="592">
        <f t="array" aca="1" ref="F100" ca="1">SUM(C32:C39*Produccion!$E$8:$E$15)</f>
        <v>0</v>
      </c>
      <c r="G100" s="592">
        <f t="array" aca="1" ref="G100" ca="1">SUM(D32:D39*Produccion!$E$8:$E$15)</f>
        <v>0</v>
      </c>
      <c r="H100" s="592">
        <f t="array" aca="1" ref="H100" ca="1">SUM(E32:E39*Produccion!$E$8:$E$15)</f>
        <v>0</v>
      </c>
      <c r="I100" s="592">
        <f t="array" aca="1" ref="I100" ca="1">SUM(F32:F39*Produccion!$E$8:$E$15)</f>
        <v>0</v>
      </c>
      <c r="J100" s="592">
        <f t="array" aca="1" ref="J100" ca="1">SUM(G32:G39*Produccion!$E$8:$E$15)</f>
        <v>0</v>
      </c>
      <c r="K100" s="592">
        <f t="array" aca="1" ref="K100" ca="1">SUM(H32:H39*Produccion!$E$8:$E$15)</f>
        <v>0</v>
      </c>
      <c r="L100" s="592">
        <f t="array" aca="1" ref="L100" ca="1">SUM(I32:I39*Produccion!$E$8:$E$15)</f>
        <v>0</v>
      </c>
      <c r="M100" s="592">
        <f t="array" aca="1" ref="M100" ca="1">SUM(J32:J39*Produccion!$E$8:$E$15)</f>
        <v>0</v>
      </c>
      <c r="N100" s="592">
        <f t="array" aca="1" ref="N100" ca="1">SUM(K32:K39*Produccion!$E$8:$E$15)</f>
        <v>0</v>
      </c>
      <c r="O100" s="592">
        <f t="array" aca="1" ref="O100" ca="1">SUM(L32:L39*Produccion!$E$8:$E$15)</f>
        <v>0</v>
      </c>
      <c r="P100" s="592">
        <f t="array" aca="1" ref="P100" ca="1">SUM(M32:M39*Produccion!$E$8:$E$15)</f>
        <v>0</v>
      </c>
      <c r="Q100" s="1968">
        <f t="array" aca="1" ref="Q100:Q103" ca="1">'Distr CV 3'!E100:E103</f>
        <v>0</v>
      </c>
      <c r="R100" s="1968">
        <f ca="1"/>
        <v>0</v>
      </c>
      <c r="S100" s="1968">
        <f ca="1"/>
        <v>0</v>
      </c>
      <c r="T100" s="1968">
        <f ca="1"/>
        <v>0</v>
      </c>
      <c r="U100" s="1968">
        <f ca="1"/>
        <v>0</v>
      </c>
      <c r="V100" s="1968">
        <f ca="1"/>
        <v>0</v>
      </c>
      <c r="W100" s="1968">
        <f ca="1"/>
        <v>0</v>
      </c>
      <c r="X100" s="1968">
        <f ca="1"/>
        <v>0</v>
      </c>
      <c r="Y100" s="1986">
        <f ca="1"/>
        <v>0</v>
      </c>
    </row>
    <row r="101" spans="1:26" ht="15.75" customHeight="1">
      <c r="A101" s="1971" t="str">
        <v>10 meses antes</v>
      </c>
      <c r="B101" s="1967"/>
      <c r="C101" s="1967"/>
      <c r="D101" s="591">
        <f t="array" aca="1" ref="D101" ca="1">SUM(B32:B39*Produccion!$D$8:$D$15)</f>
        <v>0</v>
      </c>
      <c r="E101" s="591">
        <f t="array" aca="1" ref="E101" ca="1">SUM(C32:C39*Produccion!$D$8:$D$15)</f>
        <v>0</v>
      </c>
      <c r="F101" s="591">
        <f t="array" aca="1" ref="F101" ca="1">SUM(D32:D39*Produccion!$D$8:$D$15)</f>
        <v>0</v>
      </c>
      <c r="G101" s="591">
        <f t="array" aca="1" ref="G101" ca="1">SUM(E32:E39*Produccion!$D$8:$D$15)</f>
        <v>0</v>
      </c>
      <c r="H101" s="591">
        <f t="array" aca="1" ref="H101" ca="1">SUM(F32:F39*Produccion!$D$8:$D$15)</f>
        <v>0</v>
      </c>
      <c r="I101" s="591">
        <f t="array" aca="1" ref="I101" ca="1">SUM(G32:G39*Produccion!$D$8:$D$15)</f>
        <v>0</v>
      </c>
      <c r="J101" s="591">
        <f t="array" aca="1" ref="J101" ca="1">SUM(H32:H39*Produccion!$D$8:$D$15)</f>
        <v>0</v>
      </c>
      <c r="K101" s="591">
        <f t="array" aca="1" ref="K101" ca="1">SUM(I32:I39*Produccion!$D$8:$D$15)</f>
        <v>0</v>
      </c>
      <c r="L101" s="591">
        <f t="array" aca="1" ref="L101" ca="1">SUM(J32:J39*Produccion!$D$8:$D$15)</f>
        <v>0</v>
      </c>
      <c r="M101" s="591">
        <f t="array" aca="1" ref="M101" ca="1">SUM(K32:K39*Produccion!$D$8:$D$15)</f>
        <v>0</v>
      </c>
      <c r="N101" s="591">
        <f t="array" aca="1" ref="N101" ca="1">SUM(L32:L39*Produccion!$D$8:$D$15)</f>
        <v>0</v>
      </c>
      <c r="O101" s="591">
        <f t="array" aca="1" ref="O101" ca="1">SUM(M32:M39*Produccion!$D$8:$D$15)</f>
        <v>0</v>
      </c>
      <c r="P101" s="1968">
        <f t="array" aca="1" ref="P101:P103" ca="1">'Distr CV 3'!D101:D103</f>
        <v>0</v>
      </c>
      <c r="Q101" s="1968">
        <f ca="1"/>
        <v>0</v>
      </c>
      <c r="R101" s="1968">
        <f ca="1"/>
        <v>0</v>
      </c>
      <c r="S101" s="1968">
        <f ca="1"/>
        <v>0</v>
      </c>
      <c r="T101" s="1968">
        <f ca="1"/>
        <v>0</v>
      </c>
      <c r="U101" s="1968">
        <f ca="1"/>
        <v>0</v>
      </c>
      <c r="V101" s="1968">
        <f ca="1"/>
        <v>0</v>
      </c>
      <c r="W101" s="1968">
        <f ca="1"/>
        <v>0</v>
      </c>
      <c r="X101" s="1968">
        <f ca="1"/>
        <v>0</v>
      </c>
      <c r="Y101" s="1986">
        <f ca="1"/>
        <v>0</v>
      </c>
    </row>
    <row r="102" spans="1:26" ht="15.75" customHeight="1">
      <c r="A102" s="1971" t="str">
        <v>11 meses antes</v>
      </c>
      <c r="B102" s="1967"/>
      <c r="C102" s="592">
        <f t="array" aca="1" ref="C102" ca="1">SUM(B32:B39*Produccion!$C$8:$C$15)</f>
        <v>0</v>
      </c>
      <c r="D102" s="592">
        <f t="array" aca="1" ref="D102" ca="1">SUM(C32:C39*Produccion!$C$8:$C$15)</f>
        <v>0</v>
      </c>
      <c r="E102" s="592">
        <f t="array" aca="1" ref="E102" ca="1">SUM(D32:D39*Produccion!$C$8:$C$15)</f>
        <v>0</v>
      </c>
      <c r="F102" s="592">
        <f t="array" aca="1" ref="F102" ca="1">SUM(E32:E39*Produccion!$C$8:$C$15)</f>
        <v>0</v>
      </c>
      <c r="G102" s="592">
        <f t="array" aca="1" ref="G102" ca="1">SUM(F32:F39*Produccion!$C$8:$C$15)</f>
        <v>0</v>
      </c>
      <c r="H102" s="592">
        <f t="array" aca="1" ref="H102" ca="1">SUM(G32:G39*Produccion!$C$8:$C$15)</f>
        <v>0</v>
      </c>
      <c r="I102" s="592">
        <f t="array" aca="1" ref="I102" ca="1">SUM(H32:H39*Produccion!$C$8:$C$15)</f>
        <v>0</v>
      </c>
      <c r="J102" s="592">
        <f t="array" aca="1" ref="J102" ca="1">SUM(I32:I39*Produccion!$C$8:$C$15)</f>
        <v>0</v>
      </c>
      <c r="K102" s="592">
        <f t="array" aca="1" ref="K102" ca="1">SUM(J32:J39*Produccion!$C$8:$C$15)</f>
        <v>0</v>
      </c>
      <c r="L102" s="592">
        <f t="array" aca="1" ref="L102" ca="1">SUM(K32:K39*Produccion!$C$8:$C$15)</f>
        <v>0</v>
      </c>
      <c r="M102" s="592">
        <f t="array" aca="1" ref="M102" ca="1">SUM(L32:L39*Produccion!$C$8:$C$15)</f>
        <v>0</v>
      </c>
      <c r="N102" s="592">
        <f t="array" aca="1" ref="N102" ca="1">SUM(M32:M39*Produccion!$C$8:$C$15)</f>
        <v>0</v>
      </c>
      <c r="O102" s="1968">
        <f ca="1">'Distr CV 3'!C102</f>
        <v>0</v>
      </c>
      <c r="P102" s="1968">
        <f ca="1"/>
        <v>0</v>
      </c>
      <c r="Q102" s="1968">
        <f ca="1"/>
        <v>0</v>
      </c>
      <c r="R102" s="1968">
        <f ca="1"/>
        <v>0</v>
      </c>
      <c r="S102" s="1968">
        <f ca="1"/>
        <v>0</v>
      </c>
      <c r="T102" s="1968">
        <f ca="1"/>
        <v>0</v>
      </c>
      <c r="U102" s="1968">
        <f ca="1"/>
        <v>0</v>
      </c>
      <c r="V102" s="1968">
        <f ca="1"/>
        <v>0</v>
      </c>
      <c r="W102" s="1968">
        <f ca="1"/>
        <v>0</v>
      </c>
      <c r="X102" s="1968">
        <f ca="1"/>
        <v>0</v>
      </c>
      <c r="Y102" s="1986">
        <f ca="1"/>
        <v>0</v>
      </c>
    </row>
    <row r="103" spans="1:26" ht="15.75" customHeight="1" thickBot="1">
      <c r="A103" s="1971" t="str">
        <v>12 meses antes</v>
      </c>
      <c r="B103" s="592">
        <f t="array" aca="1" ref="B103" ca="1">SUM(B32:B39*Produccion!$B$8:$B$15)</f>
        <v>0</v>
      </c>
      <c r="C103" s="592">
        <f t="array" aca="1" ref="C103" ca="1">SUM(C32:C39*Produccion!$B$8:$B$15)</f>
        <v>0</v>
      </c>
      <c r="D103" s="592">
        <f t="array" aca="1" ref="D103" ca="1">SUM(D32:D39*Produccion!$B$8:$B$15)</f>
        <v>0</v>
      </c>
      <c r="E103" s="592">
        <f t="array" aca="1" ref="E103" ca="1">SUM(E32:E39*Produccion!$B$8:$B$15)</f>
        <v>0</v>
      </c>
      <c r="F103" s="592">
        <f t="array" aca="1" ref="F103" ca="1">SUM(F32:F39*Produccion!$B$8:$B$15)</f>
        <v>0</v>
      </c>
      <c r="G103" s="592">
        <f t="array" aca="1" ref="G103" ca="1">SUM(G32:G39*Produccion!$B$8:$B$15)</f>
        <v>0</v>
      </c>
      <c r="H103" s="592">
        <f t="array" aca="1" ref="H103" ca="1">SUM(H32:H39*Produccion!$B$8:$B$15)</f>
        <v>0</v>
      </c>
      <c r="I103" s="592">
        <f t="array" aca="1" ref="I103" ca="1">SUM(I32:I39*Produccion!$B$8:$B$15)</f>
        <v>0</v>
      </c>
      <c r="J103" s="592">
        <f t="array" aca="1" ref="J103" ca="1">SUM(J32:J39*Produccion!$B$8:$B$15)</f>
        <v>0</v>
      </c>
      <c r="K103" s="592">
        <f t="array" aca="1" ref="K103" ca="1">SUM(K32:K39*Produccion!$B$8:$B$15)</f>
        <v>0</v>
      </c>
      <c r="L103" s="592">
        <f t="array" aca="1" ref="L103" ca="1">SUM(L32:L39*Produccion!$B$8:$B$15)</f>
        <v>0</v>
      </c>
      <c r="M103" s="592">
        <f t="array" aca="1" ref="M103" ca="1">SUM(M32:M39*Produccion!$B$8:$B$15)</f>
        <v>0</v>
      </c>
      <c r="N103" s="1968">
        <f ca="1">'Distr CV 3'!B103</f>
        <v>0</v>
      </c>
      <c r="O103" s="1968">
        <f ca="1">'Distr CV 3'!C103</f>
        <v>0</v>
      </c>
      <c r="P103" s="1968">
        <f ca="1"/>
        <v>0</v>
      </c>
      <c r="Q103" s="1968">
        <f ca="1"/>
        <v>0</v>
      </c>
      <c r="R103" s="1968">
        <f ca="1"/>
        <v>0</v>
      </c>
      <c r="S103" s="1968">
        <f ca="1"/>
        <v>0</v>
      </c>
      <c r="T103" s="1968">
        <f ca="1"/>
        <v>0</v>
      </c>
      <c r="U103" s="1968">
        <f ca="1"/>
        <v>0</v>
      </c>
      <c r="V103" s="1968">
        <f ca="1"/>
        <v>0</v>
      </c>
      <c r="W103" s="1968">
        <f ca="1"/>
        <v>0</v>
      </c>
      <c r="X103" s="1968">
        <f ca="1"/>
        <v>0</v>
      </c>
      <c r="Y103" s="1986">
        <f ca="1"/>
        <v>0</v>
      </c>
    </row>
    <row r="104" spans="1:26" ht="15.75" customHeight="1" thickBot="1">
      <c r="A104" s="103" t="str">
        <v>Totales</v>
      </c>
      <c r="B104" s="596">
        <f t="shared" ref="B104:Y104" ca="1" si="9">SUM(B91:B103)</f>
        <v>0</v>
      </c>
      <c r="C104" s="596">
        <f t="shared" ca="1" si="9"/>
        <v>0</v>
      </c>
      <c r="D104" s="596">
        <f t="shared" ca="1" si="9"/>
        <v>0</v>
      </c>
      <c r="E104" s="596">
        <f t="shared" ca="1" si="9"/>
        <v>0</v>
      </c>
      <c r="F104" s="596">
        <f t="shared" ca="1" si="9"/>
        <v>0</v>
      </c>
      <c r="G104" s="596">
        <f t="shared" ca="1" si="9"/>
        <v>0</v>
      </c>
      <c r="H104" s="596">
        <f t="shared" ca="1" si="9"/>
        <v>0</v>
      </c>
      <c r="I104" s="596">
        <f t="shared" ca="1" si="9"/>
        <v>0</v>
      </c>
      <c r="J104" s="596">
        <f t="shared" ca="1" si="9"/>
        <v>0</v>
      </c>
      <c r="K104" s="596">
        <f t="shared" ca="1" si="9"/>
        <v>0</v>
      </c>
      <c r="L104" s="596">
        <f t="shared" ca="1" si="9"/>
        <v>0</v>
      </c>
      <c r="M104" s="596">
        <f t="shared" ca="1" si="9"/>
        <v>0</v>
      </c>
      <c r="N104" s="596">
        <f t="shared" ca="1" si="9"/>
        <v>60.564000000000007</v>
      </c>
      <c r="O104" s="596">
        <f t="shared" ca="1" si="9"/>
        <v>75.705000000000013</v>
      </c>
      <c r="P104" s="596">
        <f t="shared" ca="1" si="9"/>
        <v>83.275499999999994</v>
      </c>
      <c r="Q104" s="596">
        <f t="shared" ca="1" si="9"/>
        <v>79.490250000000003</v>
      </c>
      <c r="R104" s="596">
        <f t="shared" ca="1" si="9"/>
        <v>68.134500000000003</v>
      </c>
      <c r="S104" s="596">
        <f t="shared" ca="1" si="9"/>
        <v>64.349249999999998</v>
      </c>
      <c r="T104" s="596">
        <f t="shared" ca="1" si="9"/>
        <v>60.564000000000007</v>
      </c>
      <c r="U104" s="596">
        <f t="shared" ca="1" si="9"/>
        <v>45.423000000000002</v>
      </c>
      <c r="V104" s="596">
        <f t="shared" ca="1" si="9"/>
        <v>60.564000000000007</v>
      </c>
      <c r="W104" s="596">
        <f t="shared" ca="1" si="9"/>
        <v>71.919750000000008</v>
      </c>
      <c r="X104" s="596">
        <f t="shared" ca="1" si="9"/>
        <v>75.705000000000013</v>
      </c>
      <c r="Y104" s="1984">
        <f t="shared" ca="1" si="9"/>
        <v>90.846000000000004</v>
      </c>
    </row>
    <row r="106" spans="1:26">
      <c r="A106" s="232" t="str">
        <f>'Datos Básicos'!A28&amp;" del pendiente anterior"</f>
        <v>IVA del pendiente anterior</v>
      </c>
      <c r="B106" s="61">
        <f ca="1">SUM(B104:M104)</f>
        <v>0</v>
      </c>
    </row>
    <row r="108" spans="1:26">
      <c r="F108" s="61" t="s">
        <v>885</v>
      </c>
      <c r="K108" s="61" t="s">
        <v>887</v>
      </c>
    </row>
    <row r="109" spans="1:26" ht="18.75" thickBot="1">
      <c r="A109" s="1969" t="str">
        <f>'Distr CV 0'!A109</f>
        <v>Compras / costes de producción por meses de producto o servicio</v>
      </c>
      <c r="I109" s="1969" t="str">
        <f>I$18</f>
        <v>IVA NO incluido</v>
      </c>
      <c r="K109" s="1981">
        <f>Parametros!$F$24</f>
        <v>0.21</v>
      </c>
    </row>
    <row r="110" spans="1:26" s="445" customFormat="1" ht="30" customHeight="1" thickBot="1">
      <c r="A110" s="446" t="s">
        <v>886</v>
      </c>
      <c r="B110" s="1987" t="str">
        <f t="array" ref="B110:Y110">B$71:Y$71</f>
        <v>enero 
2027</v>
      </c>
      <c r="C110" s="1987" t="str">
        <v>febrero 
2027</v>
      </c>
      <c r="D110" s="1987" t="str">
        <v>marzo 
2027</v>
      </c>
      <c r="E110" s="1987" t="str">
        <v>abril 
2027</v>
      </c>
      <c r="F110" s="1987" t="str">
        <v>mayo 
2027</v>
      </c>
      <c r="G110" s="1987" t="str">
        <v>junio 
2027</v>
      </c>
      <c r="H110" s="1987" t="str">
        <v>julio 
2027</v>
      </c>
      <c r="I110" s="1987" t="str">
        <v>agosto 
2027</v>
      </c>
      <c r="J110" s="1987" t="str">
        <v>septiembre 
2027</v>
      </c>
      <c r="K110" s="1987" t="str">
        <v>octubre 
2027</v>
      </c>
      <c r="L110" s="1987" t="str">
        <v>noviembre 
2027</v>
      </c>
      <c r="M110" s="1987" t="str">
        <v>diciembre 
2027</v>
      </c>
      <c r="N110" s="2703" t="str">
        <v>enero 
2028</v>
      </c>
      <c r="O110" s="2704" t="str">
        <v>febrero 
2028</v>
      </c>
      <c r="P110" s="2704" t="str">
        <v>marzo 
2028</v>
      </c>
      <c r="Q110" s="2704" t="str">
        <v>abril 
2028</v>
      </c>
      <c r="R110" s="2704" t="str">
        <v>mayo 
2028</v>
      </c>
      <c r="S110" s="2704" t="str">
        <v>junio 
2028</v>
      </c>
      <c r="T110" s="2704" t="str">
        <v>julio 
2028</v>
      </c>
      <c r="U110" s="2704" t="str">
        <v>agosto 
2028</v>
      </c>
      <c r="V110" s="2704" t="str">
        <v>septiembre 
2028</v>
      </c>
      <c r="W110" s="2704" t="str">
        <v>octubre 
2028</v>
      </c>
      <c r="X110" s="2704" t="str">
        <v>noviembre 
2028</v>
      </c>
      <c r="Y110" s="2705" t="str">
        <v>diciembre 
2028</v>
      </c>
      <c r="Z110" s="61"/>
    </row>
    <row r="111" spans="1:26">
      <c r="A111" s="1970" t="str">
        <f t="array" ref="A111:A123">A$72:A$84</f>
        <v>mismo mes</v>
      </c>
      <c r="B111" s="1967"/>
      <c r="C111" s="1967"/>
      <c r="D111" s="1967"/>
      <c r="E111" s="1967"/>
      <c r="F111" s="1967"/>
      <c r="G111" s="1967"/>
      <c r="H111" s="1967"/>
      <c r="I111" s="1967"/>
      <c r="J111" s="1967"/>
      <c r="K111" s="1967"/>
      <c r="L111" s="1967"/>
      <c r="M111" s="1967"/>
      <c r="N111" s="592">
        <f t="array" aca="1" ref="N111:Y111" ca="1">B$20:M20*Produccion!$N$8</f>
        <v>288.40000000000003</v>
      </c>
      <c r="O111" s="592">
        <f ca="1"/>
        <v>360.50000000000006</v>
      </c>
      <c r="P111" s="592">
        <f ca="1"/>
        <v>396.55</v>
      </c>
      <c r="Q111" s="592">
        <f ca="1"/>
        <v>378.52500000000003</v>
      </c>
      <c r="R111" s="592">
        <f ca="1"/>
        <v>324.45000000000005</v>
      </c>
      <c r="S111" s="592">
        <f ca="1"/>
        <v>306.42500000000001</v>
      </c>
      <c r="T111" s="592">
        <f ca="1"/>
        <v>288.40000000000003</v>
      </c>
      <c r="U111" s="592">
        <f ca="1"/>
        <v>216.3</v>
      </c>
      <c r="V111" s="592">
        <f ca="1"/>
        <v>288.40000000000003</v>
      </c>
      <c r="W111" s="592">
        <f ca="1"/>
        <v>342.47500000000002</v>
      </c>
      <c r="X111" s="592">
        <f ca="1"/>
        <v>360.50000000000006</v>
      </c>
      <c r="Y111" s="1982">
        <f ca="1"/>
        <v>432.6</v>
      </c>
    </row>
    <row r="112" spans="1:26">
      <c r="A112" s="1971" t="str">
        <v>1 mes antes</v>
      </c>
      <c r="B112" s="1967"/>
      <c r="C112" s="1967"/>
      <c r="D112" s="1967"/>
      <c r="E112" s="1967"/>
      <c r="F112" s="1967"/>
      <c r="G112" s="1967"/>
      <c r="H112" s="1967"/>
      <c r="I112" s="1967"/>
      <c r="J112" s="1967"/>
      <c r="K112" s="1967"/>
      <c r="L112" s="1967"/>
      <c r="M112" s="592">
        <f t="array" aca="1" ref="M112:X112" ca="1">B$20:M20*Produccion!$M$8</f>
        <v>0</v>
      </c>
      <c r="N112" s="592">
        <f ca="1"/>
        <v>0</v>
      </c>
      <c r="O112" s="592">
        <f ca="1"/>
        <v>0</v>
      </c>
      <c r="P112" s="592">
        <f ca="1"/>
        <v>0</v>
      </c>
      <c r="Q112" s="592">
        <f ca="1"/>
        <v>0</v>
      </c>
      <c r="R112" s="592">
        <f ca="1"/>
        <v>0</v>
      </c>
      <c r="S112" s="592">
        <f ca="1"/>
        <v>0</v>
      </c>
      <c r="T112" s="592">
        <f ca="1"/>
        <v>0</v>
      </c>
      <c r="U112" s="592">
        <f ca="1"/>
        <v>0</v>
      </c>
      <c r="V112" s="592">
        <f ca="1"/>
        <v>0</v>
      </c>
      <c r="W112" s="592">
        <f ca="1"/>
        <v>0</v>
      </c>
      <c r="X112" s="592">
        <f ca="1"/>
        <v>0</v>
      </c>
      <c r="Y112" s="1983">
        <f t="array" aca="1" ref="Y112:Y123" ca="1">'Distr CV 3'!M112:M123</f>
        <v>0</v>
      </c>
    </row>
    <row r="113" spans="1:25">
      <c r="A113" s="1971" t="str">
        <v>2 meses antes</v>
      </c>
      <c r="B113" s="1967"/>
      <c r="C113" s="1967"/>
      <c r="D113" s="1967"/>
      <c r="E113" s="1967"/>
      <c r="F113" s="1967"/>
      <c r="G113" s="1967"/>
      <c r="H113" s="1967"/>
      <c r="I113" s="1967"/>
      <c r="J113" s="1967"/>
      <c r="K113" s="1967"/>
      <c r="L113" s="592">
        <f t="array" aca="1" ref="L113:W113" ca="1">B$20:M20*Produccion!$L$8</f>
        <v>0</v>
      </c>
      <c r="M113" s="592">
        <f ca="1"/>
        <v>0</v>
      </c>
      <c r="N113" s="592">
        <f ca="1"/>
        <v>0</v>
      </c>
      <c r="O113" s="592">
        <f ca="1"/>
        <v>0</v>
      </c>
      <c r="P113" s="592">
        <f ca="1"/>
        <v>0</v>
      </c>
      <c r="Q113" s="592">
        <f ca="1"/>
        <v>0</v>
      </c>
      <c r="R113" s="592">
        <f ca="1"/>
        <v>0</v>
      </c>
      <c r="S113" s="592">
        <f ca="1"/>
        <v>0</v>
      </c>
      <c r="T113" s="592">
        <f ca="1"/>
        <v>0</v>
      </c>
      <c r="U113" s="592">
        <f ca="1"/>
        <v>0</v>
      </c>
      <c r="V113" s="592">
        <f ca="1"/>
        <v>0</v>
      </c>
      <c r="W113" s="592">
        <f ca="1"/>
        <v>0</v>
      </c>
      <c r="X113" s="1964">
        <f t="array" aca="1" ref="X113:X123" ca="1">'Distr CV 3'!L113:L123</f>
        <v>0</v>
      </c>
      <c r="Y113" s="1983">
        <f ca="1"/>
        <v>0</v>
      </c>
    </row>
    <row r="114" spans="1:25">
      <c r="A114" s="1971" t="str">
        <v>3 meses antes</v>
      </c>
      <c r="B114" s="1967"/>
      <c r="C114" s="1967"/>
      <c r="D114" s="1967"/>
      <c r="E114" s="1967"/>
      <c r="F114" s="1967"/>
      <c r="G114" s="1967"/>
      <c r="H114" s="1967"/>
      <c r="I114" s="1967"/>
      <c r="J114" s="1967"/>
      <c r="K114" s="592">
        <f t="array" aca="1" ref="K114:V114" ca="1">B$20:M20*Produccion!$K$8</f>
        <v>0</v>
      </c>
      <c r="L114" s="592">
        <f ca="1"/>
        <v>0</v>
      </c>
      <c r="M114" s="592">
        <f ca="1"/>
        <v>0</v>
      </c>
      <c r="N114" s="592">
        <f ca="1"/>
        <v>0</v>
      </c>
      <c r="O114" s="592">
        <f ca="1"/>
        <v>0</v>
      </c>
      <c r="P114" s="592">
        <f ca="1"/>
        <v>0</v>
      </c>
      <c r="Q114" s="592">
        <f ca="1"/>
        <v>0</v>
      </c>
      <c r="R114" s="592">
        <f ca="1"/>
        <v>0</v>
      </c>
      <c r="S114" s="592">
        <f ca="1"/>
        <v>0</v>
      </c>
      <c r="T114" s="592">
        <f ca="1"/>
        <v>0</v>
      </c>
      <c r="U114" s="592">
        <f ca="1"/>
        <v>0</v>
      </c>
      <c r="V114" s="592">
        <f ca="1"/>
        <v>0</v>
      </c>
      <c r="W114" s="1964">
        <f t="array" aca="1" ref="W114:W123" ca="1">'Distr CV 3'!K114:K123</f>
        <v>0</v>
      </c>
      <c r="X114" s="1964">
        <f ca="1"/>
        <v>0</v>
      </c>
      <c r="Y114" s="1983">
        <f ca="1"/>
        <v>0</v>
      </c>
    </row>
    <row r="115" spans="1:25">
      <c r="A115" s="1971" t="str">
        <v>4 meses antes</v>
      </c>
      <c r="B115" s="1967"/>
      <c r="C115" s="1967"/>
      <c r="D115" s="1967"/>
      <c r="E115" s="1967"/>
      <c r="F115" s="1967"/>
      <c r="G115" s="1967"/>
      <c r="H115" s="1967"/>
      <c r="I115" s="1967"/>
      <c r="J115" s="592">
        <f t="array" aca="1" ref="J115:U115" ca="1">B$20:M20*Produccion!$J$8</f>
        <v>0</v>
      </c>
      <c r="K115" s="592">
        <f ca="1"/>
        <v>0</v>
      </c>
      <c r="L115" s="592">
        <f ca="1"/>
        <v>0</v>
      </c>
      <c r="M115" s="592">
        <f ca="1"/>
        <v>0</v>
      </c>
      <c r="N115" s="592">
        <f ca="1"/>
        <v>0</v>
      </c>
      <c r="O115" s="592">
        <f ca="1"/>
        <v>0</v>
      </c>
      <c r="P115" s="592">
        <f ca="1"/>
        <v>0</v>
      </c>
      <c r="Q115" s="592">
        <f ca="1"/>
        <v>0</v>
      </c>
      <c r="R115" s="592">
        <f ca="1"/>
        <v>0</v>
      </c>
      <c r="S115" s="592">
        <f ca="1"/>
        <v>0</v>
      </c>
      <c r="T115" s="592">
        <f ca="1"/>
        <v>0</v>
      </c>
      <c r="U115" s="592">
        <f ca="1"/>
        <v>0</v>
      </c>
      <c r="V115" s="1964">
        <f t="array" aca="1" ref="V115:V123" ca="1">'Distr CV 3'!J115:J123</f>
        <v>0</v>
      </c>
      <c r="W115" s="1964">
        <f ca="1"/>
        <v>0</v>
      </c>
      <c r="X115" s="1964">
        <f ca="1"/>
        <v>0</v>
      </c>
      <c r="Y115" s="1983">
        <f ca="1"/>
        <v>0</v>
      </c>
    </row>
    <row r="116" spans="1:25">
      <c r="A116" s="1971" t="str">
        <v>5 meses antes</v>
      </c>
      <c r="B116" s="1967"/>
      <c r="C116" s="1967"/>
      <c r="D116" s="1967"/>
      <c r="E116" s="1967"/>
      <c r="F116" s="1967"/>
      <c r="G116" s="1967"/>
      <c r="H116" s="1967"/>
      <c r="I116" s="592">
        <f t="array" aca="1" ref="I116:T116" ca="1">B$20:M20*Produccion!$I$8</f>
        <v>0</v>
      </c>
      <c r="J116" s="592">
        <f ca="1"/>
        <v>0</v>
      </c>
      <c r="K116" s="592">
        <f ca="1"/>
        <v>0</v>
      </c>
      <c r="L116" s="592">
        <f ca="1"/>
        <v>0</v>
      </c>
      <c r="M116" s="592">
        <f ca="1"/>
        <v>0</v>
      </c>
      <c r="N116" s="592">
        <f ca="1"/>
        <v>0</v>
      </c>
      <c r="O116" s="592">
        <f ca="1"/>
        <v>0</v>
      </c>
      <c r="P116" s="592">
        <f ca="1"/>
        <v>0</v>
      </c>
      <c r="Q116" s="592">
        <f ca="1"/>
        <v>0</v>
      </c>
      <c r="R116" s="592">
        <f ca="1"/>
        <v>0</v>
      </c>
      <c r="S116" s="592">
        <f ca="1"/>
        <v>0</v>
      </c>
      <c r="T116" s="592">
        <f ca="1"/>
        <v>0</v>
      </c>
      <c r="U116" s="1964">
        <f t="array" aca="1" ref="U116:U123" ca="1">'Distr CV 3'!I116:I123</f>
        <v>0</v>
      </c>
      <c r="V116" s="1964">
        <f ca="1"/>
        <v>0</v>
      </c>
      <c r="W116" s="1964">
        <f ca="1"/>
        <v>0</v>
      </c>
      <c r="X116" s="1964">
        <f ca="1"/>
        <v>0</v>
      </c>
      <c r="Y116" s="1983">
        <f ca="1"/>
        <v>0</v>
      </c>
    </row>
    <row r="117" spans="1:25">
      <c r="A117" s="1971" t="str">
        <v>6 meses antes</v>
      </c>
      <c r="B117" s="1967"/>
      <c r="C117" s="1967"/>
      <c r="D117" s="1967"/>
      <c r="E117" s="1967"/>
      <c r="F117" s="1967"/>
      <c r="G117" s="1967"/>
      <c r="H117" s="592">
        <f t="array" aca="1" ref="H117:S117" ca="1">B$20:M20*Produccion!$H$8</f>
        <v>0</v>
      </c>
      <c r="I117" s="592">
        <f ca="1"/>
        <v>0</v>
      </c>
      <c r="J117" s="592">
        <f ca="1"/>
        <v>0</v>
      </c>
      <c r="K117" s="592">
        <f ca="1"/>
        <v>0</v>
      </c>
      <c r="L117" s="592">
        <f ca="1"/>
        <v>0</v>
      </c>
      <c r="M117" s="592">
        <f ca="1"/>
        <v>0</v>
      </c>
      <c r="N117" s="592">
        <f ca="1"/>
        <v>0</v>
      </c>
      <c r="O117" s="592">
        <f ca="1"/>
        <v>0</v>
      </c>
      <c r="P117" s="592">
        <f ca="1"/>
        <v>0</v>
      </c>
      <c r="Q117" s="592">
        <f ca="1"/>
        <v>0</v>
      </c>
      <c r="R117" s="592">
        <f ca="1"/>
        <v>0</v>
      </c>
      <c r="S117" s="592">
        <f ca="1"/>
        <v>0</v>
      </c>
      <c r="T117" s="1964">
        <f t="array" aca="1" ref="T117:T123" ca="1">'Distr CV 3'!H117:H123</f>
        <v>0</v>
      </c>
      <c r="U117" s="1964">
        <f ca="1"/>
        <v>0</v>
      </c>
      <c r="V117" s="1964">
        <f ca="1"/>
        <v>0</v>
      </c>
      <c r="W117" s="1964">
        <f ca="1"/>
        <v>0</v>
      </c>
      <c r="X117" s="1964">
        <f ca="1"/>
        <v>0</v>
      </c>
      <c r="Y117" s="1983">
        <f ca="1"/>
        <v>0</v>
      </c>
    </row>
    <row r="118" spans="1:25">
      <c r="A118" s="1971" t="str">
        <v>7 meses antes</v>
      </c>
      <c r="B118" s="1967"/>
      <c r="C118" s="1967"/>
      <c r="D118" s="1967"/>
      <c r="E118" s="1967"/>
      <c r="F118" s="1967"/>
      <c r="G118" s="592">
        <f t="array" aca="1" ref="G118:R118" ca="1">B$20:M20*Produccion!$G$8</f>
        <v>0</v>
      </c>
      <c r="H118" s="592">
        <f ca="1"/>
        <v>0</v>
      </c>
      <c r="I118" s="592">
        <f ca="1"/>
        <v>0</v>
      </c>
      <c r="J118" s="592">
        <f ca="1"/>
        <v>0</v>
      </c>
      <c r="K118" s="592">
        <f ca="1"/>
        <v>0</v>
      </c>
      <c r="L118" s="592">
        <f ca="1"/>
        <v>0</v>
      </c>
      <c r="M118" s="592">
        <f ca="1"/>
        <v>0</v>
      </c>
      <c r="N118" s="592">
        <f ca="1"/>
        <v>0</v>
      </c>
      <c r="O118" s="592">
        <f ca="1"/>
        <v>0</v>
      </c>
      <c r="P118" s="592">
        <f ca="1"/>
        <v>0</v>
      </c>
      <c r="Q118" s="592">
        <f ca="1"/>
        <v>0</v>
      </c>
      <c r="R118" s="592">
        <f ca="1"/>
        <v>0</v>
      </c>
      <c r="S118" s="1968">
        <f t="array" aca="1" ref="S118:S123" ca="1">'Distr CV 3'!G118:G123</f>
        <v>0</v>
      </c>
      <c r="T118" s="1968">
        <f ca="1"/>
        <v>0</v>
      </c>
      <c r="U118" s="1968">
        <f ca="1"/>
        <v>0</v>
      </c>
      <c r="V118" s="1968">
        <f ca="1"/>
        <v>0</v>
      </c>
      <c r="W118" s="1968">
        <f ca="1"/>
        <v>0</v>
      </c>
      <c r="X118" s="1968">
        <f ca="1"/>
        <v>0</v>
      </c>
      <c r="Y118" s="1986">
        <f ca="1"/>
        <v>0</v>
      </c>
    </row>
    <row r="119" spans="1:25">
      <c r="A119" s="1971" t="str">
        <v>8 meses antes</v>
      </c>
      <c r="B119" s="1967"/>
      <c r="C119" s="1967"/>
      <c r="D119" s="1967"/>
      <c r="E119" s="1967"/>
      <c r="F119" s="592">
        <f t="array" aca="1" ref="F119:Q119" ca="1">B$20:M20*Produccion!$F$8</f>
        <v>0</v>
      </c>
      <c r="G119" s="592">
        <f ca="1"/>
        <v>0</v>
      </c>
      <c r="H119" s="592">
        <f ca="1"/>
        <v>0</v>
      </c>
      <c r="I119" s="592">
        <f ca="1"/>
        <v>0</v>
      </c>
      <c r="J119" s="592">
        <f ca="1"/>
        <v>0</v>
      </c>
      <c r="K119" s="592">
        <f ca="1"/>
        <v>0</v>
      </c>
      <c r="L119" s="592">
        <f ca="1"/>
        <v>0</v>
      </c>
      <c r="M119" s="592">
        <f ca="1"/>
        <v>0</v>
      </c>
      <c r="N119" s="592">
        <f ca="1"/>
        <v>0</v>
      </c>
      <c r="O119" s="592">
        <f ca="1"/>
        <v>0</v>
      </c>
      <c r="P119" s="592">
        <f ca="1"/>
        <v>0</v>
      </c>
      <c r="Q119" s="592">
        <f ca="1"/>
        <v>0</v>
      </c>
      <c r="R119" s="1968">
        <f t="array" aca="1" ref="R119:R123" ca="1">'Distr CV 3'!F119:F123</f>
        <v>0</v>
      </c>
      <c r="S119" s="1968">
        <f ca="1"/>
        <v>0</v>
      </c>
      <c r="T119" s="1968">
        <f ca="1"/>
        <v>0</v>
      </c>
      <c r="U119" s="1968">
        <f ca="1"/>
        <v>0</v>
      </c>
      <c r="V119" s="1968">
        <f ca="1"/>
        <v>0</v>
      </c>
      <c r="W119" s="1968">
        <f ca="1"/>
        <v>0</v>
      </c>
      <c r="X119" s="1968">
        <f ca="1"/>
        <v>0</v>
      </c>
      <c r="Y119" s="1986">
        <f ca="1"/>
        <v>0</v>
      </c>
    </row>
    <row r="120" spans="1:25">
      <c r="A120" s="1971" t="str">
        <v>9 meses antes</v>
      </c>
      <c r="B120" s="1967"/>
      <c r="C120" s="1967"/>
      <c r="D120" s="1967"/>
      <c r="E120" s="592">
        <f t="array" aca="1" ref="E120:P120" ca="1">B$20:M20*Produccion!$E$8</f>
        <v>0</v>
      </c>
      <c r="F120" s="592">
        <f ca="1"/>
        <v>0</v>
      </c>
      <c r="G120" s="592">
        <f ca="1"/>
        <v>0</v>
      </c>
      <c r="H120" s="592">
        <f ca="1"/>
        <v>0</v>
      </c>
      <c r="I120" s="592">
        <f ca="1"/>
        <v>0</v>
      </c>
      <c r="J120" s="592">
        <f ca="1"/>
        <v>0</v>
      </c>
      <c r="K120" s="592">
        <f ca="1"/>
        <v>0</v>
      </c>
      <c r="L120" s="592">
        <f ca="1"/>
        <v>0</v>
      </c>
      <c r="M120" s="592">
        <f ca="1"/>
        <v>0</v>
      </c>
      <c r="N120" s="592">
        <f ca="1"/>
        <v>0</v>
      </c>
      <c r="O120" s="592">
        <f ca="1"/>
        <v>0</v>
      </c>
      <c r="P120" s="592">
        <f ca="1"/>
        <v>0</v>
      </c>
      <c r="Q120" s="1968">
        <f t="array" aca="1" ref="Q120:Q123" ca="1">'Distr CV 3'!E120:E123</f>
        <v>0</v>
      </c>
      <c r="R120" s="1968">
        <f ca="1"/>
        <v>0</v>
      </c>
      <c r="S120" s="1968">
        <f ca="1"/>
        <v>0</v>
      </c>
      <c r="T120" s="1968">
        <f ca="1"/>
        <v>0</v>
      </c>
      <c r="U120" s="1968">
        <f ca="1"/>
        <v>0</v>
      </c>
      <c r="V120" s="1968">
        <f ca="1"/>
        <v>0</v>
      </c>
      <c r="W120" s="1968">
        <f ca="1"/>
        <v>0</v>
      </c>
      <c r="X120" s="1968">
        <f ca="1"/>
        <v>0</v>
      </c>
      <c r="Y120" s="1986">
        <f ca="1"/>
        <v>0</v>
      </c>
    </row>
    <row r="121" spans="1:25">
      <c r="A121" s="1971" t="str">
        <v>10 meses antes</v>
      </c>
      <c r="B121" s="1967"/>
      <c r="C121" s="1967"/>
      <c r="D121" s="592">
        <f t="array" aca="1" ref="D121:O121" ca="1">B$20:M20*Produccion!$D$8</f>
        <v>0</v>
      </c>
      <c r="E121" s="592">
        <f ca="1"/>
        <v>0</v>
      </c>
      <c r="F121" s="592">
        <f ca="1"/>
        <v>0</v>
      </c>
      <c r="G121" s="592">
        <f ca="1"/>
        <v>0</v>
      </c>
      <c r="H121" s="592">
        <f ca="1"/>
        <v>0</v>
      </c>
      <c r="I121" s="592">
        <f ca="1"/>
        <v>0</v>
      </c>
      <c r="J121" s="592">
        <f ca="1"/>
        <v>0</v>
      </c>
      <c r="K121" s="592">
        <f ca="1"/>
        <v>0</v>
      </c>
      <c r="L121" s="592">
        <f ca="1"/>
        <v>0</v>
      </c>
      <c r="M121" s="592">
        <f ca="1"/>
        <v>0</v>
      </c>
      <c r="N121" s="592">
        <f ca="1"/>
        <v>0</v>
      </c>
      <c r="O121" s="592">
        <f ca="1"/>
        <v>0</v>
      </c>
      <c r="P121" s="1968">
        <f t="array" aca="1" ref="P121:P123" ca="1">'Distr CV 3'!D121:D123</f>
        <v>0</v>
      </c>
      <c r="Q121" s="1968">
        <f ca="1"/>
        <v>0</v>
      </c>
      <c r="R121" s="1968">
        <f ca="1"/>
        <v>0</v>
      </c>
      <c r="S121" s="1968">
        <f ca="1"/>
        <v>0</v>
      </c>
      <c r="T121" s="1968">
        <f ca="1"/>
        <v>0</v>
      </c>
      <c r="U121" s="1968">
        <f ca="1"/>
        <v>0</v>
      </c>
      <c r="V121" s="1968">
        <f ca="1"/>
        <v>0</v>
      </c>
      <c r="W121" s="1968">
        <f ca="1"/>
        <v>0</v>
      </c>
      <c r="X121" s="1968">
        <f ca="1"/>
        <v>0</v>
      </c>
      <c r="Y121" s="1986">
        <f ca="1"/>
        <v>0</v>
      </c>
    </row>
    <row r="122" spans="1:25">
      <c r="A122" s="1971" t="str">
        <v>11 meses antes</v>
      </c>
      <c r="B122" s="1967"/>
      <c r="C122" s="592">
        <f t="array" aca="1" ref="C122:N122" ca="1">B$20:M20*Produccion!$C$8</f>
        <v>0</v>
      </c>
      <c r="D122" s="592">
        <f ca="1"/>
        <v>0</v>
      </c>
      <c r="E122" s="592">
        <f ca="1"/>
        <v>0</v>
      </c>
      <c r="F122" s="592">
        <f ca="1"/>
        <v>0</v>
      </c>
      <c r="G122" s="592">
        <f ca="1"/>
        <v>0</v>
      </c>
      <c r="H122" s="592">
        <f ca="1"/>
        <v>0</v>
      </c>
      <c r="I122" s="592">
        <f ca="1"/>
        <v>0</v>
      </c>
      <c r="J122" s="592">
        <f ca="1"/>
        <v>0</v>
      </c>
      <c r="K122" s="592">
        <f ca="1"/>
        <v>0</v>
      </c>
      <c r="L122" s="592">
        <f ca="1"/>
        <v>0</v>
      </c>
      <c r="M122" s="592">
        <f ca="1"/>
        <v>0</v>
      </c>
      <c r="N122" s="592">
        <f ca="1"/>
        <v>0</v>
      </c>
      <c r="O122" s="1968">
        <f ca="1">'Distr CV 3'!C122</f>
        <v>0</v>
      </c>
      <c r="P122" s="1968">
        <f ca="1"/>
        <v>0</v>
      </c>
      <c r="Q122" s="1968">
        <f ca="1"/>
        <v>0</v>
      </c>
      <c r="R122" s="1968">
        <f ca="1"/>
        <v>0</v>
      </c>
      <c r="S122" s="1968">
        <f ca="1"/>
        <v>0</v>
      </c>
      <c r="T122" s="1968">
        <f ca="1"/>
        <v>0</v>
      </c>
      <c r="U122" s="1968">
        <f ca="1"/>
        <v>0</v>
      </c>
      <c r="V122" s="1968">
        <f ca="1"/>
        <v>0</v>
      </c>
      <c r="W122" s="1968">
        <f ca="1"/>
        <v>0</v>
      </c>
      <c r="X122" s="1968">
        <f ca="1"/>
        <v>0</v>
      </c>
      <c r="Y122" s="1986">
        <f ca="1"/>
        <v>0</v>
      </c>
    </row>
    <row r="123" spans="1:25" ht="13.5" thickBot="1">
      <c r="A123" s="1971" t="str">
        <v>12 meses antes</v>
      </c>
      <c r="B123" s="592">
        <f t="array" aca="1" ref="B123:M123" ca="1">B$20:M20*Produccion!$B$8</f>
        <v>0</v>
      </c>
      <c r="C123" s="592">
        <f ca="1"/>
        <v>0</v>
      </c>
      <c r="D123" s="592">
        <f ca="1"/>
        <v>0</v>
      </c>
      <c r="E123" s="592">
        <f ca="1"/>
        <v>0</v>
      </c>
      <c r="F123" s="592">
        <f ca="1"/>
        <v>0</v>
      </c>
      <c r="G123" s="592">
        <f ca="1"/>
        <v>0</v>
      </c>
      <c r="H123" s="592">
        <f ca="1"/>
        <v>0</v>
      </c>
      <c r="I123" s="592">
        <f ca="1"/>
        <v>0</v>
      </c>
      <c r="J123" s="592">
        <f ca="1"/>
        <v>0</v>
      </c>
      <c r="K123" s="592">
        <f ca="1"/>
        <v>0</v>
      </c>
      <c r="L123" s="592">
        <f ca="1"/>
        <v>0</v>
      </c>
      <c r="M123" s="592">
        <f ca="1"/>
        <v>0</v>
      </c>
      <c r="N123" s="1968">
        <f ca="1">'Distr CV 3'!B123</f>
        <v>0</v>
      </c>
      <c r="O123" s="1968">
        <f ca="1">'Distr CV 3'!C123</f>
        <v>0</v>
      </c>
      <c r="P123" s="1968">
        <f ca="1"/>
        <v>0</v>
      </c>
      <c r="Q123" s="1968">
        <f ca="1"/>
        <v>0</v>
      </c>
      <c r="R123" s="1968">
        <f ca="1"/>
        <v>0</v>
      </c>
      <c r="S123" s="1968">
        <f ca="1"/>
        <v>0</v>
      </c>
      <c r="T123" s="1968">
        <f ca="1"/>
        <v>0</v>
      </c>
      <c r="U123" s="1968">
        <f ca="1"/>
        <v>0</v>
      </c>
      <c r="V123" s="1968">
        <f ca="1"/>
        <v>0</v>
      </c>
      <c r="W123" s="1968">
        <f ca="1"/>
        <v>0</v>
      </c>
      <c r="X123" s="1968">
        <f ca="1"/>
        <v>0</v>
      </c>
      <c r="Y123" s="1986">
        <f ca="1"/>
        <v>0</v>
      </c>
    </row>
    <row r="124" spans="1:25" ht="15.75" customHeight="1" thickBot="1">
      <c r="A124" s="103" t="str">
        <f>"Totales CV "&amp;A$8</f>
        <v>Totales CV producto o servicio</v>
      </c>
      <c r="B124" s="596">
        <f t="shared" ref="B124:Y124" ca="1" si="10">SUM(B111:B123)</f>
        <v>0</v>
      </c>
      <c r="C124" s="596">
        <f t="shared" ca="1" si="10"/>
        <v>0</v>
      </c>
      <c r="D124" s="596">
        <f t="shared" ca="1" si="10"/>
        <v>0</v>
      </c>
      <c r="E124" s="596">
        <f t="shared" ca="1" si="10"/>
        <v>0</v>
      </c>
      <c r="F124" s="596">
        <f t="shared" ca="1" si="10"/>
        <v>0</v>
      </c>
      <c r="G124" s="596">
        <f t="shared" ca="1" si="10"/>
        <v>0</v>
      </c>
      <c r="H124" s="596">
        <f t="shared" ca="1" si="10"/>
        <v>0</v>
      </c>
      <c r="I124" s="596">
        <f t="shared" ca="1" si="10"/>
        <v>0</v>
      </c>
      <c r="J124" s="596">
        <f t="shared" ca="1" si="10"/>
        <v>0</v>
      </c>
      <c r="K124" s="596">
        <f t="shared" ca="1" si="10"/>
        <v>0</v>
      </c>
      <c r="L124" s="596">
        <f t="shared" ca="1" si="10"/>
        <v>0</v>
      </c>
      <c r="M124" s="596">
        <f t="shared" ca="1" si="10"/>
        <v>0</v>
      </c>
      <c r="N124" s="596">
        <f t="shared" ca="1" si="10"/>
        <v>288.40000000000003</v>
      </c>
      <c r="O124" s="596">
        <f t="shared" ca="1" si="10"/>
        <v>360.50000000000006</v>
      </c>
      <c r="P124" s="596">
        <f t="shared" ca="1" si="10"/>
        <v>396.55</v>
      </c>
      <c r="Q124" s="596">
        <f t="shared" ca="1" si="10"/>
        <v>378.52500000000003</v>
      </c>
      <c r="R124" s="596">
        <f t="shared" ca="1" si="10"/>
        <v>324.45000000000005</v>
      </c>
      <c r="S124" s="596">
        <f t="shared" ca="1" si="10"/>
        <v>306.42500000000001</v>
      </c>
      <c r="T124" s="596">
        <f t="shared" ca="1" si="10"/>
        <v>288.40000000000003</v>
      </c>
      <c r="U124" s="596">
        <f t="shared" ca="1" si="10"/>
        <v>216.3</v>
      </c>
      <c r="V124" s="596">
        <f t="shared" ca="1" si="10"/>
        <v>288.40000000000003</v>
      </c>
      <c r="W124" s="596">
        <f t="shared" ca="1" si="10"/>
        <v>342.47500000000002</v>
      </c>
      <c r="X124" s="596">
        <f t="shared" ca="1" si="10"/>
        <v>360.50000000000006</v>
      </c>
      <c r="Y124" s="1984">
        <f t="shared" ca="1" si="10"/>
        <v>432.6</v>
      </c>
    </row>
    <row r="125" spans="1:25" ht="15.75" customHeight="1" thickBot="1">
      <c r="A125" s="103" t="str">
        <f>'Datos Básicos'!A28&amp;" sop. CV "&amp;$A$8</f>
        <v>IVA sop. CV producto o servicio</v>
      </c>
      <c r="B125" s="596">
        <f t="array" aca="1" ref="B125:Y125" ca="1">$K$109*B124:Y124</f>
        <v>0</v>
      </c>
      <c r="C125" s="596">
        <f ca="1"/>
        <v>0</v>
      </c>
      <c r="D125" s="596">
        <f ca="1"/>
        <v>0</v>
      </c>
      <c r="E125" s="596">
        <f ca="1"/>
        <v>0</v>
      </c>
      <c r="F125" s="596">
        <f ca="1"/>
        <v>0</v>
      </c>
      <c r="G125" s="596">
        <f ca="1"/>
        <v>0</v>
      </c>
      <c r="H125" s="596">
        <f ca="1"/>
        <v>0</v>
      </c>
      <c r="I125" s="596">
        <f ca="1"/>
        <v>0</v>
      </c>
      <c r="J125" s="596">
        <f ca="1"/>
        <v>0</v>
      </c>
      <c r="K125" s="596">
        <f ca="1"/>
        <v>0</v>
      </c>
      <c r="L125" s="596">
        <f ca="1"/>
        <v>0</v>
      </c>
      <c r="M125" s="596">
        <f ca="1"/>
        <v>0</v>
      </c>
      <c r="N125" s="596">
        <f ca="1"/>
        <v>60.564000000000007</v>
      </c>
      <c r="O125" s="596">
        <f ca="1"/>
        <v>75.705000000000013</v>
      </c>
      <c r="P125" s="596">
        <f ca="1"/>
        <v>83.275499999999994</v>
      </c>
      <c r="Q125" s="596">
        <f ca="1"/>
        <v>79.490250000000003</v>
      </c>
      <c r="R125" s="596">
        <f ca="1"/>
        <v>68.134500000000003</v>
      </c>
      <c r="S125" s="596">
        <f ca="1"/>
        <v>64.349249999999998</v>
      </c>
      <c r="T125" s="596">
        <f ca="1"/>
        <v>60.564000000000007</v>
      </c>
      <c r="U125" s="596">
        <f ca="1"/>
        <v>45.423000000000002</v>
      </c>
      <c r="V125" s="596">
        <f ca="1"/>
        <v>60.564000000000007</v>
      </c>
      <c r="W125" s="596">
        <f ca="1"/>
        <v>71.919750000000008</v>
      </c>
      <c r="X125" s="596">
        <f ca="1"/>
        <v>75.705000000000013</v>
      </c>
      <c r="Y125" s="1984">
        <f ca="1"/>
        <v>90.846000000000004</v>
      </c>
    </row>
    <row r="127" spans="1:25" ht="18.75" thickBot="1">
      <c r="A127" s="1969" t="str">
        <f>'Distr CV 0'!A127</f>
        <v xml:space="preserve">Compras / costes de producción por meses de </v>
      </c>
      <c r="I127" s="1969" t="str">
        <f>I$18</f>
        <v>IVA NO incluido</v>
      </c>
      <c r="K127" s="1981">
        <f>Parametros!$F$25</f>
        <v>0.21</v>
      </c>
    </row>
    <row r="128" spans="1:25" ht="30" customHeight="1" thickBot="1">
      <c r="A128" s="446" t="str">
        <f>A$110</f>
        <v>mes de compra / coste</v>
      </c>
      <c r="B128" s="1987" t="str">
        <f t="array" ref="B128:Y128">B$71:Y$71</f>
        <v>enero 
2027</v>
      </c>
      <c r="C128" s="1987" t="str">
        <v>febrero 
2027</v>
      </c>
      <c r="D128" s="1987" t="str">
        <v>marzo 
2027</v>
      </c>
      <c r="E128" s="1987" t="str">
        <v>abril 
2027</v>
      </c>
      <c r="F128" s="1987" t="str">
        <v>mayo 
2027</v>
      </c>
      <c r="G128" s="1987" t="str">
        <v>junio 
2027</v>
      </c>
      <c r="H128" s="1987" t="str">
        <v>julio 
2027</v>
      </c>
      <c r="I128" s="1987" t="str">
        <v>agosto 
2027</v>
      </c>
      <c r="J128" s="1987" t="str">
        <v>septiembre 
2027</v>
      </c>
      <c r="K128" s="1987" t="str">
        <v>octubre 
2027</v>
      </c>
      <c r="L128" s="1987" t="str">
        <v>noviembre 
2027</v>
      </c>
      <c r="M128" s="1987" t="str">
        <v>diciembre 
2027</v>
      </c>
      <c r="N128" s="2703" t="str">
        <v>enero 
2028</v>
      </c>
      <c r="O128" s="2704" t="str">
        <v>febrero 
2028</v>
      </c>
      <c r="P128" s="2704" t="str">
        <v>marzo 
2028</v>
      </c>
      <c r="Q128" s="2704" t="str">
        <v>abril 
2028</v>
      </c>
      <c r="R128" s="2704" t="str">
        <v>mayo 
2028</v>
      </c>
      <c r="S128" s="2704" t="str">
        <v>junio 
2028</v>
      </c>
      <c r="T128" s="2704" t="str">
        <v>julio 
2028</v>
      </c>
      <c r="U128" s="2704" t="str">
        <v>agosto 
2028</v>
      </c>
      <c r="V128" s="2704" t="str">
        <v>septiembre 
2028</v>
      </c>
      <c r="W128" s="2704" t="str">
        <v>octubre 
2028</v>
      </c>
      <c r="X128" s="2704" t="str">
        <v>noviembre 
2028</v>
      </c>
      <c r="Y128" s="2705" t="str">
        <v>diciembre 
2028</v>
      </c>
    </row>
    <row r="129" spans="1:25">
      <c r="A129" s="1970" t="str">
        <f t="array" ref="A129:A141">A$72:A$84</f>
        <v>mismo mes</v>
      </c>
      <c r="B129" s="1967"/>
      <c r="C129" s="1967"/>
      <c r="D129" s="1967"/>
      <c r="E129" s="1967"/>
      <c r="F129" s="1967"/>
      <c r="G129" s="1967"/>
      <c r="H129" s="1967"/>
      <c r="I129" s="1967"/>
      <c r="J129" s="1967"/>
      <c r="K129" s="1967"/>
      <c r="L129" s="1967"/>
      <c r="M129" s="1967"/>
      <c r="N129" s="592">
        <f t="array" aca="1" ref="N129:Y129" ca="1">B21:M21*Produccion!$N$9</f>
        <v>0</v>
      </c>
      <c r="O129" s="592">
        <f ca="1"/>
        <v>0</v>
      </c>
      <c r="P129" s="592">
        <f ca="1"/>
        <v>0</v>
      </c>
      <c r="Q129" s="592">
        <f ca="1"/>
        <v>0</v>
      </c>
      <c r="R129" s="592">
        <f ca="1"/>
        <v>0</v>
      </c>
      <c r="S129" s="592">
        <f ca="1"/>
        <v>0</v>
      </c>
      <c r="T129" s="592">
        <f ca="1"/>
        <v>0</v>
      </c>
      <c r="U129" s="592">
        <f ca="1"/>
        <v>0</v>
      </c>
      <c r="V129" s="592">
        <f ca="1"/>
        <v>0</v>
      </c>
      <c r="W129" s="592">
        <f ca="1"/>
        <v>0</v>
      </c>
      <c r="X129" s="592">
        <f ca="1"/>
        <v>0</v>
      </c>
      <c r="Y129" s="1982">
        <f ca="1"/>
        <v>0</v>
      </c>
    </row>
    <row r="130" spans="1:25">
      <c r="A130" s="1971" t="str">
        <v>1 mes antes</v>
      </c>
      <c r="B130" s="1967"/>
      <c r="C130" s="1967"/>
      <c r="D130" s="1967"/>
      <c r="E130" s="1967"/>
      <c r="F130" s="1967"/>
      <c r="G130" s="1967"/>
      <c r="H130" s="1967"/>
      <c r="I130" s="1967"/>
      <c r="J130" s="1967"/>
      <c r="K130" s="1967"/>
      <c r="L130" s="1967"/>
      <c r="M130" s="592">
        <f t="array" aca="1" ref="M130:X130" ca="1">B21:M21*Produccion!$M$9</f>
        <v>0</v>
      </c>
      <c r="N130" s="592">
        <f ca="1"/>
        <v>0</v>
      </c>
      <c r="O130" s="592">
        <f ca="1"/>
        <v>0</v>
      </c>
      <c r="P130" s="592">
        <f ca="1"/>
        <v>0</v>
      </c>
      <c r="Q130" s="592">
        <f ca="1"/>
        <v>0</v>
      </c>
      <c r="R130" s="592">
        <f ca="1"/>
        <v>0</v>
      </c>
      <c r="S130" s="592">
        <f ca="1"/>
        <v>0</v>
      </c>
      <c r="T130" s="592">
        <f ca="1"/>
        <v>0</v>
      </c>
      <c r="U130" s="592">
        <f ca="1"/>
        <v>0</v>
      </c>
      <c r="V130" s="592">
        <f ca="1"/>
        <v>0</v>
      </c>
      <c r="W130" s="592">
        <f ca="1"/>
        <v>0</v>
      </c>
      <c r="X130" s="592">
        <f ca="1"/>
        <v>0</v>
      </c>
      <c r="Y130" s="1983">
        <f t="array" aca="1" ref="Y130:Y141" ca="1">'Distr CV 3'!M130:M141</f>
        <v>0</v>
      </c>
    </row>
    <row r="131" spans="1:25">
      <c r="A131" s="1971" t="str">
        <v>2 meses antes</v>
      </c>
      <c r="B131" s="1967"/>
      <c r="C131" s="1967"/>
      <c r="D131" s="1967"/>
      <c r="E131" s="1967"/>
      <c r="F131" s="1967"/>
      <c r="G131" s="1967"/>
      <c r="H131" s="1967"/>
      <c r="I131" s="1967"/>
      <c r="J131" s="1967"/>
      <c r="K131" s="1967"/>
      <c r="L131" s="592">
        <f t="array" aca="1" ref="L131:W131" ca="1">B21:M21*Produccion!$L$9</f>
        <v>0</v>
      </c>
      <c r="M131" s="592">
        <f ca="1"/>
        <v>0</v>
      </c>
      <c r="N131" s="592">
        <f ca="1"/>
        <v>0</v>
      </c>
      <c r="O131" s="592">
        <f ca="1"/>
        <v>0</v>
      </c>
      <c r="P131" s="592">
        <f ca="1"/>
        <v>0</v>
      </c>
      <c r="Q131" s="592">
        <f ca="1"/>
        <v>0</v>
      </c>
      <c r="R131" s="592">
        <f ca="1"/>
        <v>0</v>
      </c>
      <c r="S131" s="592">
        <f ca="1"/>
        <v>0</v>
      </c>
      <c r="T131" s="592">
        <f ca="1"/>
        <v>0</v>
      </c>
      <c r="U131" s="592">
        <f ca="1"/>
        <v>0</v>
      </c>
      <c r="V131" s="592">
        <f ca="1"/>
        <v>0</v>
      </c>
      <c r="W131" s="592">
        <f ca="1"/>
        <v>0</v>
      </c>
      <c r="X131" s="1964">
        <f t="array" aca="1" ref="X131:X141" ca="1">'Distr CV 3'!L131:L141</f>
        <v>0</v>
      </c>
      <c r="Y131" s="1983">
        <f ca="1"/>
        <v>0</v>
      </c>
    </row>
    <row r="132" spans="1:25">
      <c r="A132" s="1971" t="str">
        <v>3 meses antes</v>
      </c>
      <c r="B132" s="1967"/>
      <c r="C132" s="1967"/>
      <c r="D132" s="1967"/>
      <c r="E132" s="1967"/>
      <c r="F132" s="1967"/>
      <c r="G132" s="1967"/>
      <c r="H132" s="1967"/>
      <c r="I132" s="1967"/>
      <c r="J132" s="1967"/>
      <c r="K132" s="592">
        <f t="array" aca="1" ref="K132:V132" ca="1">B21:M21*Produccion!$K$9</f>
        <v>0</v>
      </c>
      <c r="L132" s="592">
        <f ca="1"/>
        <v>0</v>
      </c>
      <c r="M132" s="592">
        <f ca="1"/>
        <v>0</v>
      </c>
      <c r="N132" s="592">
        <f ca="1"/>
        <v>0</v>
      </c>
      <c r="O132" s="592">
        <f ca="1"/>
        <v>0</v>
      </c>
      <c r="P132" s="592">
        <f ca="1"/>
        <v>0</v>
      </c>
      <c r="Q132" s="592">
        <f ca="1"/>
        <v>0</v>
      </c>
      <c r="R132" s="592">
        <f ca="1"/>
        <v>0</v>
      </c>
      <c r="S132" s="592">
        <f ca="1"/>
        <v>0</v>
      </c>
      <c r="T132" s="592">
        <f ca="1"/>
        <v>0</v>
      </c>
      <c r="U132" s="592">
        <f ca="1"/>
        <v>0</v>
      </c>
      <c r="V132" s="592">
        <f ca="1"/>
        <v>0</v>
      </c>
      <c r="W132" s="1964">
        <f t="array" aca="1" ref="W132:W141" ca="1">'Distr CV 3'!K132:K141</f>
        <v>0</v>
      </c>
      <c r="X132" s="1964">
        <f ca="1"/>
        <v>0</v>
      </c>
      <c r="Y132" s="1983">
        <f ca="1"/>
        <v>0</v>
      </c>
    </row>
    <row r="133" spans="1:25">
      <c r="A133" s="1971" t="str">
        <v>4 meses antes</v>
      </c>
      <c r="B133" s="1967"/>
      <c r="C133" s="1967"/>
      <c r="D133" s="1967"/>
      <c r="E133" s="1967"/>
      <c r="F133" s="1967"/>
      <c r="G133" s="1967"/>
      <c r="H133" s="1967"/>
      <c r="I133" s="1967"/>
      <c r="J133" s="592">
        <f t="array" aca="1" ref="J133:U133" ca="1">B21:M21*Produccion!$J$9</f>
        <v>0</v>
      </c>
      <c r="K133" s="592">
        <f ca="1"/>
        <v>0</v>
      </c>
      <c r="L133" s="592">
        <f ca="1"/>
        <v>0</v>
      </c>
      <c r="M133" s="592">
        <f ca="1"/>
        <v>0</v>
      </c>
      <c r="N133" s="592">
        <f ca="1"/>
        <v>0</v>
      </c>
      <c r="O133" s="592">
        <f ca="1"/>
        <v>0</v>
      </c>
      <c r="P133" s="592">
        <f ca="1"/>
        <v>0</v>
      </c>
      <c r="Q133" s="592">
        <f ca="1"/>
        <v>0</v>
      </c>
      <c r="R133" s="592">
        <f ca="1"/>
        <v>0</v>
      </c>
      <c r="S133" s="592">
        <f ca="1"/>
        <v>0</v>
      </c>
      <c r="T133" s="592">
        <f ca="1"/>
        <v>0</v>
      </c>
      <c r="U133" s="592">
        <f ca="1"/>
        <v>0</v>
      </c>
      <c r="V133" s="1964">
        <f t="array" aca="1" ref="V133:V141" ca="1">'Distr CV 3'!J133:J141</f>
        <v>0</v>
      </c>
      <c r="W133" s="1964">
        <f ca="1"/>
        <v>0</v>
      </c>
      <c r="X133" s="1964">
        <f ca="1"/>
        <v>0</v>
      </c>
      <c r="Y133" s="1983">
        <f ca="1"/>
        <v>0</v>
      </c>
    </row>
    <row r="134" spans="1:25">
      <c r="A134" s="1971" t="str">
        <v>5 meses antes</v>
      </c>
      <c r="B134" s="1967"/>
      <c r="C134" s="1967"/>
      <c r="D134" s="1967"/>
      <c r="E134" s="1967"/>
      <c r="F134" s="1967"/>
      <c r="G134" s="1967"/>
      <c r="H134" s="1967"/>
      <c r="I134" s="592">
        <f t="array" aca="1" ref="I134:T134" ca="1">B21:M21*Produccion!$I$9</f>
        <v>0</v>
      </c>
      <c r="J134" s="592">
        <f ca="1"/>
        <v>0</v>
      </c>
      <c r="K134" s="592">
        <f ca="1"/>
        <v>0</v>
      </c>
      <c r="L134" s="592">
        <f ca="1"/>
        <v>0</v>
      </c>
      <c r="M134" s="592">
        <f ca="1"/>
        <v>0</v>
      </c>
      <c r="N134" s="592">
        <f ca="1"/>
        <v>0</v>
      </c>
      <c r="O134" s="592">
        <f ca="1"/>
        <v>0</v>
      </c>
      <c r="P134" s="592">
        <f ca="1"/>
        <v>0</v>
      </c>
      <c r="Q134" s="592">
        <f ca="1"/>
        <v>0</v>
      </c>
      <c r="R134" s="592">
        <f ca="1"/>
        <v>0</v>
      </c>
      <c r="S134" s="592">
        <f ca="1"/>
        <v>0</v>
      </c>
      <c r="T134" s="592">
        <f ca="1"/>
        <v>0</v>
      </c>
      <c r="U134" s="1964">
        <f t="array" aca="1" ref="U134:U141" ca="1">'Distr CV 3'!I134:I141</f>
        <v>0</v>
      </c>
      <c r="V134" s="1964">
        <f ca="1"/>
        <v>0</v>
      </c>
      <c r="W134" s="1964">
        <f ca="1"/>
        <v>0</v>
      </c>
      <c r="X134" s="1964">
        <f ca="1"/>
        <v>0</v>
      </c>
      <c r="Y134" s="1983">
        <f ca="1"/>
        <v>0</v>
      </c>
    </row>
    <row r="135" spans="1:25">
      <c r="A135" s="1971" t="str">
        <v>6 meses antes</v>
      </c>
      <c r="B135" s="1967"/>
      <c r="C135" s="1967"/>
      <c r="D135" s="1967"/>
      <c r="E135" s="1967"/>
      <c r="F135" s="1967"/>
      <c r="G135" s="1967"/>
      <c r="H135" s="592">
        <f t="array" aca="1" ref="H135:S135" ca="1">B21:M21*Produccion!$H$9</f>
        <v>0</v>
      </c>
      <c r="I135" s="592">
        <f ca="1"/>
        <v>0</v>
      </c>
      <c r="J135" s="592">
        <f ca="1"/>
        <v>0</v>
      </c>
      <c r="K135" s="592">
        <f ca="1"/>
        <v>0</v>
      </c>
      <c r="L135" s="592">
        <f ca="1"/>
        <v>0</v>
      </c>
      <c r="M135" s="592">
        <f ca="1"/>
        <v>0</v>
      </c>
      <c r="N135" s="592">
        <f ca="1"/>
        <v>0</v>
      </c>
      <c r="O135" s="592">
        <f ca="1"/>
        <v>0</v>
      </c>
      <c r="P135" s="592">
        <f ca="1"/>
        <v>0</v>
      </c>
      <c r="Q135" s="592">
        <f ca="1"/>
        <v>0</v>
      </c>
      <c r="R135" s="592">
        <f ca="1"/>
        <v>0</v>
      </c>
      <c r="S135" s="592">
        <f ca="1"/>
        <v>0</v>
      </c>
      <c r="T135" s="1964">
        <f t="array" aca="1" ref="T135:T141" ca="1">'Distr CV 3'!H135:H141</f>
        <v>0</v>
      </c>
      <c r="U135" s="1964">
        <f ca="1"/>
        <v>0</v>
      </c>
      <c r="V135" s="1964">
        <f ca="1"/>
        <v>0</v>
      </c>
      <c r="W135" s="1964">
        <f ca="1"/>
        <v>0</v>
      </c>
      <c r="X135" s="1964">
        <f ca="1"/>
        <v>0</v>
      </c>
      <c r="Y135" s="1983">
        <f ca="1"/>
        <v>0</v>
      </c>
    </row>
    <row r="136" spans="1:25">
      <c r="A136" s="1971" t="str">
        <v>7 meses antes</v>
      </c>
      <c r="B136" s="1967"/>
      <c r="C136" s="1967"/>
      <c r="D136" s="1967"/>
      <c r="E136" s="1967"/>
      <c r="F136" s="1967"/>
      <c r="G136" s="592">
        <f t="array" aca="1" ref="G136:R136" ca="1">B21:M21*Produccion!$G$9</f>
        <v>0</v>
      </c>
      <c r="H136" s="592">
        <f ca="1"/>
        <v>0</v>
      </c>
      <c r="I136" s="592">
        <f ca="1"/>
        <v>0</v>
      </c>
      <c r="J136" s="592">
        <f ca="1"/>
        <v>0</v>
      </c>
      <c r="K136" s="592">
        <f ca="1"/>
        <v>0</v>
      </c>
      <c r="L136" s="592">
        <f ca="1"/>
        <v>0</v>
      </c>
      <c r="M136" s="592">
        <f ca="1"/>
        <v>0</v>
      </c>
      <c r="N136" s="592">
        <f ca="1"/>
        <v>0</v>
      </c>
      <c r="O136" s="592">
        <f ca="1"/>
        <v>0</v>
      </c>
      <c r="P136" s="592">
        <f ca="1"/>
        <v>0</v>
      </c>
      <c r="Q136" s="592">
        <f ca="1"/>
        <v>0</v>
      </c>
      <c r="R136" s="592">
        <f ca="1"/>
        <v>0</v>
      </c>
      <c r="S136" s="1968">
        <f t="array" aca="1" ref="S136:S141" ca="1">'Distr CV 3'!G136:G141</f>
        <v>0</v>
      </c>
      <c r="T136" s="1968">
        <f ca="1"/>
        <v>0</v>
      </c>
      <c r="U136" s="1968">
        <f ca="1"/>
        <v>0</v>
      </c>
      <c r="V136" s="1968">
        <f ca="1"/>
        <v>0</v>
      </c>
      <c r="W136" s="1968">
        <f ca="1"/>
        <v>0</v>
      </c>
      <c r="X136" s="1968">
        <f ca="1"/>
        <v>0</v>
      </c>
      <c r="Y136" s="1986">
        <f ca="1"/>
        <v>0</v>
      </c>
    </row>
    <row r="137" spans="1:25">
      <c r="A137" s="1971" t="str">
        <v>8 meses antes</v>
      </c>
      <c r="B137" s="1967"/>
      <c r="C137" s="1967"/>
      <c r="D137" s="1967"/>
      <c r="E137" s="1967"/>
      <c r="F137" s="592">
        <f t="array" aca="1" ref="F137:Q137" ca="1">B21:M21*Produccion!$F$9</f>
        <v>0</v>
      </c>
      <c r="G137" s="592">
        <f ca="1"/>
        <v>0</v>
      </c>
      <c r="H137" s="592">
        <f ca="1"/>
        <v>0</v>
      </c>
      <c r="I137" s="592">
        <f ca="1"/>
        <v>0</v>
      </c>
      <c r="J137" s="592">
        <f ca="1"/>
        <v>0</v>
      </c>
      <c r="K137" s="592">
        <f ca="1"/>
        <v>0</v>
      </c>
      <c r="L137" s="592">
        <f ca="1"/>
        <v>0</v>
      </c>
      <c r="M137" s="592">
        <f ca="1"/>
        <v>0</v>
      </c>
      <c r="N137" s="592">
        <f ca="1"/>
        <v>0</v>
      </c>
      <c r="O137" s="592">
        <f ca="1"/>
        <v>0</v>
      </c>
      <c r="P137" s="592">
        <f ca="1"/>
        <v>0</v>
      </c>
      <c r="Q137" s="592">
        <f ca="1"/>
        <v>0</v>
      </c>
      <c r="R137" s="1968">
        <f t="array" aca="1" ref="R137:R141" ca="1">'Distr CV 3'!F137:F141</f>
        <v>0</v>
      </c>
      <c r="S137" s="1968">
        <f ca="1"/>
        <v>0</v>
      </c>
      <c r="T137" s="1968">
        <f ca="1"/>
        <v>0</v>
      </c>
      <c r="U137" s="1968">
        <f ca="1"/>
        <v>0</v>
      </c>
      <c r="V137" s="1968">
        <f ca="1"/>
        <v>0</v>
      </c>
      <c r="W137" s="1968">
        <f ca="1"/>
        <v>0</v>
      </c>
      <c r="X137" s="1968">
        <f ca="1"/>
        <v>0</v>
      </c>
      <c r="Y137" s="1986">
        <f ca="1"/>
        <v>0</v>
      </c>
    </row>
    <row r="138" spans="1:25">
      <c r="A138" s="1971" t="str">
        <v>9 meses antes</v>
      </c>
      <c r="B138" s="1967"/>
      <c r="C138" s="1967"/>
      <c r="D138" s="1967"/>
      <c r="E138" s="592">
        <f t="array" aca="1" ref="E138:P138" ca="1">B21:M21*Produccion!$E$9</f>
        <v>0</v>
      </c>
      <c r="F138" s="592">
        <f ca="1"/>
        <v>0</v>
      </c>
      <c r="G138" s="592">
        <f ca="1"/>
        <v>0</v>
      </c>
      <c r="H138" s="592">
        <f ca="1"/>
        <v>0</v>
      </c>
      <c r="I138" s="592">
        <f ca="1"/>
        <v>0</v>
      </c>
      <c r="J138" s="592">
        <f ca="1"/>
        <v>0</v>
      </c>
      <c r="K138" s="592">
        <f ca="1"/>
        <v>0</v>
      </c>
      <c r="L138" s="592">
        <f ca="1"/>
        <v>0</v>
      </c>
      <c r="M138" s="592">
        <f ca="1"/>
        <v>0</v>
      </c>
      <c r="N138" s="592">
        <f ca="1"/>
        <v>0</v>
      </c>
      <c r="O138" s="592">
        <f ca="1"/>
        <v>0</v>
      </c>
      <c r="P138" s="592">
        <f ca="1"/>
        <v>0</v>
      </c>
      <c r="Q138" s="1968">
        <f t="array" aca="1" ref="Q138:Q141" ca="1">'Distr CV 3'!E138:E141</f>
        <v>0</v>
      </c>
      <c r="R138" s="1968">
        <f ca="1"/>
        <v>0</v>
      </c>
      <c r="S138" s="1968">
        <f ca="1"/>
        <v>0</v>
      </c>
      <c r="T138" s="1968">
        <f ca="1"/>
        <v>0</v>
      </c>
      <c r="U138" s="1968">
        <f ca="1"/>
        <v>0</v>
      </c>
      <c r="V138" s="1968">
        <f ca="1"/>
        <v>0</v>
      </c>
      <c r="W138" s="1968">
        <f ca="1"/>
        <v>0</v>
      </c>
      <c r="X138" s="1968">
        <f ca="1"/>
        <v>0</v>
      </c>
      <c r="Y138" s="1986">
        <f ca="1"/>
        <v>0</v>
      </c>
    </row>
    <row r="139" spans="1:25">
      <c r="A139" s="1971" t="str">
        <v>10 meses antes</v>
      </c>
      <c r="B139" s="1967"/>
      <c r="C139" s="1967"/>
      <c r="D139" s="592">
        <f t="array" aca="1" ref="D139:O139" ca="1">B21:M21*Produccion!$D$9</f>
        <v>0</v>
      </c>
      <c r="E139" s="592">
        <f ca="1"/>
        <v>0</v>
      </c>
      <c r="F139" s="592">
        <f ca="1"/>
        <v>0</v>
      </c>
      <c r="G139" s="592">
        <f ca="1"/>
        <v>0</v>
      </c>
      <c r="H139" s="592">
        <f ca="1"/>
        <v>0</v>
      </c>
      <c r="I139" s="592">
        <f ca="1"/>
        <v>0</v>
      </c>
      <c r="J139" s="592">
        <f ca="1"/>
        <v>0</v>
      </c>
      <c r="K139" s="592">
        <f ca="1"/>
        <v>0</v>
      </c>
      <c r="L139" s="592">
        <f ca="1"/>
        <v>0</v>
      </c>
      <c r="M139" s="592">
        <f ca="1"/>
        <v>0</v>
      </c>
      <c r="N139" s="592">
        <f ca="1"/>
        <v>0</v>
      </c>
      <c r="O139" s="592">
        <f ca="1"/>
        <v>0</v>
      </c>
      <c r="P139" s="1968">
        <f t="array" aca="1" ref="P139:P141" ca="1">'Distr CV 3'!D139:D141</f>
        <v>0</v>
      </c>
      <c r="Q139" s="1968">
        <f ca="1"/>
        <v>0</v>
      </c>
      <c r="R139" s="1968">
        <f ca="1"/>
        <v>0</v>
      </c>
      <c r="S139" s="1968">
        <f ca="1"/>
        <v>0</v>
      </c>
      <c r="T139" s="1968">
        <f ca="1"/>
        <v>0</v>
      </c>
      <c r="U139" s="1968">
        <f ca="1"/>
        <v>0</v>
      </c>
      <c r="V139" s="1968">
        <f ca="1"/>
        <v>0</v>
      </c>
      <c r="W139" s="1968">
        <f ca="1"/>
        <v>0</v>
      </c>
      <c r="X139" s="1968">
        <f ca="1"/>
        <v>0</v>
      </c>
      <c r="Y139" s="1986">
        <f ca="1"/>
        <v>0</v>
      </c>
    </row>
    <row r="140" spans="1:25">
      <c r="A140" s="1971" t="str">
        <v>11 meses antes</v>
      </c>
      <c r="B140" s="1967"/>
      <c r="C140" s="592">
        <f t="array" aca="1" ref="C140:N140" ca="1">B21:M21*Produccion!$C$9</f>
        <v>0</v>
      </c>
      <c r="D140" s="592">
        <f ca="1"/>
        <v>0</v>
      </c>
      <c r="E140" s="592">
        <f ca="1"/>
        <v>0</v>
      </c>
      <c r="F140" s="592">
        <f ca="1"/>
        <v>0</v>
      </c>
      <c r="G140" s="592">
        <f ca="1"/>
        <v>0</v>
      </c>
      <c r="H140" s="592">
        <f ca="1"/>
        <v>0</v>
      </c>
      <c r="I140" s="592">
        <f ca="1"/>
        <v>0</v>
      </c>
      <c r="J140" s="592">
        <f ca="1"/>
        <v>0</v>
      </c>
      <c r="K140" s="592">
        <f ca="1"/>
        <v>0</v>
      </c>
      <c r="L140" s="592">
        <f ca="1"/>
        <v>0</v>
      </c>
      <c r="M140" s="592">
        <f ca="1"/>
        <v>0</v>
      </c>
      <c r="N140" s="592">
        <f ca="1"/>
        <v>0</v>
      </c>
      <c r="O140" s="1968">
        <f ca="1">'Distr CV 3'!C140</f>
        <v>0</v>
      </c>
      <c r="P140" s="1968">
        <f ca="1"/>
        <v>0</v>
      </c>
      <c r="Q140" s="1968">
        <f ca="1"/>
        <v>0</v>
      </c>
      <c r="R140" s="1968">
        <f ca="1"/>
        <v>0</v>
      </c>
      <c r="S140" s="1968">
        <f ca="1"/>
        <v>0</v>
      </c>
      <c r="T140" s="1968">
        <f ca="1"/>
        <v>0</v>
      </c>
      <c r="U140" s="1968">
        <f ca="1"/>
        <v>0</v>
      </c>
      <c r="V140" s="1968">
        <f ca="1"/>
        <v>0</v>
      </c>
      <c r="W140" s="1968">
        <f ca="1"/>
        <v>0</v>
      </c>
      <c r="X140" s="1968">
        <f ca="1"/>
        <v>0</v>
      </c>
      <c r="Y140" s="1986">
        <f ca="1"/>
        <v>0</v>
      </c>
    </row>
    <row r="141" spans="1:25" ht="13.5" thickBot="1">
      <c r="A141" s="1971" t="str">
        <v>12 meses antes</v>
      </c>
      <c r="B141" s="592">
        <f t="array" aca="1" ref="B141:M141" ca="1">B21:M21*Produccion!$B$9</f>
        <v>0</v>
      </c>
      <c r="C141" s="592">
        <f ca="1"/>
        <v>0</v>
      </c>
      <c r="D141" s="592">
        <f ca="1"/>
        <v>0</v>
      </c>
      <c r="E141" s="592">
        <f ca="1"/>
        <v>0</v>
      </c>
      <c r="F141" s="592">
        <f ca="1"/>
        <v>0</v>
      </c>
      <c r="G141" s="592">
        <f ca="1"/>
        <v>0</v>
      </c>
      <c r="H141" s="592">
        <f ca="1"/>
        <v>0</v>
      </c>
      <c r="I141" s="592">
        <f ca="1"/>
        <v>0</v>
      </c>
      <c r="J141" s="592">
        <f ca="1"/>
        <v>0</v>
      </c>
      <c r="K141" s="592">
        <f ca="1"/>
        <v>0</v>
      </c>
      <c r="L141" s="592">
        <f ca="1"/>
        <v>0</v>
      </c>
      <c r="M141" s="592">
        <f ca="1"/>
        <v>0</v>
      </c>
      <c r="N141" s="1967">
        <f ca="1">'Distr CV 3'!B141</f>
        <v>0</v>
      </c>
      <c r="O141" s="1968">
        <f ca="1">'Distr CV 3'!C141</f>
        <v>0</v>
      </c>
      <c r="P141" s="1968">
        <f ca="1"/>
        <v>0</v>
      </c>
      <c r="Q141" s="1968">
        <f ca="1"/>
        <v>0</v>
      </c>
      <c r="R141" s="1968">
        <f ca="1"/>
        <v>0</v>
      </c>
      <c r="S141" s="1968">
        <f ca="1"/>
        <v>0</v>
      </c>
      <c r="T141" s="1968">
        <f ca="1"/>
        <v>0</v>
      </c>
      <c r="U141" s="1968">
        <f ca="1"/>
        <v>0</v>
      </c>
      <c r="V141" s="1968">
        <f ca="1"/>
        <v>0</v>
      </c>
      <c r="W141" s="1968">
        <f ca="1"/>
        <v>0</v>
      </c>
      <c r="X141" s="1968">
        <f ca="1"/>
        <v>0</v>
      </c>
      <c r="Y141" s="1986">
        <f ca="1"/>
        <v>0</v>
      </c>
    </row>
    <row r="142" spans="1:25" ht="13.5" thickBot="1">
      <c r="A142" s="103" t="str">
        <f>"Totales CV "&amp;A$9</f>
        <v xml:space="preserve">Totales CV </v>
      </c>
      <c r="B142" s="596">
        <f t="shared" ref="B142:Y142" ca="1" si="11">SUM(B129:B141)</f>
        <v>0</v>
      </c>
      <c r="C142" s="596">
        <f t="shared" ca="1" si="11"/>
        <v>0</v>
      </c>
      <c r="D142" s="596">
        <f t="shared" ca="1" si="11"/>
        <v>0</v>
      </c>
      <c r="E142" s="596">
        <f t="shared" ca="1" si="11"/>
        <v>0</v>
      </c>
      <c r="F142" s="596">
        <f t="shared" ca="1" si="11"/>
        <v>0</v>
      </c>
      <c r="G142" s="596">
        <f t="shared" ca="1" si="11"/>
        <v>0</v>
      </c>
      <c r="H142" s="596">
        <f t="shared" ca="1" si="11"/>
        <v>0</v>
      </c>
      <c r="I142" s="596">
        <f t="shared" ca="1" si="11"/>
        <v>0</v>
      </c>
      <c r="J142" s="596">
        <f t="shared" ca="1" si="11"/>
        <v>0</v>
      </c>
      <c r="K142" s="596">
        <f t="shared" ca="1" si="11"/>
        <v>0</v>
      </c>
      <c r="L142" s="596">
        <f t="shared" ca="1" si="11"/>
        <v>0</v>
      </c>
      <c r="M142" s="596">
        <f t="shared" ca="1" si="11"/>
        <v>0</v>
      </c>
      <c r="N142" s="596">
        <f t="shared" ca="1" si="11"/>
        <v>0</v>
      </c>
      <c r="O142" s="596">
        <f t="shared" ca="1" si="11"/>
        <v>0</v>
      </c>
      <c r="P142" s="596">
        <f t="shared" ca="1" si="11"/>
        <v>0</v>
      </c>
      <c r="Q142" s="596">
        <f t="shared" ca="1" si="11"/>
        <v>0</v>
      </c>
      <c r="R142" s="596">
        <f t="shared" ca="1" si="11"/>
        <v>0</v>
      </c>
      <c r="S142" s="596">
        <f t="shared" ca="1" si="11"/>
        <v>0</v>
      </c>
      <c r="T142" s="596">
        <f t="shared" ca="1" si="11"/>
        <v>0</v>
      </c>
      <c r="U142" s="596">
        <f t="shared" ca="1" si="11"/>
        <v>0</v>
      </c>
      <c r="V142" s="596">
        <f t="shared" ca="1" si="11"/>
        <v>0</v>
      </c>
      <c r="W142" s="596">
        <f t="shared" ca="1" si="11"/>
        <v>0</v>
      </c>
      <c r="X142" s="596">
        <f t="shared" ca="1" si="11"/>
        <v>0</v>
      </c>
      <c r="Y142" s="1984">
        <f t="shared" ca="1" si="11"/>
        <v>0</v>
      </c>
    </row>
    <row r="143" spans="1:25" ht="13.5" thickBot="1">
      <c r="A143" s="103" t="str">
        <f>'Datos Básicos'!A28&amp;" sop. CV "&amp;$A$9</f>
        <v xml:space="preserve">IVA sop. CV </v>
      </c>
      <c r="B143" s="596">
        <f t="array" aca="1" ref="B143:Y143" ca="1">$K$127*B142:Y142</f>
        <v>0</v>
      </c>
      <c r="C143" s="596">
        <f ca="1"/>
        <v>0</v>
      </c>
      <c r="D143" s="596">
        <f ca="1"/>
        <v>0</v>
      </c>
      <c r="E143" s="596">
        <f ca="1"/>
        <v>0</v>
      </c>
      <c r="F143" s="596">
        <f ca="1"/>
        <v>0</v>
      </c>
      <c r="G143" s="596">
        <f ca="1"/>
        <v>0</v>
      </c>
      <c r="H143" s="596">
        <f ca="1"/>
        <v>0</v>
      </c>
      <c r="I143" s="596">
        <f ca="1"/>
        <v>0</v>
      </c>
      <c r="J143" s="596">
        <f ca="1"/>
        <v>0</v>
      </c>
      <c r="K143" s="596">
        <f ca="1"/>
        <v>0</v>
      </c>
      <c r="L143" s="596">
        <f ca="1"/>
        <v>0</v>
      </c>
      <c r="M143" s="596">
        <f ca="1"/>
        <v>0</v>
      </c>
      <c r="N143" s="596">
        <f ca="1"/>
        <v>0</v>
      </c>
      <c r="O143" s="596">
        <f ca="1"/>
        <v>0</v>
      </c>
      <c r="P143" s="596">
        <f ca="1"/>
        <v>0</v>
      </c>
      <c r="Q143" s="596">
        <f ca="1"/>
        <v>0</v>
      </c>
      <c r="R143" s="596">
        <f ca="1"/>
        <v>0</v>
      </c>
      <c r="S143" s="596">
        <f ca="1"/>
        <v>0</v>
      </c>
      <c r="T143" s="596">
        <f ca="1"/>
        <v>0</v>
      </c>
      <c r="U143" s="596">
        <f ca="1"/>
        <v>0</v>
      </c>
      <c r="V143" s="596">
        <f ca="1"/>
        <v>0</v>
      </c>
      <c r="W143" s="596">
        <f ca="1"/>
        <v>0</v>
      </c>
      <c r="X143" s="596">
        <f ca="1"/>
        <v>0</v>
      </c>
      <c r="Y143" s="1984">
        <f ca="1"/>
        <v>0</v>
      </c>
    </row>
    <row r="145" spans="1:25" ht="18.75" thickBot="1">
      <c r="A145" s="1969" t="str">
        <f>'Distr CV 0'!A145</f>
        <v xml:space="preserve">Compras / costes de producción por meses de </v>
      </c>
      <c r="I145" s="1969" t="str">
        <f>I$18</f>
        <v>IVA NO incluido</v>
      </c>
      <c r="K145" s="1981">
        <f>Parametros!$F$26</f>
        <v>0.21</v>
      </c>
    </row>
    <row r="146" spans="1:25" ht="30" customHeight="1" thickBot="1">
      <c r="A146" s="446" t="str">
        <f>A$110</f>
        <v>mes de compra / coste</v>
      </c>
      <c r="B146" s="1987" t="str">
        <f t="array" ref="B146:Y146">B$71:Y$71</f>
        <v>enero 
2027</v>
      </c>
      <c r="C146" s="1987" t="str">
        <v>febrero 
2027</v>
      </c>
      <c r="D146" s="1987" t="str">
        <v>marzo 
2027</v>
      </c>
      <c r="E146" s="1987" t="str">
        <v>abril 
2027</v>
      </c>
      <c r="F146" s="1987" t="str">
        <v>mayo 
2027</v>
      </c>
      <c r="G146" s="1987" t="str">
        <v>junio 
2027</v>
      </c>
      <c r="H146" s="1987" t="str">
        <v>julio 
2027</v>
      </c>
      <c r="I146" s="1987" t="str">
        <v>agosto 
2027</v>
      </c>
      <c r="J146" s="1987" t="str">
        <v>septiembre 
2027</v>
      </c>
      <c r="K146" s="1987" t="str">
        <v>octubre 
2027</v>
      </c>
      <c r="L146" s="1987" t="str">
        <v>noviembre 
2027</v>
      </c>
      <c r="M146" s="1987" t="str">
        <v>diciembre 
2027</v>
      </c>
      <c r="N146" s="2703" t="str">
        <v>enero 
2028</v>
      </c>
      <c r="O146" s="2704" t="str">
        <v>febrero 
2028</v>
      </c>
      <c r="P146" s="2704" t="str">
        <v>marzo 
2028</v>
      </c>
      <c r="Q146" s="2704" t="str">
        <v>abril 
2028</v>
      </c>
      <c r="R146" s="2704" t="str">
        <v>mayo 
2028</v>
      </c>
      <c r="S146" s="2704" t="str">
        <v>junio 
2028</v>
      </c>
      <c r="T146" s="2704" t="str">
        <v>julio 
2028</v>
      </c>
      <c r="U146" s="2704" t="str">
        <v>agosto 
2028</v>
      </c>
      <c r="V146" s="2704" t="str">
        <v>septiembre 
2028</v>
      </c>
      <c r="W146" s="2704" t="str">
        <v>octubre 
2028</v>
      </c>
      <c r="X146" s="2704" t="str">
        <v>noviembre 
2028</v>
      </c>
      <c r="Y146" s="2705" t="str">
        <v>diciembre 
2028</v>
      </c>
    </row>
    <row r="147" spans="1:25">
      <c r="A147" s="1970" t="str">
        <f t="array" ref="A147:A159">A$72:A$84</f>
        <v>mismo mes</v>
      </c>
      <c r="B147" s="1967"/>
      <c r="C147" s="1967"/>
      <c r="D147" s="1967"/>
      <c r="E147" s="1967"/>
      <c r="F147" s="1967"/>
      <c r="G147" s="1967"/>
      <c r="H147" s="1967"/>
      <c r="I147" s="1967"/>
      <c r="J147" s="1967"/>
      <c r="K147" s="1967"/>
      <c r="L147" s="1967"/>
      <c r="M147" s="1967"/>
      <c r="N147" s="592">
        <f t="array" aca="1" ref="N147:Y147" ca="1">B22:M22*Produccion!$N$10</f>
        <v>0</v>
      </c>
      <c r="O147" s="592">
        <f ca="1"/>
        <v>0</v>
      </c>
      <c r="P147" s="592">
        <f ca="1"/>
        <v>0</v>
      </c>
      <c r="Q147" s="592">
        <f ca="1"/>
        <v>0</v>
      </c>
      <c r="R147" s="592">
        <f ca="1"/>
        <v>0</v>
      </c>
      <c r="S147" s="592">
        <f ca="1"/>
        <v>0</v>
      </c>
      <c r="T147" s="592">
        <f ca="1"/>
        <v>0</v>
      </c>
      <c r="U147" s="592">
        <f ca="1"/>
        <v>0</v>
      </c>
      <c r="V147" s="592">
        <f ca="1"/>
        <v>0</v>
      </c>
      <c r="W147" s="592">
        <f ca="1"/>
        <v>0</v>
      </c>
      <c r="X147" s="592">
        <f ca="1"/>
        <v>0</v>
      </c>
      <c r="Y147" s="1982">
        <f ca="1"/>
        <v>0</v>
      </c>
    </row>
    <row r="148" spans="1:25">
      <c r="A148" s="1971" t="str">
        <v>1 mes antes</v>
      </c>
      <c r="B148" s="1967"/>
      <c r="C148" s="1967"/>
      <c r="D148" s="1967"/>
      <c r="E148" s="1967"/>
      <c r="F148" s="1967"/>
      <c r="G148" s="1967"/>
      <c r="H148" s="1967"/>
      <c r="I148" s="1967"/>
      <c r="J148" s="1967"/>
      <c r="K148" s="1967"/>
      <c r="L148" s="1967"/>
      <c r="M148" s="592">
        <f t="array" aca="1" ref="M148:X148" ca="1">B22:M22*Produccion!$M$10</f>
        <v>0</v>
      </c>
      <c r="N148" s="592">
        <f ca="1"/>
        <v>0</v>
      </c>
      <c r="O148" s="592">
        <f ca="1"/>
        <v>0</v>
      </c>
      <c r="P148" s="592">
        <f ca="1"/>
        <v>0</v>
      </c>
      <c r="Q148" s="592">
        <f ca="1"/>
        <v>0</v>
      </c>
      <c r="R148" s="592">
        <f ca="1"/>
        <v>0</v>
      </c>
      <c r="S148" s="592">
        <f ca="1"/>
        <v>0</v>
      </c>
      <c r="T148" s="592">
        <f ca="1"/>
        <v>0</v>
      </c>
      <c r="U148" s="592">
        <f ca="1"/>
        <v>0</v>
      </c>
      <c r="V148" s="592">
        <f ca="1"/>
        <v>0</v>
      </c>
      <c r="W148" s="592">
        <f ca="1"/>
        <v>0</v>
      </c>
      <c r="X148" s="592">
        <f ca="1"/>
        <v>0</v>
      </c>
      <c r="Y148" s="1983">
        <f t="array" aca="1" ref="Y148:Y159" ca="1">'Distr CV 3'!M148:M159</f>
        <v>0</v>
      </c>
    </row>
    <row r="149" spans="1:25">
      <c r="A149" s="1971" t="str">
        <v>2 meses antes</v>
      </c>
      <c r="B149" s="1967"/>
      <c r="C149" s="1967"/>
      <c r="D149" s="1967"/>
      <c r="E149" s="1967"/>
      <c r="F149" s="1967"/>
      <c r="G149" s="1967"/>
      <c r="H149" s="1967"/>
      <c r="I149" s="1967"/>
      <c r="J149" s="1967"/>
      <c r="K149" s="1967"/>
      <c r="L149" s="592">
        <f t="array" aca="1" ref="L149:W149" ca="1">B22:M22*Produccion!$L$10</f>
        <v>0</v>
      </c>
      <c r="M149" s="592">
        <f ca="1"/>
        <v>0</v>
      </c>
      <c r="N149" s="592">
        <f ca="1"/>
        <v>0</v>
      </c>
      <c r="O149" s="592">
        <f ca="1"/>
        <v>0</v>
      </c>
      <c r="P149" s="592">
        <f ca="1"/>
        <v>0</v>
      </c>
      <c r="Q149" s="592">
        <f ca="1"/>
        <v>0</v>
      </c>
      <c r="R149" s="592">
        <f ca="1"/>
        <v>0</v>
      </c>
      <c r="S149" s="592">
        <f ca="1"/>
        <v>0</v>
      </c>
      <c r="T149" s="592">
        <f ca="1"/>
        <v>0</v>
      </c>
      <c r="U149" s="592">
        <f ca="1"/>
        <v>0</v>
      </c>
      <c r="V149" s="592">
        <f ca="1"/>
        <v>0</v>
      </c>
      <c r="W149" s="592">
        <f ca="1"/>
        <v>0</v>
      </c>
      <c r="X149" s="1964">
        <f t="array" aca="1" ref="X149:X159" ca="1">'Distr CV 3'!L149:L159</f>
        <v>0</v>
      </c>
      <c r="Y149" s="1983">
        <f ca="1"/>
        <v>0</v>
      </c>
    </row>
    <row r="150" spans="1:25">
      <c r="A150" s="1971" t="str">
        <v>3 meses antes</v>
      </c>
      <c r="B150" s="1967"/>
      <c r="C150" s="1967"/>
      <c r="D150" s="1967"/>
      <c r="E150" s="1967"/>
      <c r="F150" s="1967"/>
      <c r="G150" s="1967"/>
      <c r="H150" s="1967"/>
      <c r="I150" s="1967"/>
      <c r="J150" s="1967"/>
      <c r="K150" s="592">
        <f t="array" aca="1" ref="K150:V150" ca="1">B22:M22*Produccion!$K$10</f>
        <v>0</v>
      </c>
      <c r="L150" s="592">
        <f ca="1"/>
        <v>0</v>
      </c>
      <c r="M150" s="592">
        <f ca="1"/>
        <v>0</v>
      </c>
      <c r="N150" s="592">
        <f ca="1"/>
        <v>0</v>
      </c>
      <c r="O150" s="592">
        <f ca="1"/>
        <v>0</v>
      </c>
      <c r="P150" s="592">
        <f ca="1"/>
        <v>0</v>
      </c>
      <c r="Q150" s="592">
        <f ca="1"/>
        <v>0</v>
      </c>
      <c r="R150" s="592">
        <f ca="1"/>
        <v>0</v>
      </c>
      <c r="S150" s="592">
        <f ca="1"/>
        <v>0</v>
      </c>
      <c r="T150" s="592">
        <f ca="1"/>
        <v>0</v>
      </c>
      <c r="U150" s="592">
        <f ca="1"/>
        <v>0</v>
      </c>
      <c r="V150" s="592">
        <f ca="1"/>
        <v>0</v>
      </c>
      <c r="W150" s="1964">
        <f t="array" aca="1" ref="W150:W159" ca="1">'Distr CV 3'!K150:K159</f>
        <v>0</v>
      </c>
      <c r="X150" s="1964">
        <f ca="1"/>
        <v>0</v>
      </c>
      <c r="Y150" s="1983">
        <f ca="1"/>
        <v>0</v>
      </c>
    </row>
    <row r="151" spans="1:25">
      <c r="A151" s="1971" t="str">
        <v>4 meses antes</v>
      </c>
      <c r="B151" s="1967"/>
      <c r="C151" s="1967"/>
      <c r="D151" s="1967"/>
      <c r="E151" s="1967"/>
      <c r="F151" s="1967"/>
      <c r="G151" s="1967"/>
      <c r="H151" s="1967"/>
      <c r="I151" s="1967"/>
      <c r="J151" s="592">
        <f t="array" aca="1" ref="J151:U151" ca="1">B22:M22*Produccion!$J$10</f>
        <v>0</v>
      </c>
      <c r="K151" s="592">
        <f ca="1"/>
        <v>0</v>
      </c>
      <c r="L151" s="592">
        <f ca="1"/>
        <v>0</v>
      </c>
      <c r="M151" s="592">
        <f ca="1"/>
        <v>0</v>
      </c>
      <c r="N151" s="592">
        <f ca="1"/>
        <v>0</v>
      </c>
      <c r="O151" s="592">
        <f ca="1"/>
        <v>0</v>
      </c>
      <c r="P151" s="592">
        <f ca="1"/>
        <v>0</v>
      </c>
      <c r="Q151" s="592">
        <f ca="1"/>
        <v>0</v>
      </c>
      <c r="R151" s="592">
        <f ca="1"/>
        <v>0</v>
      </c>
      <c r="S151" s="592">
        <f ca="1"/>
        <v>0</v>
      </c>
      <c r="T151" s="592">
        <f ca="1"/>
        <v>0</v>
      </c>
      <c r="U151" s="592">
        <f ca="1"/>
        <v>0</v>
      </c>
      <c r="V151" s="1964">
        <f t="array" aca="1" ref="V151:V159" ca="1">'Distr CV 3'!J151:J159</f>
        <v>0</v>
      </c>
      <c r="W151" s="1964">
        <f ca="1"/>
        <v>0</v>
      </c>
      <c r="X151" s="1964">
        <f ca="1"/>
        <v>0</v>
      </c>
      <c r="Y151" s="1983">
        <f ca="1"/>
        <v>0</v>
      </c>
    </row>
    <row r="152" spans="1:25">
      <c r="A152" s="1971" t="str">
        <v>5 meses antes</v>
      </c>
      <c r="B152" s="1967"/>
      <c r="C152" s="1967"/>
      <c r="D152" s="1967"/>
      <c r="E152" s="1967"/>
      <c r="F152" s="1967"/>
      <c r="G152" s="1967"/>
      <c r="H152" s="1967"/>
      <c r="I152" s="592">
        <f t="array" aca="1" ref="I152:T152" ca="1">B22:M22*Produccion!$I$10</f>
        <v>0</v>
      </c>
      <c r="J152" s="592">
        <f ca="1"/>
        <v>0</v>
      </c>
      <c r="K152" s="592">
        <f ca="1"/>
        <v>0</v>
      </c>
      <c r="L152" s="592">
        <f ca="1"/>
        <v>0</v>
      </c>
      <c r="M152" s="592">
        <f ca="1"/>
        <v>0</v>
      </c>
      <c r="N152" s="592">
        <f ca="1"/>
        <v>0</v>
      </c>
      <c r="O152" s="592">
        <f ca="1"/>
        <v>0</v>
      </c>
      <c r="P152" s="592">
        <f ca="1"/>
        <v>0</v>
      </c>
      <c r="Q152" s="592">
        <f ca="1"/>
        <v>0</v>
      </c>
      <c r="R152" s="592">
        <f ca="1"/>
        <v>0</v>
      </c>
      <c r="S152" s="592">
        <f ca="1"/>
        <v>0</v>
      </c>
      <c r="T152" s="592">
        <f ca="1"/>
        <v>0</v>
      </c>
      <c r="U152" s="1964">
        <f t="array" aca="1" ref="U152:U159" ca="1">'Distr CV 3'!I152:I159</f>
        <v>0</v>
      </c>
      <c r="V152" s="1964">
        <f ca="1"/>
        <v>0</v>
      </c>
      <c r="W152" s="1964">
        <f ca="1"/>
        <v>0</v>
      </c>
      <c r="X152" s="1964">
        <f ca="1"/>
        <v>0</v>
      </c>
      <c r="Y152" s="1983">
        <f ca="1"/>
        <v>0</v>
      </c>
    </row>
    <row r="153" spans="1:25">
      <c r="A153" s="1971" t="str">
        <v>6 meses antes</v>
      </c>
      <c r="B153" s="1967"/>
      <c r="C153" s="1967"/>
      <c r="D153" s="1967"/>
      <c r="E153" s="1967"/>
      <c r="F153" s="1967"/>
      <c r="G153" s="1967"/>
      <c r="H153" s="592">
        <f t="array" aca="1" ref="H153:S153" ca="1">B22:M22*Produccion!$H$10</f>
        <v>0</v>
      </c>
      <c r="I153" s="592">
        <f ca="1"/>
        <v>0</v>
      </c>
      <c r="J153" s="592">
        <f ca="1"/>
        <v>0</v>
      </c>
      <c r="K153" s="592">
        <f ca="1"/>
        <v>0</v>
      </c>
      <c r="L153" s="592">
        <f ca="1"/>
        <v>0</v>
      </c>
      <c r="M153" s="592">
        <f ca="1"/>
        <v>0</v>
      </c>
      <c r="N153" s="592">
        <f ca="1"/>
        <v>0</v>
      </c>
      <c r="O153" s="592">
        <f ca="1"/>
        <v>0</v>
      </c>
      <c r="P153" s="592">
        <f ca="1"/>
        <v>0</v>
      </c>
      <c r="Q153" s="592">
        <f ca="1"/>
        <v>0</v>
      </c>
      <c r="R153" s="592">
        <f ca="1"/>
        <v>0</v>
      </c>
      <c r="S153" s="592">
        <f ca="1"/>
        <v>0</v>
      </c>
      <c r="T153" s="1964">
        <f t="array" aca="1" ref="T153:T159" ca="1">'Distr CV 3'!H153:H159</f>
        <v>0</v>
      </c>
      <c r="U153" s="1964">
        <f ca="1"/>
        <v>0</v>
      </c>
      <c r="V153" s="1964">
        <f ca="1"/>
        <v>0</v>
      </c>
      <c r="W153" s="1964">
        <f ca="1"/>
        <v>0</v>
      </c>
      <c r="X153" s="1964">
        <f ca="1"/>
        <v>0</v>
      </c>
      <c r="Y153" s="1983">
        <f ca="1"/>
        <v>0</v>
      </c>
    </row>
    <row r="154" spans="1:25">
      <c r="A154" s="1971" t="str">
        <v>7 meses antes</v>
      </c>
      <c r="B154" s="1967"/>
      <c r="C154" s="1967"/>
      <c r="D154" s="1967"/>
      <c r="E154" s="1967"/>
      <c r="F154" s="1967"/>
      <c r="G154" s="592">
        <f t="array" aca="1" ref="G154:R154" ca="1">B22:M22*Produccion!$G$10</f>
        <v>0</v>
      </c>
      <c r="H154" s="592">
        <f ca="1"/>
        <v>0</v>
      </c>
      <c r="I154" s="592">
        <f ca="1"/>
        <v>0</v>
      </c>
      <c r="J154" s="592">
        <f ca="1"/>
        <v>0</v>
      </c>
      <c r="K154" s="592">
        <f ca="1"/>
        <v>0</v>
      </c>
      <c r="L154" s="592">
        <f ca="1"/>
        <v>0</v>
      </c>
      <c r="M154" s="592">
        <f ca="1"/>
        <v>0</v>
      </c>
      <c r="N154" s="592">
        <f ca="1"/>
        <v>0</v>
      </c>
      <c r="O154" s="592">
        <f ca="1"/>
        <v>0</v>
      </c>
      <c r="P154" s="592">
        <f ca="1"/>
        <v>0</v>
      </c>
      <c r="Q154" s="592">
        <f ca="1"/>
        <v>0</v>
      </c>
      <c r="R154" s="592">
        <f ca="1"/>
        <v>0</v>
      </c>
      <c r="S154" s="1968">
        <f t="array" aca="1" ref="S154:S159" ca="1">'Distr CV 3'!G154:G159</f>
        <v>0</v>
      </c>
      <c r="T154" s="1968">
        <f ca="1"/>
        <v>0</v>
      </c>
      <c r="U154" s="1968">
        <f ca="1"/>
        <v>0</v>
      </c>
      <c r="V154" s="1968">
        <f ca="1"/>
        <v>0</v>
      </c>
      <c r="W154" s="1968">
        <f ca="1"/>
        <v>0</v>
      </c>
      <c r="X154" s="1968">
        <f ca="1"/>
        <v>0</v>
      </c>
      <c r="Y154" s="1986">
        <f ca="1"/>
        <v>0</v>
      </c>
    </row>
    <row r="155" spans="1:25">
      <c r="A155" s="1971" t="str">
        <v>8 meses antes</v>
      </c>
      <c r="B155" s="1967"/>
      <c r="C155" s="1967"/>
      <c r="D155" s="1967"/>
      <c r="E155" s="1967"/>
      <c r="F155" s="592">
        <f t="array" aca="1" ref="F155:Q155" ca="1">B22:M22*Produccion!$F$10</f>
        <v>0</v>
      </c>
      <c r="G155" s="592">
        <f ca="1"/>
        <v>0</v>
      </c>
      <c r="H155" s="592">
        <f ca="1"/>
        <v>0</v>
      </c>
      <c r="I155" s="592">
        <f ca="1"/>
        <v>0</v>
      </c>
      <c r="J155" s="592">
        <f ca="1"/>
        <v>0</v>
      </c>
      <c r="K155" s="592">
        <f ca="1"/>
        <v>0</v>
      </c>
      <c r="L155" s="592">
        <f ca="1"/>
        <v>0</v>
      </c>
      <c r="M155" s="592">
        <f ca="1"/>
        <v>0</v>
      </c>
      <c r="N155" s="592">
        <f ca="1"/>
        <v>0</v>
      </c>
      <c r="O155" s="592">
        <f ca="1"/>
        <v>0</v>
      </c>
      <c r="P155" s="592">
        <f ca="1"/>
        <v>0</v>
      </c>
      <c r="Q155" s="592">
        <f ca="1"/>
        <v>0</v>
      </c>
      <c r="R155" s="1968">
        <f t="array" aca="1" ref="R155:R159" ca="1">'Distr CV 3'!F155:F159</f>
        <v>0</v>
      </c>
      <c r="S155" s="1968">
        <f ca="1"/>
        <v>0</v>
      </c>
      <c r="T155" s="1968">
        <f ca="1"/>
        <v>0</v>
      </c>
      <c r="U155" s="1968">
        <f ca="1"/>
        <v>0</v>
      </c>
      <c r="V155" s="1968">
        <f ca="1"/>
        <v>0</v>
      </c>
      <c r="W155" s="1968">
        <f ca="1"/>
        <v>0</v>
      </c>
      <c r="X155" s="1968">
        <f ca="1"/>
        <v>0</v>
      </c>
      <c r="Y155" s="1986">
        <f ca="1"/>
        <v>0</v>
      </c>
    </row>
    <row r="156" spans="1:25">
      <c r="A156" s="1971" t="str">
        <v>9 meses antes</v>
      </c>
      <c r="B156" s="1967"/>
      <c r="C156" s="1967"/>
      <c r="D156" s="1967"/>
      <c r="E156" s="592">
        <f t="array" aca="1" ref="E156:P156" ca="1">B22:M22*Produccion!$E$10</f>
        <v>0</v>
      </c>
      <c r="F156" s="592">
        <f ca="1"/>
        <v>0</v>
      </c>
      <c r="G156" s="592">
        <f ca="1"/>
        <v>0</v>
      </c>
      <c r="H156" s="592">
        <f ca="1"/>
        <v>0</v>
      </c>
      <c r="I156" s="592">
        <f ca="1"/>
        <v>0</v>
      </c>
      <c r="J156" s="592">
        <f ca="1"/>
        <v>0</v>
      </c>
      <c r="K156" s="592">
        <f ca="1"/>
        <v>0</v>
      </c>
      <c r="L156" s="592">
        <f ca="1"/>
        <v>0</v>
      </c>
      <c r="M156" s="592">
        <f ca="1"/>
        <v>0</v>
      </c>
      <c r="N156" s="592">
        <f ca="1"/>
        <v>0</v>
      </c>
      <c r="O156" s="592">
        <f ca="1"/>
        <v>0</v>
      </c>
      <c r="P156" s="592">
        <f ca="1"/>
        <v>0</v>
      </c>
      <c r="Q156" s="1968">
        <f t="array" aca="1" ref="Q156:Q159" ca="1">'Distr CV 3'!E156:E159</f>
        <v>0</v>
      </c>
      <c r="R156" s="1968">
        <f ca="1"/>
        <v>0</v>
      </c>
      <c r="S156" s="1968">
        <f ca="1"/>
        <v>0</v>
      </c>
      <c r="T156" s="1968">
        <f ca="1"/>
        <v>0</v>
      </c>
      <c r="U156" s="1968">
        <f ca="1"/>
        <v>0</v>
      </c>
      <c r="V156" s="1968">
        <f ca="1"/>
        <v>0</v>
      </c>
      <c r="W156" s="1968">
        <f ca="1"/>
        <v>0</v>
      </c>
      <c r="X156" s="1968">
        <f ca="1"/>
        <v>0</v>
      </c>
      <c r="Y156" s="1986">
        <f ca="1"/>
        <v>0</v>
      </c>
    </row>
    <row r="157" spans="1:25">
      <c r="A157" s="1971" t="str">
        <v>10 meses antes</v>
      </c>
      <c r="B157" s="1967"/>
      <c r="C157" s="1967"/>
      <c r="D157" s="592">
        <f t="array" aca="1" ref="D157:O157" ca="1">B22:M22*Produccion!$D$10</f>
        <v>0</v>
      </c>
      <c r="E157" s="592">
        <f ca="1"/>
        <v>0</v>
      </c>
      <c r="F157" s="592">
        <f ca="1"/>
        <v>0</v>
      </c>
      <c r="G157" s="592">
        <f ca="1"/>
        <v>0</v>
      </c>
      <c r="H157" s="592">
        <f ca="1"/>
        <v>0</v>
      </c>
      <c r="I157" s="592">
        <f ca="1"/>
        <v>0</v>
      </c>
      <c r="J157" s="592">
        <f ca="1"/>
        <v>0</v>
      </c>
      <c r="K157" s="592">
        <f ca="1"/>
        <v>0</v>
      </c>
      <c r="L157" s="592">
        <f ca="1"/>
        <v>0</v>
      </c>
      <c r="M157" s="592">
        <f ca="1"/>
        <v>0</v>
      </c>
      <c r="N157" s="592">
        <f ca="1"/>
        <v>0</v>
      </c>
      <c r="O157" s="592">
        <f ca="1"/>
        <v>0</v>
      </c>
      <c r="P157" s="1968">
        <f t="array" aca="1" ref="P157:P159" ca="1">'Distr CV 3'!D157:D159</f>
        <v>0</v>
      </c>
      <c r="Q157" s="1968">
        <f ca="1"/>
        <v>0</v>
      </c>
      <c r="R157" s="1968">
        <f ca="1"/>
        <v>0</v>
      </c>
      <c r="S157" s="1968">
        <f ca="1"/>
        <v>0</v>
      </c>
      <c r="T157" s="1968">
        <f ca="1"/>
        <v>0</v>
      </c>
      <c r="U157" s="1968">
        <f ca="1"/>
        <v>0</v>
      </c>
      <c r="V157" s="1968">
        <f ca="1"/>
        <v>0</v>
      </c>
      <c r="W157" s="1968">
        <f ca="1"/>
        <v>0</v>
      </c>
      <c r="X157" s="1968">
        <f ca="1"/>
        <v>0</v>
      </c>
      <c r="Y157" s="1986">
        <f ca="1"/>
        <v>0</v>
      </c>
    </row>
    <row r="158" spans="1:25">
      <c r="A158" s="1971" t="str">
        <v>11 meses antes</v>
      </c>
      <c r="B158" s="1967"/>
      <c r="C158" s="592">
        <f t="array" aca="1" ref="C158:N158" ca="1">B22:M22*Produccion!$C$10</f>
        <v>0</v>
      </c>
      <c r="D158" s="592">
        <f ca="1"/>
        <v>0</v>
      </c>
      <c r="E158" s="592">
        <f ca="1"/>
        <v>0</v>
      </c>
      <c r="F158" s="592">
        <f ca="1"/>
        <v>0</v>
      </c>
      <c r="G158" s="592">
        <f ca="1"/>
        <v>0</v>
      </c>
      <c r="H158" s="592">
        <f ca="1"/>
        <v>0</v>
      </c>
      <c r="I158" s="592">
        <f ca="1"/>
        <v>0</v>
      </c>
      <c r="J158" s="592">
        <f ca="1"/>
        <v>0</v>
      </c>
      <c r="K158" s="592">
        <f ca="1"/>
        <v>0</v>
      </c>
      <c r="L158" s="592">
        <f ca="1"/>
        <v>0</v>
      </c>
      <c r="M158" s="592">
        <f ca="1"/>
        <v>0</v>
      </c>
      <c r="N158" s="592">
        <f ca="1"/>
        <v>0</v>
      </c>
      <c r="O158" s="1968">
        <f ca="1">'Distr CV 3'!C158</f>
        <v>0</v>
      </c>
      <c r="P158" s="1968">
        <f ca="1"/>
        <v>0</v>
      </c>
      <c r="Q158" s="1968">
        <f ca="1"/>
        <v>0</v>
      </c>
      <c r="R158" s="1968">
        <f ca="1"/>
        <v>0</v>
      </c>
      <c r="S158" s="1968">
        <f ca="1"/>
        <v>0</v>
      </c>
      <c r="T158" s="1968">
        <f ca="1"/>
        <v>0</v>
      </c>
      <c r="U158" s="1968">
        <f ca="1"/>
        <v>0</v>
      </c>
      <c r="V158" s="1968">
        <f ca="1"/>
        <v>0</v>
      </c>
      <c r="W158" s="1968">
        <f ca="1"/>
        <v>0</v>
      </c>
      <c r="X158" s="1968">
        <f ca="1"/>
        <v>0</v>
      </c>
      <c r="Y158" s="1986">
        <f ca="1"/>
        <v>0</v>
      </c>
    </row>
    <row r="159" spans="1:25" ht="13.5" thickBot="1">
      <c r="A159" s="1971" t="str">
        <v>12 meses antes</v>
      </c>
      <c r="B159" s="592">
        <f t="array" aca="1" ref="B159:M159" ca="1">B22:M22*Produccion!$B$10</f>
        <v>0</v>
      </c>
      <c r="C159" s="592">
        <f ca="1"/>
        <v>0</v>
      </c>
      <c r="D159" s="592">
        <f ca="1"/>
        <v>0</v>
      </c>
      <c r="E159" s="592">
        <f ca="1"/>
        <v>0</v>
      </c>
      <c r="F159" s="592">
        <f ca="1"/>
        <v>0</v>
      </c>
      <c r="G159" s="592">
        <f ca="1"/>
        <v>0</v>
      </c>
      <c r="H159" s="592">
        <f ca="1"/>
        <v>0</v>
      </c>
      <c r="I159" s="592">
        <f ca="1"/>
        <v>0</v>
      </c>
      <c r="J159" s="592">
        <f ca="1"/>
        <v>0</v>
      </c>
      <c r="K159" s="592">
        <f ca="1"/>
        <v>0</v>
      </c>
      <c r="L159" s="592">
        <f ca="1"/>
        <v>0</v>
      </c>
      <c r="M159" s="592">
        <f ca="1"/>
        <v>0</v>
      </c>
      <c r="N159" s="1967">
        <f ca="1">'Distr CV 3'!B159</f>
        <v>0</v>
      </c>
      <c r="O159" s="1968">
        <f ca="1">'Distr CV 3'!C159</f>
        <v>0</v>
      </c>
      <c r="P159" s="1968">
        <f ca="1"/>
        <v>0</v>
      </c>
      <c r="Q159" s="1968">
        <f ca="1"/>
        <v>0</v>
      </c>
      <c r="R159" s="1968">
        <f ca="1"/>
        <v>0</v>
      </c>
      <c r="S159" s="1968">
        <f ca="1"/>
        <v>0</v>
      </c>
      <c r="T159" s="1968">
        <f ca="1"/>
        <v>0</v>
      </c>
      <c r="U159" s="1968">
        <f ca="1"/>
        <v>0</v>
      </c>
      <c r="V159" s="1968">
        <f ca="1"/>
        <v>0</v>
      </c>
      <c r="W159" s="1968">
        <f ca="1"/>
        <v>0</v>
      </c>
      <c r="X159" s="1968">
        <f ca="1"/>
        <v>0</v>
      </c>
      <c r="Y159" s="1986">
        <f ca="1"/>
        <v>0</v>
      </c>
    </row>
    <row r="160" spans="1:25" ht="13.5" thickBot="1">
      <c r="A160" s="103" t="str">
        <f>"Totales CV "&amp;A$10</f>
        <v xml:space="preserve">Totales CV </v>
      </c>
      <c r="B160" s="596">
        <f t="shared" ref="B160:Y160" ca="1" si="12">SUM(B147:B159)</f>
        <v>0</v>
      </c>
      <c r="C160" s="596">
        <f t="shared" ca="1" si="12"/>
        <v>0</v>
      </c>
      <c r="D160" s="596">
        <f t="shared" ca="1" si="12"/>
        <v>0</v>
      </c>
      <c r="E160" s="596">
        <f t="shared" ca="1" si="12"/>
        <v>0</v>
      </c>
      <c r="F160" s="596">
        <f t="shared" ca="1" si="12"/>
        <v>0</v>
      </c>
      <c r="G160" s="596">
        <f t="shared" ca="1" si="12"/>
        <v>0</v>
      </c>
      <c r="H160" s="596">
        <f t="shared" ca="1" si="12"/>
        <v>0</v>
      </c>
      <c r="I160" s="596">
        <f t="shared" ca="1" si="12"/>
        <v>0</v>
      </c>
      <c r="J160" s="596">
        <f t="shared" ca="1" si="12"/>
        <v>0</v>
      </c>
      <c r="K160" s="596">
        <f t="shared" ca="1" si="12"/>
        <v>0</v>
      </c>
      <c r="L160" s="596">
        <f t="shared" ca="1" si="12"/>
        <v>0</v>
      </c>
      <c r="M160" s="596">
        <f t="shared" ca="1" si="12"/>
        <v>0</v>
      </c>
      <c r="N160" s="596">
        <f t="shared" ca="1" si="12"/>
        <v>0</v>
      </c>
      <c r="O160" s="596">
        <f t="shared" ca="1" si="12"/>
        <v>0</v>
      </c>
      <c r="P160" s="596">
        <f t="shared" ca="1" si="12"/>
        <v>0</v>
      </c>
      <c r="Q160" s="596">
        <f t="shared" ca="1" si="12"/>
        <v>0</v>
      </c>
      <c r="R160" s="596">
        <f t="shared" ca="1" si="12"/>
        <v>0</v>
      </c>
      <c r="S160" s="596">
        <f t="shared" ca="1" si="12"/>
        <v>0</v>
      </c>
      <c r="T160" s="596">
        <f t="shared" ca="1" si="12"/>
        <v>0</v>
      </c>
      <c r="U160" s="596">
        <f t="shared" ca="1" si="12"/>
        <v>0</v>
      </c>
      <c r="V160" s="596">
        <f t="shared" ca="1" si="12"/>
        <v>0</v>
      </c>
      <c r="W160" s="596">
        <f t="shared" ca="1" si="12"/>
        <v>0</v>
      </c>
      <c r="X160" s="596">
        <f t="shared" ca="1" si="12"/>
        <v>0</v>
      </c>
      <c r="Y160" s="1984">
        <f t="shared" ca="1" si="12"/>
        <v>0</v>
      </c>
    </row>
    <row r="161" spans="1:25" ht="13.5" thickBot="1">
      <c r="A161" s="103" t="str">
        <f>'Datos Básicos'!A28&amp;" sop. CV "&amp;$A$10</f>
        <v xml:space="preserve">IVA sop. CV </v>
      </c>
      <c r="B161" s="596">
        <f t="array" aca="1" ref="B161:Y161" ca="1">$K$145*B160:Y160</f>
        <v>0</v>
      </c>
      <c r="C161" s="596">
        <f ca="1"/>
        <v>0</v>
      </c>
      <c r="D161" s="596">
        <f ca="1"/>
        <v>0</v>
      </c>
      <c r="E161" s="596">
        <f ca="1"/>
        <v>0</v>
      </c>
      <c r="F161" s="596">
        <f ca="1"/>
        <v>0</v>
      </c>
      <c r="G161" s="596">
        <f ca="1"/>
        <v>0</v>
      </c>
      <c r="H161" s="596">
        <f ca="1"/>
        <v>0</v>
      </c>
      <c r="I161" s="596">
        <f ca="1"/>
        <v>0</v>
      </c>
      <c r="J161" s="596">
        <f ca="1"/>
        <v>0</v>
      </c>
      <c r="K161" s="596">
        <f ca="1"/>
        <v>0</v>
      </c>
      <c r="L161" s="596">
        <f ca="1"/>
        <v>0</v>
      </c>
      <c r="M161" s="596">
        <f ca="1"/>
        <v>0</v>
      </c>
      <c r="N161" s="596">
        <f ca="1"/>
        <v>0</v>
      </c>
      <c r="O161" s="596">
        <f ca="1"/>
        <v>0</v>
      </c>
      <c r="P161" s="596">
        <f ca="1"/>
        <v>0</v>
      </c>
      <c r="Q161" s="596">
        <f ca="1"/>
        <v>0</v>
      </c>
      <c r="R161" s="596">
        <f ca="1"/>
        <v>0</v>
      </c>
      <c r="S161" s="596">
        <f ca="1"/>
        <v>0</v>
      </c>
      <c r="T161" s="596">
        <f ca="1"/>
        <v>0</v>
      </c>
      <c r="U161" s="596">
        <f ca="1"/>
        <v>0</v>
      </c>
      <c r="V161" s="596">
        <f ca="1"/>
        <v>0</v>
      </c>
      <c r="W161" s="596">
        <f ca="1"/>
        <v>0</v>
      </c>
      <c r="X161" s="596">
        <f ca="1"/>
        <v>0</v>
      </c>
      <c r="Y161" s="1984">
        <f ca="1"/>
        <v>0</v>
      </c>
    </row>
    <row r="163" spans="1:25" ht="18.75" thickBot="1">
      <c r="A163" s="1969" t="str">
        <f>'Distr CV 0'!A163</f>
        <v xml:space="preserve">Compras / costes de producción por meses de </v>
      </c>
      <c r="I163" s="1969" t="str">
        <f>I$18</f>
        <v>IVA NO incluido</v>
      </c>
      <c r="K163" s="1981">
        <f>Parametros!$F$27</f>
        <v>0.21</v>
      </c>
    </row>
    <row r="164" spans="1:25" ht="30" customHeight="1" thickBot="1">
      <c r="A164" s="446" t="str">
        <f>A$110</f>
        <v>mes de compra / coste</v>
      </c>
      <c r="B164" s="1987" t="str">
        <f t="array" ref="B164:Y164">B$71:Y$71</f>
        <v>enero 
2027</v>
      </c>
      <c r="C164" s="1987" t="str">
        <v>febrero 
2027</v>
      </c>
      <c r="D164" s="1987" t="str">
        <v>marzo 
2027</v>
      </c>
      <c r="E164" s="1987" t="str">
        <v>abril 
2027</v>
      </c>
      <c r="F164" s="1987" t="str">
        <v>mayo 
2027</v>
      </c>
      <c r="G164" s="1987" t="str">
        <v>junio 
2027</v>
      </c>
      <c r="H164" s="1987" t="str">
        <v>julio 
2027</v>
      </c>
      <c r="I164" s="1987" t="str">
        <v>agosto 
2027</v>
      </c>
      <c r="J164" s="1987" t="str">
        <v>septiembre 
2027</v>
      </c>
      <c r="K164" s="1987" t="str">
        <v>octubre 
2027</v>
      </c>
      <c r="L164" s="1987" t="str">
        <v>noviembre 
2027</v>
      </c>
      <c r="M164" s="1987" t="str">
        <v>diciembre 
2027</v>
      </c>
      <c r="N164" s="2703" t="str">
        <v>enero 
2028</v>
      </c>
      <c r="O164" s="2704" t="str">
        <v>febrero 
2028</v>
      </c>
      <c r="P164" s="2704" t="str">
        <v>marzo 
2028</v>
      </c>
      <c r="Q164" s="2704" t="str">
        <v>abril 
2028</v>
      </c>
      <c r="R164" s="2704" t="str">
        <v>mayo 
2028</v>
      </c>
      <c r="S164" s="2704" t="str">
        <v>junio 
2028</v>
      </c>
      <c r="T164" s="2704" t="str">
        <v>julio 
2028</v>
      </c>
      <c r="U164" s="2704" t="str">
        <v>agosto 
2028</v>
      </c>
      <c r="V164" s="2704" t="str">
        <v>septiembre 
2028</v>
      </c>
      <c r="W164" s="2704" t="str">
        <v>octubre 
2028</v>
      </c>
      <c r="X164" s="2704" t="str">
        <v>noviembre 
2028</v>
      </c>
      <c r="Y164" s="2705" t="str">
        <v>diciembre 
2028</v>
      </c>
    </row>
    <row r="165" spans="1:25">
      <c r="A165" s="1970" t="str">
        <f t="array" ref="A165:A177">A$72:A$84</f>
        <v>mismo mes</v>
      </c>
      <c r="B165" s="1967"/>
      <c r="C165" s="1967"/>
      <c r="D165" s="1967"/>
      <c r="E165" s="1967"/>
      <c r="F165" s="1967"/>
      <c r="G165" s="1967"/>
      <c r="H165" s="1967"/>
      <c r="I165" s="1967"/>
      <c r="J165" s="1967"/>
      <c r="K165" s="1967"/>
      <c r="L165" s="1967"/>
      <c r="M165" s="1967"/>
      <c r="N165" s="592">
        <f t="array" aca="1" ref="N165:Y165" ca="1">B23:M23*Produccion!$N$11</f>
        <v>0</v>
      </c>
      <c r="O165" s="592">
        <f ca="1"/>
        <v>0</v>
      </c>
      <c r="P165" s="592">
        <f ca="1"/>
        <v>0</v>
      </c>
      <c r="Q165" s="592">
        <f ca="1"/>
        <v>0</v>
      </c>
      <c r="R165" s="592">
        <f ca="1"/>
        <v>0</v>
      </c>
      <c r="S165" s="592">
        <f ca="1"/>
        <v>0</v>
      </c>
      <c r="T165" s="592">
        <f ca="1"/>
        <v>0</v>
      </c>
      <c r="U165" s="592">
        <f ca="1"/>
        <v>0</v>
      </c>
      <c r="V165" s="592">
        <f ca="1"/>
        <v>0</v>
      </c>
      <c r="W165" s="592">
        <f ca="1"/>
        <v>0</v>
      </c>
      <c r="X165" s="592">
        <f ca="1"/>
        <v>0</v>
      </c>
      <c r="Y165" s="1982">
        <f ca="1"/>
        <v>0</v>
      </c>
    </row>
    <row r="166" spans="1:25">
      <c r="A166" s="1971" t="str">
        <v>1 mes antes</v>
      </c>
      <c r="B166" s="1967"/>
      <c r="C166" s="1967"/>
      <c r="D166" s="1967"/>
      <c r="E166" s="1967"/>
      <c r="F166" s="1967"/>
      <c r="G166" s="1967"/>
      <c r="H166" s="1967"/>
      <c r="I166" s="1967"/>
      <c r="J166" s="1967"/>
      <c r="K166" s="1967"/>
      <c r="L166" s="1967"/>
      <c r="M166" s="592">
        <f t="array" aca="1" ref="M166:X166" ca="1">B23:M23*Produccion!$M$11</f>
        <v>0</v>
      </c>
      <c r="N166" s="592">
        <f ca="1"/>
        <v>0</v>
      </c>
      <c r="O166" s="592">
        <f ca="1"/>
        <v>0</v>
      </c>
      <c r="P166" s="592">
        <f ca="1"/>
        <v>0</v>
      </c>
      <c r="Q166" s="592">
        <f ca="1"/>
        <v>0</v>
      </c>
      <c r="R166" s="592">
        <f ca="1"/>
        <v>0</v>
      </c>
      <c r="S166" s="592">
        <f ca="1"/>
        <v>0</v>
      </c>
      <c r="T166" s="592">
        <f ca="1"/>
        <v>0</v>
      </c>
      <c r="U166" s="592">
        <f ca="1"/>
        <v>0</v>
      </c>
      <c r="V166" s="592">
        <f ca="1"/>
        <v>0</v>
      </c>
      <c r="W166" s="592">
        <f ca="1"/>
        <v>0</v>
      </c>
      <c r="X166" s="592">
        <f ca="1"/>
        <v>0</v>
      </c>
      <c r="Y166" s="1983">
        <f t="array" aca="1" ref="Y166:Y177" ca="1">'Distr CV 3'!M166:M177</f>
        <v>0</v>
      </c>
    </row>
    <row r="167" spans="1:25">
      <c r="A167" s="1971" t="str">
        <v>2 meses antes</v>
      </c>
      <c r="B167" s="1967"/>
      <c r="C167" s="1967"/>
      <c r="D167" s="1967"/>
      <c r="E167" s="1967"/>
      <c r="F167" s="1967"/>
      <c r="G167" s="1967"/>
      <c r="H167" s="1967"/>
      <c r="I167" s="1967"/>
      <c r="J167" s="1967"/>
      <c r="K167" s="1967"/>
      <c r="L167" s="592">
        <f t="array" aca="1" ref="L167:W167" ca="1">B23:M23*Produccion!$L$11</f>
        <v>0</v>
      </c>
      <c r="M167" s="592">
        <f ca="1"/>
        <v>0</v>
      </c>
      <c r="N167" s="592">
        <f ca="1"/>
        <v>0</v>
      </c>
      <c r="O167" s="592">
        <f ca="1"/>
        <v>0</v>
      </c>
      <c r="P167" s="592">
        <f ca="1"/>
        <v>0</v>
      </c>
      <c r="Q167" s="592">
        <f ca="1"/>
        <v>0</v>
      </c>
      <c r="R167" s="592">
        <f ca="1"/>
        <v>0</v>
      </c>
      <c r="S167" s="592">
        <f ca="1"/>
        <v>0</v>
      </c>
      <c r="T167" s="592">
        <f ca="1"/>
        <v>0</v>
      </c>
      <c r="U167" s="592">
        <f ca="1"/>
        <v>0</v>
      </c>
      <c r="V167" s="592">
        <f ca="1"/>
        <v>0</v>
      </c>
      <c r="W167" s="592">
        <f ca="1"/>
        <v>0</v>
      </c>
      <c r="X167" s="1964">
        <f t="array" aca="1" ref="X167:X177" ca="1">'Distr CV 3'!L167:L177</f>
        <v>0</v>
      </c>
      <c r="Y167" s="1983">
        <f ca="1"/>
        <v>0</v>
      </c>
    </row>
    <row r="168" spans="1:25">
      <c r="A168" s="1971" t="str">
        <v>3 meses antes</v>
      </c>
      <c r="B168" s="1967"/>
      <c r="C168" s="1967"/>
      <c r="D168" s="1967"/>
      <c r="E168" s="1967"/>
      <c r="F168" s="1967"/>
      <c r="G168" s="1967"/>
      <c r="H168" s="1967"/>
      <c r="I168" s="1967"/>
      <c r="J168" s="1967"/>
      <c r="K168" s="592">
        <f t="array" aca="1" ref="K168:V168" ca="1">B23:M23*Produccion!$K$11</f>
        <v>0</v>
      </c>
      <c r="L168" s="592">
        <f ca="1"/>
        <v>0</v>
      </c>
      <c r="M168" s="592">
        <f ca="1"/>
        <v>0</v>
      </c>
      <c r="N168" s="592">
        <f ca="1"/>
        <v>0</v>
      </c>
      <c r="O168" s="592">
        <f ca="1"/>
        <v>0</v>
      </c>
      <c r="P168" s="592">
        <f ca="1"/>
        <v>0</v>
      </c>
      <c r="Q168" s="592">
        <f ca="1"/>
        <v>0</v>
      </c>
      <c r="R168" s="592">
        <f ca="1"/>
        <v>0</v>
      </c>
      <c r="S168" s="592">
        <f ca="1"/>
        <v>0</v>
      </c>
      <c r="T168" s="592">
        <f ca="1"/>
        <v>0</v>
      </c>
      <c r="U168" s="592">
        <f ca="1"/>
        <v>0</v>
      </c>
      <c r="V168" s="592">
        <f ca="1"/>
        <v>0</v>
      </c>
      <c r="W168" s="1964">
        <f t="array" aca="1" ref="W168:W177" ca="1">'Distr CV 3'!K168:K177</f>
        <v>0</v>
      </c>
      <c r="X168" s="1964">
        <f ca="1"/>
        <v>0</v>
      </c>
      <c r="Y168" s="1983">
        <f ca="1"/>
        <v>0</v>
      </c>
    </row>
    <row r="169" spans="1:25">
      <c r="A169" s="1971" t="str">
        <v>4 meses antes</v>
      </c>
      <c r="B169" s="1967"/>
      <c r="C169" s="1967"/>
      <c r="D169" s="1967"/>
      <c r="E169" s="1967"/>
      <c r="F169" s="1967"/>
      <c r="G169" s="1967"/>
      <c r="H169" s="1967"/>
      <c r="I169" s="1967"/>
      <c r="J169" s="592">
        <f t="array" aca="1" ref="J169:U169" ca="1">B23:M23*Produccion!$J$11</f>
        <v>0</v>
      </c>
      <c r="K169" s="592">
        <f ca="1"/>
        <v>0</v>
      </c>
      <c r="L169" s="592">
        <f ca="1"/>
        <v>0</v>
      </c>
      <c r="M169" s="592">
        <f ca="1"/>
        <v>0</v>
      </c>
      <c r="N169" s="592">
        <f ca="1"/>
        <v>0</v>
      </c>
      <c r="O169" s="592">
        <f ca="1"/>
        <v>0</v>
      </c>
      <c r="P169" s="592">
        <f ca="1"/>
        <v>0</v>
      </c>
      <c r="Q169" s="592">
        <f ca="1"/>
        <v>0</v>
      </c>
      <c r="R169" s="592">
        <f ca="1"/>
        <v>0</v>
      </c>
      <c r="S169" s="592">
        <f ca="1"/>
        <v>0</v>
      </c>
      <c r="T169" s="592">
        <f ca="1"/>
        <v>0</v>
      </c>
      <c r="U169" s="592">
        <f ca="1"/>
        <v>0</v>
      </c>
      <c r="V169" s="1964">
        <f t="array" aca="1" ref="V169:V177" ca="1">'Distr CV 3'!J169:J177</f>
        <v>0</v>
      </c>
      <c r="W169" s="1964">
        <f ca="1"/>
        <v>0</v>
      </c>
      <c r="X169" s="1964">
        <f ca="1"/>
        <v>0</v>
      </c>
      <c r="Y169" s="1983">
        <f ca="1"/>
        <v>0</v>
      </c>
    </row>
    <row r="170" spans="1:25">
      <c r="A170" s="1971" t="str">
        <v>5 meses antes</v>
      </c>
      <c r="B170" s="1967"/>
      <c r="C170" s="1967"/>
      <c r="D170" s="1967"/>
      <c r="E170" s="1967"/>
      <c r="F170" s="1967"/>
      <c r="G170" s="1967"/>
      <c r="H170" s="1967"/>
      <c r="I170" s="592">
        <f t="array" aca="1" ref="I170:T170" ca="1">B23:M23*Produccion!$I$11</f>
        <v>0</v>
      </c>
      <c r="J170" s="592">
        <f ca="1"/>
        <v>0</v>
      </c>
      <c r="K170" s="592">
        <f ca="1"/>
        <v>0</v>
      </c>
      <c r="L170" s="592">
        <f ca="1"/>
        <v>0</v>
      </c>
      <c r="M170" s="592">
        <f ca="1"/>
        <v>0</v>
      </c>
      <c r="N170" s="592">
        <f ca="1"/>
        <v>0</v>
      </c>
      <c r="O170" s="592">
        <f ca="1"/>
        <v>0</v>
      </c>
      <c r="P170" s="592">
        <f ca="1"/>
        <v>0</v>
      </c>
      <c r="Q170" s="592">
        <f ca="1"/>
        <v>0</v>
      </c>
      <c r="R170" s="592">
        <f ca="1"/>
        <v>0</v>
      </c>
      <c r="S170" s="592">
        <f ca="1"/>
        <v>0</v>
      </c>
      <c r="T170" s="592">
        <f ca="1"/>
        <v>0</v>
      </c>
      <c r="U170" s="1964">
        <f t="array" aca="1" ref="U170:U177" ca="1">'Distr CV 3'!I170:I177</f>
        <v>0</v>
      </c>
      <c r="V170" s="1964">
        <f ca="1"/>
        <v>0</v>
      </c>
      <c r="W170" s="1964">
        <f ca="1"/>
        <v>0</v>
      </c>
      <c r="X170" s="1964">
        <f ca="1"/>
        <v>0</v>
      </c>
      <c r="Y170" s="1983">
        <f ca="1"/>
        <v>0</v>
      </c>
    </row>
    <row r="171" spans="1:25">
      <c r="A171" s="1971" t="str">
        <v>6 meses antes</v>
      </c>
      <c r="B171" s="1967"/>
      <c r="C171" s="1967"/>
      <c r="D171" s="1967"/>
      <c r="E171" s="1967"/>
      <c r="F171" s="1967"/>
      <c r="G171" s="1967"/>
      <c r="H171" s="592">
        <f t="array" aca="1" ref="H171:S171" ca="1">B23:M23*Produccion!$H$11</f>
        <v>0</v>
      </c>
      <c r="I171" s="592">
        <f ca="1"/>
        <v>0</v>
      </c>
      <c r="J171" s="592">
        <f ca="1"/>
        <v>0</v>
      </c>
      <c r="K171" s="592">
        <f ca="1"/>
        <v>0</v>
      </c>
      <c r="L171" s="592">
        <f ca="1"/>
        <v>0</v>
      </c>
      <c r="M171" s="592">
        <f ca="1"/>
        <v>0</v>
      </c>
      <c r="N171" s="592">
        <f ca="1"/>
        <v>0</v>
      </c>
      <c r="O171" s="592">
        <f ca="1"/>
        <v>0</v>
      </c>
      <c r="P171" s="592">
        <f ca="1"/>
        <v>0</v>
      </c>
      <c r="Q171" s="592">
        <f ca="1"/>
        <v>0</v>
      </c>
      <c r="R171" s="592">
        <f ca="1"/>
        <v>0</v>
      </c>
      <c r="S171" s="592">
        <f ca="1"/>
        <v>0</v>
      </c>
      <c r="T171" s="1964">
        <f t="array" aca="1" ref="T171:T177" ca="1">'Distr CV 3'!H171:H177</f>
        <v>0</v>
      </c>
      <c r="U171" s="1964">
        <f ca="1"/>
        <v>0</v>
      </c>
      <c r="V171" s="1964">
        <f ca="1"/>
        <v>0</v>
      </c>
      <c r="W171" s="1964">
        <f ca="1"/>
        <v>0</v>
      </c>
      <c r="X171" s="1964">
        <f ca="1"/>
        <v>0</v>
      </c>
      <c r="Y171" s="1983">
        <f ca="1"/>
        <v>0</v>
      </c>
    </row>
    <row r="172" spans="1:25">
      <c r="A172" s="1971" t="str">
        <v>7 meses antes</v>
      </c>
      <c r="B172" s="1967"/>
      <c r="C172" s="1967"/>
      <c r="D172" s="1967"/>
      <c r="E172" s="1967"/>
      <c r="F172" s="1967"/>
      <c r="G172" s="592">
        <f t="array" aca="1" ref="G172:R172" ca="1">B23:M23*Produccion!$G$11</f>
        <v>0</v>
      </c>
      <c r="H172" s="592">
        <f ca="1"/>
        <v>0</v>
      </c>
      <c r="I172" s="592">
        <f ca="1"/>
        <v>0</v>
      </c>
      <c r="J172" s="592">
        <f ca="1"/>
        <v>0</v>
      </c>
      <c r="K172" s="592">
        <f ca="1"/>
        <v>0</v>
      </c>
      <c r="L172" s="592">
        <f ca="1"/>
        <v>0</v>
      </c>
      <c r="M172" s="592">
        <f ca="1"/>
        <v>0</v>
      </c>
      <c r="N172" s="592">
        <f ca="1"/>
        <v>0</v>
      </c>
      <c r="O172" s="592">
        <f ca="1"/>
        <v>0</v>
      </c>
      <c r="P172" s="592">
        <f ca="1"/>
        <v>0</v>
      </c>
      <c r="Q172" s="592">
        <f ca="1"/>
        <v>0</v>
      </c>
      <c r="R172" s="592">
        <f ca="1"/>
        <v>0</v>
      </c>
      <c r="S172" s="1968">
        <f t="array" aca="1" ref="S172:S177" ca="1">'Distr CV 3'!G172:G177</f>
        <v>0</v>
      </c>
      <c r="T172" s="1968">
        <f ca="1"/>
        <v>0</v>
      </c>
      <c r="U172" s="1968">
        <f ca="1"/>
        <v>0</v>
      </c>
      <c r="V172" s="1968">
        <f ca="1"/>
        <v>0</v>
      </c>
      <c r="W172" s="1968">
        <f ca="1"/>
        <v>0</v>
      </c>
      <c r="X172" s="1968">
        <f ca="1"/>
        <v>0</v>
      </c>
      <c r="Y172" s="1986">
        <f ca="1"/>
        <v>0</v>
      </c>
    </row>
    <row r="173" spans="1:25">
      <c r="A173" s="1971" t="str">
        <v>8 meses antes</v>
      </c>
      <c r="B173" s="1967"/>
      <c r="C173" s="1967"/>
      <c r="D173" s="1967"/>
      <c r="E173" s="1967"/>
      <c r="F173" s="592">
        <f t="array" aca="1" ref="F173:Q173" ca="1">B23:M23*Produccion!$F$11</f>
        <v>0</v>
      </c>
      <c r="G173" s="592">
        <f ca="1"/>
        <v>0</v>
      </c>
      <c r="H173" s="592">
        <f ca="1"/>
        <v>0</v>
      </c>
      <c r="I173" s="592">
        <f ca="1"/>
        <v>0</v>
      </c>
      <c r="J173" s="592">
        <f ca="1"/>
        <v>0</v>
      </c>
      <c r="K173" s="592">
        <f ca="1"/>
        <v>0</v>
      </c>
      <c r="L173" s="592">
        <f ca="1"/>
        <v>0</v>
      </c>
      <c r="M173" s="592">
        <f ca="1"/>
        <v>0</v>
      </c>
      <c r="N173" s="592">
        <f ca="1"/>
        <v>0</v>
      </c>
      <c r="O173" s="592">
        <f ca="1"/>
        <v>0</v>
      </c>
      <c r="P173" s="592">
        <f ca="1"/>
        <v>0</v>
      </c>
      <c r="Q173" s="592">
        <f ca="1"/>
        <v>0</v>
      </c>
      <c r="R173" s="1968">
        <f t="array" aca="1" ref="R173:R177" ca="1">'Distr CV 3'!F173:F177</f>
        <v>0</v>
      </c>
      <c r="S173" s="1968">
        <f ca="1"/>
        <v>0</v>
      </c>
      <c r="T173" s="1968">
        <f ca="1"/>
        <v>0</v>
      </c>
      <c r="U173" s="1968">
        <f ca="1"/>
        <v>0</v>
      </c>
      <c r="V173" s="1968">
        <f ca="1"/>
        <v>0</v>
      </c>
      <c r="W173" s="1968">
        <f ca="1"/>
        <v>0</v>
      </c>
      <c r="X173" s="1968">
        <f ca="1"/>
        <v>0</v>
      </c>
      <c r="Y173" s="1986">
        <f ca="1"/>
        <v>0</v>
      </c>
    </row>
    <row r="174" spans="1:25">
      <c r="A174" s="1971" t="str">
        <v>9 meses antes</v>
      </c>
      <c r="B174" s="1967"/>
      <c r="C174" s="1967"/>
      <c r="D174" s="1967"/>
      <c r="E174" s="592">
        <f t="array" aca="1" ref="E174:P174" ca="1">B23:M23*Produccion!$E$11</f>
        <v>0</v>
      </c>
      <c r="F174" s="592">
        <f ca="1"/>
        <v>0</v>
      </c>
      <c r="G174" s="592">
        <f ca="1"/>
        <v>0</v>
      </c>
      <c r="H174" s="592">
        <f ca="1"/>
        <v>0</v>
      </c>
      <c r="I174" s="592">
        <f ca="1"/>
        <v>0</v>
      </c>
      <c r="J174" s="592">
        <f ca="1"/>
        <v>0</v>
      </c>
      <c r="K174" s="592">
        <f ca="1"/>
        <v>0</v>
      </c>
      <c r="L174" s="592">
        <f ca="1"/>
        <v>0</v>
      </c>
      <c r="M174" s="592">
        <f ca="1"/>
        <v>0</v>
      </c>
      <c r="N174" s="592">
        <f ca="1"/>
        <v>0</v>
      </c>
      <c r="O174" s="592">
        <f ca="1"/>
        <v>0</v>
      </c>
      <c r="P174" s="592">
        <f ca="1"/>
        <v>0</v>
      </c>
      <c r="Q174" s="1968">
        <f t="array" aca="1" ref="Q174:Q177" ca="1">'Distr CV 3'!E174:E177</f>
        <v>0</v>
      </c>
      <c r="R174" s="1968">
        <f ca="1"/>
        <v>0</v>
      </c>
      <c r="S174" s="1968">
        <f ca="1"/>
        <v>0</v>
      </c>
      <c r="T174" s="1968">
        <f ca="1"/>
        <v>0</v>
      </c>
      <c r="U174" s="1968">
        <f ca="1"/>
        <v>0</v>
      </c>
      <c r="V174" s="1968">
        <f ca="1"/>
        <v>0</v>
      </c>
      <c r="W174" s="1968">
        <f ca="1"/>
        <v>0</v>
      </c>
      <c r="X174" s="1968">
        <f ca="1"/>
        <v>0</v>
      </c>
      <c r="Y174" s="1986">
        <f ca="1"/>
        <v>0</v>
      </c>
    </row>
    <row r="175" spans="1:25">
      <c r="A175" s="1971" t="str">
        <v>10 meses antes</v>
      </c>
      <c r="B175" s="1967"/>
      <c r="C175" s="1967"/>
      <c r="D175" s="592">
        <f t="array" aca="1" ref="D175:O175" ca="1">B23:M23*Produccion!$D$11</f>
        <v>0</v>
      </c>
      <c r="E175" s="592">
        <f ca="1"/>
        <v>0</v>
      </c>
      <c r="F175" s="592">
        <f ca="1"/>
        <v>0</v>
      </c>
      <c r="G175" s="592">
        <f ca="1"/>
        <v>0</v>
      </c>
      <c r="H175" s="592">
        <f ca="1"/>
        <v>0</v>
      </c>
      <c r="I175" s="592">
        <f ca="1"/>
        <v>0</v>
      </c>
      <c r="J175" s="592">
        <f ca="1"/>
        <v>0</v>
      </c>
      <c r="K175" s="592">
        <f ca="1"/>
        <v>0</v>
      </c>
      <c r="L175" s="592">
        <f ca="1"/>
        <v>0</v>
      </c>
      <c r="M175" s="592">
        <f ca="1"/>
        <v>0</v>
      </c>
      <c r="N175" s="592">
        <f ca="1"/>
        <v>0</v>
      </c>
      <c r="O175" s="592">
        <f ca="1"/>
        <v>0</v>
      </c>
      <c r="P175" s="1968">
        <f t="array" aca="1" ref="P175:P177" ca="1">'Distr CV 3'!D175:D177</f>
        <v>0</v>
      </c>
      <c r="Q175" s="1968">
        <f ca="1"/>
        <v>0</v>
      </c>
      <c r="R175" s="1968">
        <f ca="1"/>
        <v>0</v>
      </c>
      <c r="S175" s="1968">
        <f ca="1"/>
        <v>0</v>
      </c>
      <c r="T175" s="1968">
        <f ca="1"/>
        <v>0</v>
      </c>
      <c r="U175" s="1968">
        <f ca="1"/>
        <v>0</v>
      </c>
      <c r="V175" s="1968">
        <f ca="1"/>
        <v>0</v>
      </c>
      <c r="W175" s="1968">
        <f ca="1"/>
        <v>0</v>
      </c>
      <c r="X175" s="1968">
        <f ca="1"/>
        <v>0</v>
      </c>
      <c r="Y175" s="1986">
        <f ca="1"/>
        <v>0</v>
      </c>
    </row>
    <row r="176" spans="1:25">
      <c r="A176" s="1971" t="str">
        <v>11 meses antes</v>
      </c>
      <c r="B176" s="1967"/>
      <c r="C176" s="592">
        <f t="array" aca="1" ref="C176:N176" ca="1">B23:M23*Produccion!$C$11</f>
        <v>0</v>
      </c>
      <c r="D176" s="592">
        <f ca="1"/>
        <v>0</v>
      </c>
      <c r="E176" s="592">
        <f ca="1"/>
        <v>0</v>
      </c>
      <c r="F176" s="592">
        <f ca="1"/>
        <v>0</v>
      </c>
      <c r="G176" s="592">
        <f ca="1"/>
        <v>0</v>
      </c>
      <c r="H176" s="592">
        <f ca="1"/>
        <v>0</v>
      </c>
      <c r="I176" s="592">
        <f ca="1"/>
        <v>0</v>
      </c>
      <c r="J176" s="592">
        <f ca="1"/>
        <v>0</v>
      </c>
      <c r="K176" s="592">
        <f ca="1"/>
        <v>0</v>
      </c>
      <c r="L176" s="592">
        <f ca="1"/>
        <v>0</v>
      </c>
      <c r="M176" s="592">
        <f ca="1"/>
        <v>0</v>
      </c>
      <c r="N176" s="592">
        <f ca="1"/>
        <v>0</v>
      </c>
      <c r="O176" s="1968">
        <f ca="1">'Distr CV 3'!C176</f>
        <v>0</v>
      </c>
      <c r="P176" s="1968">
        <f ca="1"/>
        <v>0</v>
      </c>
      <c r="Q176" s="1968">
        <f ca="1"/>
        <v>0</v>
      </c>
      <c r="R176" s="1968">
        <f ca="1"/>
        <v>0</v>
      </c>
      <c r="S176" s="1968">
        <f ca="1"/>
        <v>0</v>
      </c>
      <c r="T176" s="1968">
        <f ca="1"/>
        <v>0</v>
      </c>
      <c r="U176" s="1968">
        <f ca="1"/>
        <v>0</v>
      </c>
      <c r="V176" s="1968">
        <f ca="1"/>
        <v>0</v>
      </c>
      <c r="W176" s="1968">
        <f ca="1"/>
        <v>0</v>
      </c>
      <c r="X176" s="1968">
        <f ca="1"/>
        <v>0</v>
      </c>
      <c r="Y176" s="1986">
        <f ca="1"/>
        <v>0</v>
      </c>
    </row>
    <row r="177" spans="1:25" ht="13.5" thickBot="1">
      <c r="A177" s="1971" t="str">
        <v>12 meses antes</v>
      </c>
      <c r="B177" s="592">
        <f t="array" aca="1" ref="B177:M177" ca="1">B23:M23*Produccion!$B$11</f>
        <v>0</v>
      </c>
      <c r="C177" s="592">
        <f ca="1"/>
        <v>0</v>
      </c>
      <c r="D177" s="592">
        <f ca="1"/>
        <v>0</v>
      </c>
      <c r="E177" s="592">
        <f ca="1"/>
        <v>0</v>
      </c>
      <c r="F177" s="592">
        <f ca="1"/>
        <v>0</v>
      </c>
      <c r="G177" s="592">
        <f ca="1"/>
        <v>0</v>
      </c>
      <c r="H177" s="592">
        <f ca="1"/>
        <v>0</v>
      </c>
      <c r="I177" s="592">
        <f ca="1"/>
        <v>0</v>
      </c>
      <c r="J177" s="592">
        <f ca="1"/>
        <v>0</v>
      </c>
      <c r="K177" s="592">
        <f ca="1"/>
        <v>0</v>
      </c>
      <c r="L177" s="592">
        <f ca="1"/>
        <v>0</v>
      </c>
      <c r="M177" s="592">
        <f ca="1"/>
        <v>0</v>
      </c>
      <c r="N177" s="1967">
        <f ca="1">'Distr CV 3'!B177</f>
        <v>0</v>
      </c>
      <c r="O177" s="1968">
        <f ca="1">'Distr CV 3'!C177</f>
        <v>0</v>
      </c>
      <c r="P177" s="1968">
        <f ca="1"/>
        <v>0</v>
      </c>
      <c r="Q177" s="1968">
        <f ca="1"/>
        <v>0</v>
      </c>
      <c r="R177" s="1968">
        <f ca="1"/>
        <v>0</v>
      </c>
      <c r="S177" s="1968">
        <f ca="1"/>
        <v>0</v>
      </c>
      <c r="T177" s="1968">
        <f ca="1"/>
        <v>0</v>
      </c>
      <c r="U177" s="1968">
        <f ca="1"/>
        <v>0</v>
      </c>
      <c r="V177" s="1968">
        <f ca="1"/>
        <v>0</v>
      </c>
      <c r="W177" s="1968">
        <f ca="1"/>
        <v>0</v>
      </c>
      <c r="X177" s="1968">
        <f ca="1"/>
        <v>0</v>
      </c>
      <c r="Y177" s="1986">
        <f ca="1"/>
        <v>0</v>
      </c>
    </row>
    <row r="178" spans="1:25" ht="13.5" thickBot="1">
      <c r="A178" s="103" t="str">
        <f>"Totales CV "&amp;A$11</f>
        <v xml:space="preserve">Totales CV </v>
      </c>
      <c r="B178" s="596">
        <f t="shared" ref="B178:Y178" ca="1" si="13">SUM(B165:B177)</f>
        <v>0</v>
      </c>
      <c r="C178" s="596">
        <f t="shared" ca="1" si="13"/>
        <v>0</v>
      </c>
      <c r="D178" s="596">
        <f t="shared" ca="1" si="13"/>
        <v>0</v>
      </c>
      <c r="E178" s="596">
        <f t="shared" ca="1" si="13"/>
        <v>0</v>
      </c>
      <c r="F178" s="596">
        <f t="shared" ca="1" si="13"/>
        <v>0</v>
      </c>
      <c r="G178" s="596">
        <f t="shared" ca="1" si="13"/>
        <v>0</v>
      </c>
      <c r="H178" s="596">
        <f t="shared" ca="1" si="13"/>
        <v>0</v>
      </c>
      <c r="I178" s="596">
        <f t="shared" ca="1" si="13"/>
        <v>0</v>
      </c>
      <c r="J178" s="596">
        <f t="shared" ca="1" si="13"/>
        <v>0</v>
      </c>
      <c r="K178" s="596">
        <f t="shared" ca="1" si="13"/>
        <v>0</v>
      </c>
      <c r="L178" s="596">
        <f t="shared" ca="1" si="13"/>
        <v>0</v>
      </c>
      <c r="M178" s="596">
        <f t="shared" ca="1" si="13"/>
        <v>0</v>
      </c>
      <c r="N178" s="596">
        <f t="shared" ca="1" si="13"/>
        <v>0</v>
      </c>
      <c r="O178" s="596">
        <f t="shared" ca="1" si="13"/>
        <v>0</v>
      </c>
      <c r="P178" s="596">
        <f t="shared" ca="1" si="13"/>
        <v>0</v>
      </c>
      <c r="Q178" s="596">
        <f t="shared" ca="1" si="13"/>
        <v>0</v>
      </c>
      <c r="R178" s="596">
        <f t="shared" ca="1" si="13"/>
        <v>0</v>
      </c>
      <c r="S178" s="596">
        <f t="shared" ca="1" si="13"/>
        <v>0</v>
      </c>
      <c r="T178" s="596">
        <f t="shared" ca="1" si="13"/>
        <v>0</v>
      </c>
      <c r="U178" s="596">
        <f t="shared" ca="1" si="13"/>
        <v>0</v>
      </c>
      <c r="V178" s="596">
        <f t="shared" ca="1" si="13"/>
        <v>0</v>
      </c>
      <c r="W178" s="596">
        <f t="shared" ca="1" si="13"/>
        <v>0</v>
      </c>
      <c r="X178" s="596">
        <f t="shared" ca="1" si="13"/>
        <v>0</v>
      </c>
      <c r="Y178" s="1984">
        <f t="shared" ca="1" si="13"/>
        <v>0</v>
      </c>
    </row>
    <row r="179" spans="1:25" ht="13.5" thickBot="1">
      <c r="A179" s="103" t="str">
        <f>'Datos Básicos'!A28&amp;" sop. CV "&amp;$A$11</f>
        <v xml:space="preserve">IVA sop. CV </v>
      </c>
      <c r="B179" s="596">
        <f t="array" aca="1" ref="B179:Y179" ca="1">$K$163*B178:Y178</f>
        <v>0</v>
      </c>
      <c r="C179" s="596">
        <f ca="1"/>
        <v>0</v>
      </c>
      <c r="D179" s="596">
        <f ca="1"/>
        <v>0</v>
      </c>
      <c r="E179" s="596">
        <f ca="1"/>
        <v>0</v>
      </c>
      <c r="F179" s="596">
        <f ca="1"/>
        <v>0</v>
      </c>
      <c r="G179" s="596">
        <f ca="1"/>
        <v>0</v>
      </c>
      <c r="H179" s="596">
        <f ca="1"/>
        <v>0</v>
      </c>
      <c r="I179" s="596">
        <f ca="1"/>
        <v>0</v>
      </c>
      <c r="J179" s="596">
        <f ca="1"/>
        <v>0</v>
      </c>
      <c r="K179" s="596">
        <f ca="1"/>
        <v>0</v>
      </c>
      <c r="L179" s="596">
        <f ca="1"/>
        <v>0</v>
      </c>
      <c r="M179" s="596">
        <f ca="1"/>
        <v>0</v>
      </c>
      <c r="N179" s="596">
        <f ca="1"/>
        <v>0</v>
      </c>
      <c r="O179" s="596">
        <f ca="1"/>
        <v>0</v>
      </c>
      <c r="P179" s="596">
        <f ca="1"/>
        <v>0</v>
      </c>
      <c r="Q179" s="596">
        <f ca="1"/>
        <v>0</v>
      </c>
      <c r="R179" s="596">
        <f ca="1"/>
        <v>0</v>
      </c>
      <c r="S179" s="596">
        <f ca="1"/>
        <v>0</v>
      </c>
      <c r="T179" s="596">
        <f ca="1"/>
        <v>0</v>
      </c>
      <c r="U179" s="596">
        <f ca="1"/>
        <v>0</v>
      </c>
      <c r="V179" s="596">
        <f ca="1"/>
        <v>0</v>
      </c>
      <c r="W179" s="596">
        <f ca="1"/>
        <v>0</v>
      </c>
      <c r="X179" s="596">
        <f ca="1"/>
        <v>0</v>
      </c>
      <c r="Y179" s="1984">
        <f ca="1"/>
        <v>0</v>
      </c>
    </row>
    <row r="181" spans="1:25" ht="18.75" thickBot="1">
      <c r="A181" s="1969" t="str">
        <f>'Distr CV 0'!A181</f>
        <v xml:space="preserve">Compras / costes de producción por meses de </v>
      </c>
      <c r="I181" s="1969" t="str">
        <f>I$18</f>
        <v>IVA NO incluido</v>
      </c>
      <c r="K181" s="1981">
        <f>Parametros!$F$28</f>
        <v>0.21</v>
      </c>
    </row>
    <row r="182" spans="1:25" ht="31.5" customHeight="1" thickBot="1">
      <c r="A182" s="446" t="str">
        <f>A$110</f>
        <v>mes de compra / coste</v>
      </c>
      <c r="B182" s="1987" t="str">
        <f t="array" ref="B182:Y182">B$71:Y$71</f>
        <v>enero 
2027</v>
      </c>
      <c r="C182" s="1987" t="str">
        <v>febrero 
2027</v>
      </c>
      <c r="D182" s="1987" t="str">
        <v>marzo 
2027</v>
      </c>
      <c r="E182" s="1987" t="str">
        <v>abril 
2027</v>
      </c>
      <c r="F182" s="1987" t="str">
        <v>mayo 
2027</v>
      </c>
      <c r="G182" s="1987" t="str">
        <v>junio 
2027</v>
      </c>
      <c r="H182" s="1987" t="str">
        <v>julio 
2027</v>
      </c>
      <c r="I182" s="1987" t="str">
        <v>agosto 
2027</v>
      </c>
      <c r="J182" s="1987" t="str">
        <v>septiembre 
2027</v>
      </c>
      <c r="K182" s="1987" t="str">
        <v>octubre 
2027</v>
      </c>
      <c r="L182" s="1987" t="str">
        <v>noviembre 
2027</v>
      </c>
      <c r="M182" s="1987" t="str">
        <v>diciembre 
2027</v>
      </c>
      <c r="N182" s="2703" t="str">
        <v>enero 
2028</v>
      </c>
      <c r="O182" s="2704" t="str">
        <v>febrero 
2028</v>
      </c>
      <c r="P182" s="2704" t="str">
        <v>marzo 
2028</v>
      </c>
      <c r="Q182" s="2704" t="str">
        <v>abril 
2028</v>
      </c>
      <c r="R182" s="2704" t="str">
        <v>mayo 
2028</v>
      </c>
      <c r="S182" s="2704" t="str">
        <v>junio 
2028</v>
      </c>
      <c r="T182" s="2704" t="str">
        <v>julio 
2028</v>
      </c>
      <c r="U182" s="2704" t="str">
        <v>agosto 
2028</v>
      </c>
      <c r="V182" s="2704" t="str">
        <v>septiembre 
2028</v>
      </c>
      <c r="W182" s="2704" t="str">
        <v>octubre 
2028</v>
      </c>
      <c r="X182" s="2704" t="str">
        <v>noviembre 
2028</v>
      </c>
      <c r="Y182" s="2705" t="str">
        <v>diciembre 
2028</v>
      </c>
    </row>
    <row r="183" spans="1:25">
      <c r="A183" s="1970" t="str">
        <f t="array" ref="A183:A195">A$72:A$84</f>
        <v>mismo mes</v>
      </c>
      <c r="B183" s="1967"/>
      <c r="C183" s="1967"/>
      <c r="D183" s="1967"/>
      <c r="E183" s="1967"/>
      <c r="F183" s="1967"/>
      <c r="G183" s="1967"/>
      <c r="H183" s="1967"/>
      <c r="I183" s="1967"/>
      <c r="J183" s="1967"/>
      <c r="K183" s="1967"/>
      <c r="L183" s="1967"/>
      <c r="M183" s="1967"/>
      <c r="N183" s="592">
        <f t="array" aca="1" ref="N183:Y183" ca="1">B24:M24*Produccion!$N$12</f>
        <v>0</v>
      </c>
      <c r="O183" s="592">
        <f ca="1"/>
        <v>0</v>
      </c>
      <c r="P183" s="592">
        <f ca="1"/>
        <v>0</v>
      </c>
      <c r="Q183" s="592">
        <f ca="1"/>
        <v>0</v>
      </c>
      <c r="R183" s="592">
        <f ca="1"/>
        <v>0</v>
      </c>
      <c r="S183" s="592">
        <f ca="1"/>
        <v>0</v>
      </c>
      <c r="T183" s="592">
        <f ca="1"/>
        <v>0</v>
      </c>
      <c r="U183" s="592">
        <f ca="1"/>
        <v>0</v>
      </c>
      <c r="V183" s="592">
        <f ca="1"/>
        <v>0</v>
      </c>
      <c r="W183" s="592">
        <f ca="1"/>
        <v>0</v>
      </c>
      <c r="X183" s="592">
        <f ca="1"/>
        <v>0</v>
      </c>
      <c r="Y183" s="1982">
        <f ca="1"/>
        <v>0</v>
      </c>
    </row>
    <row r="184" spans="1:25">
      <c r="A184" s="1971" t="str">
        <v>1 mes antes</v>
      </c>
      <c r="B184" s="1967"/>
      <c r="C184" s="1967"/>
      <c r="D184" s="1967"/>
      <c r="E184" s="1967"/>
      <c r="F184" s="1967"/>
      <c r="G184" s="1967"/>
      <c r="H184" s="1967"/>
      <c r="I184" s="1967"/>
      <c r="J184" s="1967"/>
      <c r="K184" s="1967"/>
      <c r="L184" s="1967"/>
      <c r="M184" s="592">
        <f t="array" aca="1" ref="M184:X184" ca="1">B24:M24*Produccion!$M$12</f>
        <v>0</v>
      </c>
      <c r="N184" s="592">
        <f ca="1"/>
        <v>0</v>
      </c>
      <c r="O184" s="592">
        <f ca="1"/>
        <v>0</v>
      </c>
      <c r="P184" s="592">
        <f ca="1"/>
        <v>0</v>
      </c>
      <c r="Q184" s="592">
        <f ca="1"/>
        <v>0</v>
      </c>
      <c r="R184" s="592">
        <f ca="1"/>
        <v>0</v>
      </c>
      <c r="S184" s="592">
        <f ca="1"/>
        <v>0</v>
      </c>
      <c r="T184" s="592">
        <f ca="1"/>
        <v>0</v>
      </c>
      <c r="U184" s="592">
        <f ca="1"/>
        <v>0</v>
      </c>
      <c r="V184" s="592">
        <f ca="1"/>
        <v>0</v>
      </c>
      <c r="W184" s="592">
        <f ca="1"/>
        <v>0</v>
      </c>
      <c r="X184" s="592">
        <f ca="1"/>
        <v>0</v>
      </c>
      <c r="Y184" s="1983">
        <f t="array" aca="1" ref="Y184:Y195" ca="1">'Distr CV 3'!M184:M195</f>
        <v>0</v>
      </c>
    </row>
    <row r="185" spans="1:25">
      <c r="A185" s="1971" t="str">
        <v>2 meses antes</v>
      </c>
      <c r="B185" s="1967"/>
      <c r="C185" s="1967"/>
      <c r="D185" s="1967"/>
      <c r="E185" s="1967"/>
      <c r="F185" s="1967"/>
      <c r="G185" s="1967"/>
      <c r="H185" s="1967"/>
      <c r="I185" s="1967"/>
      <c r="J185" s="1967"/>
      <c r="K185" s="1967"/>
      <c r="L185" s="592">
        <f t="array" aca="1" ref="L185:W185" ca="1">B24:M24*Produccion!$L$12</f>
        <v>0</v>
      </c>
      <c r="M185" s="592">
        <f ca="1"/>
        <v>0</v>
      </c>
      <c r="N185" s="592">
        <f ca="1"/>
        <v>0</v>
      </c>
      <c r="O185" s="592">
        <f ca="1"/>
        <v>0</v>
      </c>
      <c r="P185" s="592">
        <f ca="1"/>
        <v>0</v>
      </c>
      <c r="Q185" s="592">
        <f ca="1"/>
        <v>0</v>
      </c>
      <c r="R185" s="592">
        <f ca="1"/>
        <v>0</v>
      </c>
      <c r="S185" s="592">
        <f ca="1"/>
        <v>0</v>
      </c>
      <c r="T185" s="592">
        <f ca="1"/>
        <v>0</v>
      </c>
      <c r="U185" s="592">
        <f ca="1"/>
        <v>0</v>
      </c>
      <c r="V185" s="592">
        <f ca="1"/>
        <v>0</v>
      </c>
      <c r="W185" s="592">
        <f ca="1"/>
        <v>0</v>
      </c>
      <c r="X185" s="1964">
        <f t="array" aca="1" ref="X185:X195" ca="1">'Distr CV 3'!L185:L195</f>
        <v>0</v>
      </c>
      <c r="Y185" s="1983">
        <f ca="1"/>
        <v>0</v>
      </c>
    </row>
    <row r="186" spans="1:25">
      <c r="A186" s="1971" t="str">
        <v>3 meses antes</v>
      </c>
      <c r="B186" s="1967"/>
      <c r="C186" s="1967"/>
      <c r="D186" s="1967"/>
      <c r="E186" s="1967"/>
      <c r="F186" s="1967"/>
      <c r="G186" s="1967"/>
      <c r="H186" s="1967"/>
      <c r="I186" s="1967"/>
      <c r="J186" s="1967"/>
      <c r="K186" s="592">
        <f t="array" aca="1" ref="K186:V186" ca="1">B24:M24*Produccion!$K$12</f>
        <v>0</v>
      </c>
      <c r="L186" s="592">
        <f ca="1"/>
        <v>0</v>
      </c>
      <c r="M186" s="592">
        <f ca="1"/>
        <v>0</v>
      </c>
      <c r="N186" s="592">
        <f ca="1"/>
        <v>0</v>
      </c>
      <c r="O186" s="592">
        <f ca="1"/>
        <v>0</v>
      </c>
      <c r="P186" s="592">
        <f ca="1"/>
        <v>0</v>
      </c>
      <c r="Q186" s="592">
        <f ca="1"/>
        <v>0</v>
      </c>
      <c r="R186" s="592">
        <f ca="1"/>
        <v>0</v>
      </c>
      <c r="S186" s="592">
        <f ca="1"/>
        <v>0</v>
      </c>
      <c r="T186" s="592">
        <f ca="1"/>
        <v>0</v>
      </c>
      <c r="U186" s="592">
        <f ca="1"/>
        <v>0</v>
      </c>
      <c r="V186" s="592">
        <f ca="1"/>
        <v>0</v>
      </c>
      <c r="W186" s="1964">
        <f t="array" aca="1" ref="W186:W195" ca="1">'Distr CV 3'!K186:K195</f>
        <v>0</v>
      </c>
      <c r="X186" s="1964">
        <f ca="1"/>
        <v>0</v>
      </c>
      <c r="Y186" s="1983">
        <f ca="1"/>
        <v>0</v>
      </c>
    </row>
    <row r="187" spans="1:25">
      <c r="A187" s="1971" t="str">
        <v>4 meses antes</v>
      </c>
      <c r="B187" s="1967"/>
      <c r="C187" s="1967"/>
      <c r="D187" s="1967"/>
      <c r="E187" s="1967"/>
      <c r="F187" s="1967"/>
      <c r="G187" s="1967"/>
      <c r="H187" s="1967"/>
      <c r="I187" s="1967"/>
      <c r="J187" s="592">
        <f t="array" aca="1" ref="J187:U187" ca="1">B24:M24*Produccion!$J$12</f>
        <v>0</v>
      </c>
      <c r="K187" s="592">
        <f ca="1"/>
        <v>0</v>
      </c>
      <c r="L187" s="592">
        <f ca="1"/>
        <v>0</v>
      </c>
      <c r="M187" s="592">
        <f ca="1"/>
        <v>0</v>
      </c>
      <c r="N187" s="592">
        <f ca="1"/>
        <v>0</v>
      </c>
      <c r="O187" s="592">
        <f ca="1"/>
        <v>0</v>
      </c>
      <c r="P187" s="592">
        <f ca="1"/>
        <v>0</v>
      </c>
      <c r="Q187" s="592">
        <f ca="1"/>
        <v>0</v>
      </c>
      <c r="R187" s="592">
        <f ca="1"/>
        <v>0</v>
      </c>
      <c r="S187" s="592">
        <f ca="1"/>
        <v>0</v>
      </c>
      <c r="T187" s="592">
        <f ca="1"/>
        <v>0</v>
      </c>
      <c r="U187" s="592">
        <f ca="1"/>
        <v>0</v>
      </c>
      <c r="V187" s="1964">
        <f t="array" aca="1" ref="V187:V195" ca="1">'Distr CV 3'!J187:J195</f>
        <v>0</v>
      </c>
      <c r="W187" s="1964">
        <f ca="1"/>
        <v>0</v>
      </c>
      <c r="X187" s="1964">
        <f ca="1"/>
        <v>0</v>
      </c>
      <c r="Y187" s="1983">
        <f ca="1"/>
        <v>0</v>
      </c>
    </row>
    <row r="188" spans="1:25">
      <c r="A188" s="1971" t="str">
        <v>5 meses antes</v>
      </c>
      <c r="B188" s="1967"/>
      <c r="C188" s="1967"/>
      <c r="D188" s="1967"/>
      <c r="E188" s="1967"/>
      <c r="F188" s="1967"/>
      <c r="G188" s="1967"/>
      <c r="H188" s="1967"/>
      <c r="I188" s="592">
        <f t="array" aca="1" ref="I188:T188" ca="1">B24:M24*Produccion!$I$12</f>
        <v>0</v>
      </c>
      <c r="J188" s="592">
        <f ca="1"/>
        <v>0</v>
      </c>
      <c r="K188" s="592">
        <f ca="1"/>
        <v>0</v>
      </c>
      <c r="L188" s="592">
        <f ca="1"/>
        <v>0</v>
      </c>
      <c r="M188" s="592">
        <f ca="1"/>
        <v>0</v>
      </c>
      <c r="N188" s="592">
        <f ca="1"/>
        <v>0</v>
      </c>
      <c r="O188" s="592">
        <f ca="1"/>
        <v>0</v>
      </c>
      <c r="P188" s="592">
        <f ca="1"/>
        <v>0</v>
      </c>
      <c r="Q188" s="592">
        <f ca="1"/>
        <v>0</v>
      </c>
      <c r="R188" s="592">
        <f ca="1"/>
        <v>0</v>
      </c>
      <c r="S188" s="592">
        <f ca="1"/>
        <v>0</v>
      </c>
      <c r="T188" s="592">
        <f ca="1"/>
        <v>0</v>
      </c>
      <c r="U188" s="1964">
        <f t="array" aca="1" ref="U188:U195" ca="1">'Distr CV 3'!I188:I195</f>
        <v>0</v>
      </c>
      <c r="V188" s="1964">
        <f ca="1"/>
        <v>0</v>
      </c>
      <c r="W188" s="1964">
        <f ca="1"/>
        <v>0</v>
      </c>
      <c r="X188" s="1964">
        <f ca="1"/>
        <v>0</v>
      </c>
      <c r="Y188" s="1983">
        <f ca="1"/>
        <v>0</v>
      </c>
    </row>
    <row r="189" spans="1:25">
      <c r="A189" s="1971" t="str">
        <v>6 meses antes</v>
      </c>
      <c r="B189" s="1967"/>
      <c r="C189" s="1967"/>
      <c r="D189" s="1967"/>
      <c r="E189" s="1967"/>
      <c r="F189" s="1967"/>
      <c r="G189" s="1967"/>
      <c r="H189" s="592">
        <f t="array" aca="1" ref="H189:S189" ca="1">B24:M24*Produccion!$H$12</f>
        <v>0</v>
      </c>
      <c r="I189" s="592">
        <f ca="1"/>
        <v>0</v>
      </c>
      <c r="J189" s="592">
        <f ca="1"/>
        <v>0</v>
      </c>
      <c r="K189" s="592">
        <f ca="1"/>
        <v>0</v>
      </c>
      <c r="L189" s="592">
        <f ca="1"/>
        <v>0</v>
      </c>
      <c r="M189" s="592">
        <f ca="1"/>
        <v>0</v>
      </c>
      <c r="N189" s="592">
        <f ca="1"/>
        <v>0</v>
      </c>
      <c r="O189" s="592">
        <f ca="1"/>
        <v>0</v>
      </c>
      <c r="P189" s="592">
        <f ca="1"/>
        <v>0</v>
      </c>
      <c r="Q189" s="592">
        <f ca="1"/>
        <v>0</v>
      </c>
      <c r="R189" s="592">
        <f ca="1"/>
        <v>0</v>
      </c>
      <c r="S189" s="592">
        <f ca="1"/>
        <v>0</v>
      </c>
      <c r="T189" s="1964">
        <f t="array" aca="1" ref="T189:T195" ca="1">'Distr CV 3'!H189:H195</f>
        <v>0</v>
      </c>
      <c r="U189" s="1964">
        <f ca="1"/>
        <v>0</v>
      </c>
      <c r="V189" s="1964">
        <f ca="1"/>
        <v>0</v>
      </c>
      <c r="W189" s="1964">
        <f ca="1"/>
        <v>0</v>
      </c>
      <c r="X189" s="1964">
        <f ca="1"/>
        <v>0</v>
      </c>
      <c r="Y189" s="1983">
        <f ca="1"/>
        <v>0</v>
      </c>
    </row>
    <row r="190" spans="1:25">
      <c r="A190" s="1971" t="str">
        <v>7 meses antes</v>
      </c>
      <c r="B190" s="1967"/>
      <c r="C190" s="1967"/>
      <c r="D190" s="1967"/>
      <c r="E190" s="1967"/>
      <c r="F190" s="1967"/>
      <c r="G190" s="592">
        <f t="array" aca="1" ref="G190:R190" ca="1">B24:M24*Produccion!$G$12</f>
        <v>0</v>
      </c>
      <c r="H190" s="592">
        <f ca="1"/>
        <v>0</v>
      </c>
      <c r="I190" s="592">
        <f ca="1"/>
        <v>0</v>
      </c>
      <c r="J190" s="592">
        <f ca="1"/>
        <v>0</v>
      </c>
      <c r="K190" s="592">
        <f ca="1"/>
        <v>0</v>
      </c>
      <c r="L190" s="592">
        <f ca="1"/>
        <v>0</v>
      </c>
      <c r="M190" s="592">
        <f ca="1"/>
        <v>0</v>
      </c>
      <c r="N190" s="592">
        <f ca="1"/>
        <v>0</v>
      </c>
      <c r="O190" s="592">
        <f ca="1"/>
        <v>0</v>
      </c>
      <c r="P190" s="592">
        <f ca="1"/>
        <v>0</v>
      </c>
      <c r="Q190" s="592">
        <f ca="1"/>
        <v>0</v>
      </c>
      <c r="R190" s="592">
        <f ca="1"/>
        <v>0</v>
      </c>
      <c r="S190" s="1968">
        <f t="array" aca="1" ref="S190:S195" ca="1">'Distr CV 3'!G190:G195</f>
        <v>0</v>
      </c>
      <c r="T190" s="1968">
        <f ca="1"/>
        <v>0</v>
      </c>
      <c r="U190" s="1968">
        <f ca="1"/>
        <v>0</v>
      </c>
      <c r="V190" s="1968">
        <f ca="1"/>
        <v>0</v>
      </c>
      <c r="W190" s="1968">
        <f ca="1"/>
        <v>0</v>
      </c>
      <c r="X190" s="1968">
        <f ca="1"/>
        <v>0</v>
      </c>
      <c r="Y190" s="1986">
        <f ca="1"/>
        <v>0</v>
      </c>
    </row>
    <row r="191" spans="1:25">
      <c r="A191" s="1971" t="str">
        <v>8 meses antes</v>
      </c>
      <c r="B191" s="1967"/>
      <c r="C191" s="1967"/>
      <c r="D191" s="1967"/>
      <c r="E191" s="1967"/>
      <c r="F191" s="592">
        <f t="array" aca="1" ref="F191:Q191" ca="1">B24:M24*Produccion!$F$12</f>
        <v>0</v>
      </c>
      <c r="G191" s="592">
        <f ca="1"/>
        <v>0</v>
      </c>
      <c r="H191" s="592">
        <f ca="1"/>
        <v>0</v>
      </c>
      <c r="I191" s="592">
        <f ca="1"/>
        <v>0</v>
      </c>
      <c r="J191" s="592">
        <f ca="1"/>
        <v>0</v>
      </c>
      <c r="K191" s="592">
        <f ca="1"/>
        <v>0</v>
      </c>
      <c r="L191" s="592">
        <f ca="1"/>
        <v>0</v>
      </c>
      <c r="M191" s="592">
        <f ca="1"/>
        <v>0</v>
      </c>
      <c r="N191" s="592">
        <f ca="1"/>
        <v>0</v>
      </c>
      <c r="O191" s="592">
        <f ca="1"/>
        <v>0</v>
      </c>
      <c r="P191" s="592">
        <f ca="1"/>
        <v>0</v>
      </c>
      <c r="Q191" s="592">
        <f ca="1"/>
        <v>0</v>
      </c>
      <c r="R191" s="1968">
        <f t="array" aca="1" ref="R191:R195" ca="1">'Distr CV 3'!F191:F195</f>
        <v>0</v>
      </c>
      <c r="S191" s="1968">
        <f ca="1"/>
        <v>0</v>
      </c>
      <c r="T191" s="1968">
        <f ca="1"/>
        <v>0</v>
      </c>
      <c r="U191" s="1968">
        <f ca="1"/>
        <v>0</v>
      </c>
      <c r="V191" s="1968">
        <f ca="1"/>
        <v>0</v>
      </c>
      <c r="W191" s="1968">
        <f ca="1"/>
        <v>0</v>
      </c>
      <c r="X191" s="1968">
        <f ca="1"/>
        <v>0</v>
      </c>
      <c r="Y191" s="1986">
        <f ca="1"/>
        <v>0</v>
      </c>
    </row>
    <row r="192" spans="1:25">
      <c r="A192" s="1971" t="str">
        <v>9 meses antes</v>
      </c>
      <c r="B192" s="1967"/>
      <c r="C192" s="1967"/>
      <c r="D192" s="1967"/>
      <c r="E192" s="592">
        <f t="array" aca="1" ref="E192:P192" ca="1">B24:M24*Produccion!$E$12</f>
        <v>0</v>
      </c>
      <c r="F192" s="592">
        <f ca="1"/>
        <v>0</v>
      </c>
      <c r="G192" s="592">
        <f ca="1"/>
        <v>0</v>
      </c>
      <c r="H192" s="592">
        <f ca="1"/>
        <v>0</v>
      </c>
      <c r="I192" s="592">
        <f ca="1"/>
        <v>0</v>
      </c>
      <c r="J192" s="592">
        <f ca="1"/>
        <v>0</v>
      </c>
      <c r="K192" s="592">
        <f ca="1"/>
        <v>0</v>
      </c>
      <c r="L192" s="592">
        <f ca="1"/>
        <v>0</v>
      </c>
      <c r="M192" s="592">
        <f ca="1"/>
        <v>0</v>
      </c>
      <c r="N192" s="592">
        <f ca="1"/>
        <v>0</v>
      </c>
      <c r="O192" s="592">
        <f ca="1"/>
        <v>0</v>
      </c>
      <c r="P192" s="592">
        <f ca="1"/>
        <v>0</v>
      </c>
      <c r="Q192" s="1968">
        <f t="array" aca="1" ref="Q192:Q195" ca="1">'Distr CV 3'!E192:E195</f>
        <v>0</v>
      </c>
      <c r="R192" s="1968">
        <f ca="1"/>
        <v>0</v>
      </c>
      <c r="S192" s="1968">
        <f ca="1"/>
        <v>0</v>
      </c>
      <c r="T192" s="1968">
        <f ca="1"/>
        <v>0</v>
      </c>
      <c r="U192" s="1968">
        <f ca="1"/>
        <v>0</v>
      </c>
      <c r="V192" s="1968">
        <f ca="1"/>
        <v>0</v>
      </c>
      <c r="W192" s="1968">
        <f ca="1"/>
        <v>0</v>
      </c>
      <c r="X192" s="1968">
        <f ca="1"/>
        <v>0</v>
      </c>
      <c r="Y192" s="1986">
        <f ca="1"/>
        <v>0</v>
      </c>
    </row>
    <row r="193" spans="1:25">
      <c r="A193" s="1971" t="str">
        <v>10 meses antes</v>
      </c>
      <c r="B193" s="1967"/>
      <c r="C193" s="1967"/>
      <c r="D193" s="592">
        <f t="array" aca="1" ref="D193:O193" ca="1">B24:M24*Produccion!$D$12</f>
        <v>0</v>
      </c>
      <c r="E193" s="592">
        <f ca="1"/>
        <v>0</v>
      </c>
      <c r="F193" s="592">
        <f ca="1"/>
        <v>0</v>
      </c>
      <c r="G193" s="592">
        <f ca="1"/>
        <v>0</v>
      </c>
      <c r="H193" s="592">
        <f ca="1"/>
        <v>0</v>
      </c>
      <c r="I193" s="592">
        <f ca="1"/>
        <v>0</v>
      </c>
      <c r="J193" s="592">
        <f ca="1"/>
        <v>0</v>
      </c>
      <c r="K193" s="592">
        <f ca="1"/>
        <v>0</v>
      </c>
      <c r="L193" s="592">
        <f ca="1"/>
        <v>0</v>
      </c>
      <c r="M193" s="592">
        <f ca="1"/>
        <v>0</v>
      </c>
      <c r="N193" s="592">
        <f ca="1"/>
        <v>0</v>
      </c>
      <c r="O193" s="592">
        <f ca="1"/>
        <v>0</v>
      </c>
      <c r="P193" s="1968">
        <f t="array" aca="1" ref="P193:P195" ca="1">'Distr CV 3'!D193:D195</f>
        <v>0</v>
      </c>
      <c r="Q193" s="1968">
        <f ca="1"/>
        <v>0</v>
      </c>
      <c r="R193" s="1968">
        <f ca="1"/>
        <v>0</v>
      </c>
      <c r="S193" s="1968">
        <f ca="1"/>
        <v>0</v>
      </c>
      <c r="T193" s="1968">
        <f ca="1"/>
        <v>0</v>
      </c>
      <c r="U193" s="1968">
        <f ca="1"/>
        <v>0</v>
      </c>
      <c r="V193" s="1968">
        <f ca="1"/>
        <v>0</v>
      </c>
      <c r="W193" s="1968">
        <f ca="1"/>
        <v>0</v>
      </c>
      <c r="X193" s="1968">
        <f ca="1"/>
        <v>0</v>
      </c>
      <c r="Y193" s="1986">
        <f ca="1"/>
        <v>0</v>
      </c>
    </row>
    <row r="194" spans="1:25">
      <c r="A194" s="1971" t="str">
        <v>11 meses antes</v>
      </c>
      <c r="B194" s="1967"/>
      <c r="C194" s="592">
        <f t="array" aca="1" ref="C194:N194" ca="1">B24:M24*Produccion!$C$12</f>
        <v>0</v>
      </c>
      <c r="D194" s="592">
        <f ca="1"/>
        <v>0</v>
      </c>
      <c r="E194" s="592">
        <f ca="1"/>
        <v>0</v>
      </c>
      <c r="F194" s="592">
        <f ca="1"/>
        <v>0</v>
      </c>
      <c r="G194" s="592">
        <f ca="1"/>
        <v>0</v>
      </c>
      <c r="H194" s="592">
        <f ca="1"/>
        <v>0</v>
      </c>
      <c r="I194" s="592">
        <f ca="1"/>
        <v>0</v>
      </c>
      <c r="J194" s="592">
        <f ca="1"/>
        <v>0</v>
      </c>
      <c r="K194" s="592">
        <f ca="1"/>
        <v>0</v>
      </c>
      <c r="L194" s="592">
        <f ca="1"/>
        <v>0</v>
      </c>
      <c r="M194" s="592">
        <f ca="1"/>
        <v>0</v>
      </c>
      <c r="N194" s="592">
        <f ca="1"/>
        <v>0</v>
      </c>
      <c r="O194" s="1968">
        <f ca="1">'Distr CV 3'!C194</f>
        <v>0</v>
      </c>
      <c r="P194" s="1968">
        <f ca="1"/>
        <v>0</v>
      </c>
      <c r="Q194" s="1968">
        <f ca="1"/>
        <v>0</v>
      </c>
      <c r="R194" s="1968">
        <f ca="1"/>
        <v>0</v>
      </c>
      <c r="S194" s="1968">
        <f ca="1"/>
        <v>0</v>
      </c>
      <c r="T194" s="1968">
        <f ca="1"/>
        <v>0</v>
      </c>
      <c r="U194" s="1968">
        <f ca="1"/>
        <v>0</v>
      </c>
      <c r="V194" s="1968">
        <f ca="1"/>
        <v>0</v>
      </c>
      <c r="W194" s="1968">
        <f ca="1"/>
        <v>0</v>
      </c>
      <c r="X194" s="1968">
        <f ca="1"/>
        <v>0</v>
      </c>
      <c r="Y194" s="1986">
        <f ca="1"/>
        <v>0</v>
      </c>
    </row>
    <row r="195" spans="1:25" ht="13.5" thickBot="1">
      <c r="A195" s="1971" t="str">
        <v>12 meses antes</v>
      </c>
      <c r="B195" s="592">
        <f t="array" aca="1" ref="B195:M195" ca="1">B24:M24*Produccion!$B$12</f>
        <v>0</v>
      </c>
      <c r="C195" s="592">
        <f ca="1"/>
        <v>0</v>
      </c>
      <c r="D195" s="592">
        <f ca="1"/>
        <v>0</v>
      </c>
      <c r="E195" s="592">
        <f ca="1"/>
        <v>0</v>
      </c>
      <c r="F195" s="592">
        <f ca="1"/>
        <v>0</v>
      </c>
      <c r="G195" s="592">
        <f ca="1"/>
        <v>0</v>
      </c>
      <c r="H195" s="592">
        <f ca="1"/>
        <v>0</v>
      </c>
      <c r="I195" s="592">
        <f ca="1"/>
        <v>0</v>
      </c>
      <c r="J195" s="592">
        <f ca="1"/>
        <v>0</v>
      </c>
      <c r="K195" s="592">
        <f ca="1"/>
        <v>0</v>
      </c>
      <c r="L195" s="592">
        <f ca="1"/>
        <v>0</v>
      </c>
      <c r="M195" s="592">
        <f ca="1"/>
        <v>0</v>
      </c>
      <c r="N195" s="1967">
        <f ca="1">'Distr CV 3'!B195</f>
        <v>0</v>
      </c>
      <c r="O195" s="1968">
        <f ca="1">'Distr CV 3'!C195</f>
        <v>0</v>
      </c>
      <c r="P195" s="1968">
        <f ca="1"/>
        <v>0</v>
      </c>
      <c r="Q195" s="1968">
        <f ca="1"/>
        <v>0</v>
      </c>
      <c r="R195" s="1968">
        <f ca="1"/>
        <v>0</v>
      </c>
      <c r="S195" s="1968">
        <f ca="1"/>
        <v>0</v>
      </c>
      <c r="T195" s="1968">
        <f ca="1"/>
        <v>0</v>
      </c>
      <c r="U195" s="1968">
        <f ca="1"/>
        <v>0</v>
      </c>
      <c r="V195" s="1968">
        <f ca="1"/>
        <v>0</v>
      </c>
      <c r="W195" s="1968">
        <f ca="1"/>
        <v>0</v>
      </c>
      <c r="X195" s="1968">
        <f ca="1"/>
        <v>0</v>
      </c>
      <c r="Y195" s="1986">
        <f ca="1"/>
        <v>0</v>
      </c>
    </row>
    <row r="196" spans="1:25" ht="13.5" thickBot="1">
      <c r="A196" s="103" t="str">
        <f>"Totales CV "&amp;A$12</f>
        <v xml:space="preserve">Totales CV </v>
      </c>
      <c r="B196" s="596">
        <f t="shared" ref="B196:Y196" ca="1" si="14">SUM(B183:B195)</f>
        <v>0</v>
      </c>
      <c r="C196" s="596">
        <f t="shared" ca="1" si="14"/>
        <v>0</v>
      </c>
      <c r="D196" s="596">
        <f t="shared" ca="1" si="14"/>
        <v>0</v>
      </c>
      <c r="E196" s="596">
        <f t="shared" ca="1" si="14"/>
        <v>0</v>
      </c>
      <c r="F196" s="596">
        <f t="shared" ca="1" si="14"/>
        <v>0</v>
      </c>
      <c r="G196" s="596">
        <f t="shared" ca="1" si="14"/>
        <v>0</v>
      </c>
      <c r="H196" s="596">
        <f t="shared" ca="1" si="14"/>
        <v>0</v>
      </c>
      <c r="I196" s="596">
        <f t="shared" ca="1" si="14"/>
        <v>0</v>
      </c>
      <c r="J196" s="596">
        <f t="shared" ca="1" si="14"/>
        <v>0</v>
      </c>
      <c r="K196" s="596">
        <f t="shared" ca="1" si="14"/>
        <v>0</v>
      </c>
      <c r="L196" s="596">
        <f t="shared" ca="1" si="14"/>
        <v>0</v>
      </c>
      <c r="M196" s="596">
        <f t="shared" ca="1" si="14"/>
        <v>0</v>
      </c>
      <c r="N196" s="596">
        <f t="shared" ca="1" si="14"/>
        <v>0</v>
      </c>
      <c r="O196" s="596">
        <f t="shared" ca="1" si="14"/>
        <v>0</v>
      </c>
      <c r="P196" s="596">
        <f t="shared" ca="1" si="14"/>
        <v>0</v>
      </c>
      <c r="Q196" s="596">
        <f t="shared" ca="1" si="14"/>
        <v>0</v>
      </c>
      <c r="R196" s="596">
        <f t="shared" ca="1" si="14"/>
        <v>0</v>
      </c>
      <c r="S196" s="596">
        <f t="shared" ca="1" si="14"/>
        <v>0</v>
      </c>
      <c r="T196" s="596">
        <f t="shared" ca="1" si="14"/>
        <v>0</v>
      </c>
      <c r="U196" s="596">
        <f t="shared" ca="1" si="14"/>
        <v>0</v>
      </c>
      <c r="V196" s="596">
        <f t="shared" ca="1" si="14"/>
        <v>0</v>
      </c>
      <c r="W196" s="596">
        <f t="shared" ca="1" si="14"/>
        <v>0</v>
      </c>
      <c r="X196" s="596">
        <f t="shared" ca="1" si="14"/>
        <v>0</v>
      </c>
      <c r="Y196" s="1984">
        <f t="shared" ca="1" si="14"/>
        <v>0</v>
      </c>
    </row>
    <row r="197" spans="1:25" ht="13.5" thickBot="1">
      <c r="A197" s="103" t="str">
        <f>'Datos Básicos'!A28&amp;" sop. CV "&amp;$A$12</f>
        <v xml:space="preserve">IVA sop. CV </v>
      </c>
      <c r="B197" s="596">
        <f t="array" aca="1" ref="B197:Y197" ca="1">$K$181*B196:Y196</f>
        <v>0</v>
      </c>
      <c r="C197" s="596">
        <f ca="1"/>
        <v>0</v>
      </c>
      <c r="D197" s="596">
        <f ca="1"/>
        <v>0</v>
      </c>
      <c r="E197" s="596">
        <f ca="1"/>
        <v>0</v>
      </c>
      <c r="F197" s="596">
        <f ca="1"/>
        <v>0</v>
      </c>
      <c r="G197" s="596">
        <f ca="1"/>
        <v>0</v>
      </c>
      <c r="H197" s="596">
        <f ca="1"/>
        <v>0</v>
      </c>
      <c r="I197" s="596">
        <f ca="1"/>
        <v>0</v>
      </c>
      <c r="J197" s="596">
        <f ca="1"/>
        <v>0</v>
      </c>
      <c r="K197" s="596">
        <f ca="1"/>
        <v>0</v>
      </c>
      <c r="L197" s="596">
        <f ca="1"/>
        <v>0</v>
      </c>
      <c r="M197" s="596">
        <f ca="1"/>
        <v>0</v>
      </c>
      <c r="N197" s="596">
        <f ca="1"/>
        <v>0</v>
      </c>
      <c r="O197" s="596">
        <f ca="1"/>
        <v>0</v>
      </c>
      <c r="P197" s="596">
        <f ca="1"/>
        <v>0</v>
      </c>
      <c r="Q197" s="596">
        <f ca="1"/>
        <v>0</v>
      </c>
      <c r="R197" s="596">
        <f ca="1"/>
        <v>0</v>
      </c>
      <c r="S197" s="596">
        <f ca="1"/>
        <v>0</v>
      </c>
      <c r="T197" s="596">
        <f ca="1"/>
        <v>0</v>
      </c>
      <c r="U197" s="596">
        <f ca="1"/>
        <v>0</v>
      </c>
      <c r="V197" s="596">
        <f ca="1"/>
        <v>0</v>
      </c>
      <c r="W197" s="596">
        <f ca="1"/>
        <v>0</v>
      </c>
      <c r="X197" s="596">
        <f ca="1"/>
        <v>0</v>
      </c>
      <c r="Y197" s="1984">
        <f ca="1"/>
        <v>0</v>
      </c>
    </row>
    <row r="199" spans="1:25" ht="18.75" thickBot="1">
      <c r="A199" s="1969" t="str">
        <f>'Distr CV 0'!A199</f>
        <v xml:space="preserve">Compras / costes de producción por meses de </v>
      </c>
      <c r="I199" s="1969" t="str">
        <f>I$18</f>
        <v>IVA NO incluido</v>
      </c>
      <c r="K199" s="1981">
        <f>Parametros!$F$29</f>
        <v>0.21</v>
      </c>
    </row>
    <row r="200" spans="1:25" ht="33" customHeight="1" thickBot="1">
      <c r="A200" s="446" t="str">
        <f>A$110</f>
        <v>mes de compra / coste</v>
      </c>
      <c r="B200" s="1987" t="str">
        <f t="array" ref="B200:Y200">B$71:Y$71</f>
        <v>enero 
2027</v>
      </c>
      <c r="C200" s="1987" t="str">
        <v>febrero 
2027</v>
      </c>
      <c r="D200" s="1987" t="str">
        <v>marzo 
2027</v>
      </c>
      <c r="E200" s="1987" t="str">
        <v>abril 
2027</v>
      </c>
      <c r="F200" s="1987" t="str">
        <v>mayo 
2027</v>
      </c>
      <c r="G200" s="1987" t="str">
        <v>junio 
2027</v>
      </c>
      <c r="H200" s="1987" t="str">
        <v>julio 
2027</v>
      </c>
      <c r="I200" s="1987" t="str">
        <v>agosto 
2027</v>
      </c>
      <c r="J200" s="1987" t="str">
        <v>septiembre 
2027</v>
      </c>
      <c r="K200" s="1987" t="str">
        <v>octubre 
2027</v>
      </c>
      <c r="L200" s="1987" t="str">
        <v>noviembre 
2027</v>
      </c>
      <c r="M200" s="1987" t="str">
        <v>diciembre 
2027</v>
      </c>
      <c r="N200" s="2703" t="str">
        <v>enero 
2028</v>
      </c>
      <c r="O200" s="2704" t="str">
        <v>febrero 
2028</v>
      </c>
      <c r="P200" s="2704" t="str">
        <v>marzo 
2028</v>
      </c>
      <c r="Q200" s="2704" t="str">
        <v>abril 
2028</v>
      </c>
      <c r="R200" s="2704" t="str">
        <v>mayo 
2028</v>
      </c>
      <c r="S200" s="2704" t="str">
        <v>junio 
2028</v>
      </c>
      <c r="T200" s="2704" t="str">
        <v>julio 
2028</v>
      </c>
      <c r="U200" s="2704" t="str">
        <v>agosto 
2028</v>
      </c>
      <c r="V200" s="2704" t="str">
        <v>septiembre 
2028</v>
      </c>
      <c r="W200" s="2704" t="str">
        <v>octubre 
2028</v>
      </c>
      <c r="X200" s="2704" t="str">
        <v>noviembre 
2028</v>
      </c>
      <c r="Y200" s="2705" t="str">
        <v>diciembre 
2028</v>
      </c>
    </row>
    <row r="201" spans="1:25">
      <c r="A201" s="1970" t="str">
        <f t="array" ref="A201:A213">A$72:A$84</f>
        <v>mismo mes</v>
      </c>
      <c r="B201" s="1967"/>
      <c r="C201" s="1967"/>
      <c r="D201" s="1967"/>
      <c r="E201" s="1967"/>
      <c r="F201" s="1967"/>
      <c r="G201" s="1967"/>
      <c r="H201" s="1967"/>
      <c r="I201" s="1967"/>
      <c r="J201" s="1967"/>
      <c r="K201" s="1967"/>
      <c r="L201" s="1967"/>
      <c r="M201" s="1967"/>
      <c r="N201" s="592">
        <f t="array" aca="1" ref="N201:Y201" ca="1">B25:M25*Produccion!$N$13</f>
        <v>0</v>
      </c>
      <c r="O201" s="592">
        <f ca="1"/>
        <v>0</v>
      </c>
      <c r="P201" s="592">
        <f ca="1"/>
        <v>0</v>
      </c>
      <c r="Q201" s="592">
        <f ca="1"/>
        <v>0</v>
      </c>
      <c r="R201" s="592">
        <f ca="1"/>
        <v>0</v>
      </c>
      <c r="S201" s="592">
        <f ca="1"/>
        <v>0</v>
      </c>
      <c r="T201" s="592">
        <f ca="1"/>
        <v>0</v>
      </c>
      <c r="U201" s="592">
        <f ca="1"/>
        <v>0</v>
      </c>
      <c r="V201" s="592">
        <f ca="1"/>
        <v>0</v>
      </c>
      <c r="W201" s="592">
        <f ca="1"/>
        <v>0</v>
      </c>
      <c r="X201" s="592">
        <f ca="1"/>
        <v>0</v>
      </c>
      <c r="Y201" s="1982">
        <f ca="1"/>
        <v>0</v>
      </c>
    </row>
    <row r="202" spans="1:25">
      <c r="A202" s="1971" t="str">
        <v>1 mes antes</v>
      </c>
      <c r="B202" s="1967"/>
      <c r="C202" s="1967"/>
      <c r="D202" s="1967"/>
      <c r="E202" s="1967"/>
      <c r="F202" s="1967"/>
      <c r="G202" s="1967"/>
      <c r="H202" s="1967"/>
      <c r="I202" s="1967"/>
      <c r="J202" s="1967"/>
      <c r="K202" s="1967"/>
      <c r="L202" s="1967"/>
      <c r="M202" s="592">
        <f t="array" aca="1" ref="M202:X202" ca="1">B25:M25*Produccion!$M$13</f>
        <v>0</v>
      </c>
      <c r="N202" s="592">
        <f ca="1"/>
        <v>0</v>
      </c>
      <c r="O202" s="592">
        <f ca="1"/>
        <v>0</v>
      </c>
      <c r="P202" s="592">
        <f ca="1"/>
        <v>0</v>
      </c>
      <c r="Q202" s="592">
        <f ca="1"/>
        <v>0</v>
      </c>
      <c r="R202" s="592">
        <f ca="1"/>
        <v>0</v>
      </c>
      <c r="S202" s="592">
        <f ca="1"/>
        <v>0</v>
      </c>
      <c r="T202" s="592">
        <f ca="1"/>
        <v>0</v>
      </c>
      <c r="U202" s="592">
        <f ca="1"/>
        <v>0</v>
      </c>
      <c r="V202" s="592">
        <f ca="1"/>
        <v>0</v>
      </c>
      <c r="W202" s="592">
        <f ca="1"/>
        <v>0</v>
      </c>
      <c r="X202" s="592">
        <f ca="1"/>
        <v>0</v>
      </c>
      <c r="Y202" s="1983">
        <f t="array" aca="1" ref="Y202:Y213" ca="1">'Distr CV 3'!M202:M213</f>
        <v>0</v>
      </c>
    </row>
    <row r="203" spans="1:25">
      <c r="A203" s="1971" t="str">
        <v>2 meses antes</v>
      </c>
      <c r="B203" s="1967"/>
      <c r="C203" s="1967"/>
      <c r="D203" s="1967"/>
      <c r="E203" s="1967"/>
      <c r="F203" s="1967"/>
      <c r="G203" s="1967"/>
      <c r="H203" s="1967"/>
      <c r="I203" s="1967"/>
      <c r="J203" s="1967"/>
      <c r="K203" s="1967"/>
      <c r="L203" s="592">
        <f t="array" aca="1" ref="L203:W203" ca="1">B25:M25*Produccion!$L$13</f>
        <v>0</v>
      </c>
      <c r="M203" s="592">
        <f ca="1"/>
        <v>0</v>
      </c>
      <c r="N203" s="592">
        <f ca="1"/>
        <v>0</v>
      </c>
      <c r="O203" s="592">
        <f ca="1"/>
        <v>0</v>
      </c>
      <c r="P203" s="592">
        <f ca="1"/>
        <v>0</v>
      </c>
      <c r="Q203" s="592">
        <f ca="1"/>
        <v>0</v>
      </c>
      <c r="R203" s="592">
        <f ca="1"/>
        <v>0</v>
      </c>
      <c r="S203" s="592">
        <f ca="1"/>
        <v>0</v>
      </c>
      <c r="T203" s="592">
        <f ca="1"/>
        <v>0</v>
      </c>
      <c r="U203" s="592">
        <f ca="1"/>
        <v>0</v>
      </c>
      <c r="V203" s="592">
        <f ca="1"/>
        <v>0</v>
      </c>
      <c r="W203" s="592">
        <f ca="1"/>
        <v>0</v>
      </c>
      <c r="X203" s="1964">
        <f t="array" aca="1" ref="X203:X213" ca="1">'Distr CV 3'!L203:L213</f>
        <v>0</v>
      </c>
      <c r="Y203" s="1983">
        <f ca="1"/>
        <v>0</v>
      </c>
    </row>
    <row r="204" spans="1:25">
      <c r="A204" s="1971" t="str">
        <v>3 meses antes</v>
      </c>
      <c r="B204" s="1967"/>
      <c r="C204" s="1967"/>
      <c r="D204" s="1967"/>
      <c r="E204" s="1967"/>
      <c r="F204" s="1967"/>
      <c r="G204" s="1967"/>
      <c r="H204" s="1967"/>
      <c r="I204" s="1967"/>
      <c r="J204" s="1967"/>
      <c r="K204" s="592">
        <f t="array" aca="1" ref="K204:V204" ca="1">B25:M25*Produccion!$K$13</f>
        <v>0</v>
      </c>
      <c r="L204" s="592">
        <f ca="1"/>
        <v>0</v>
      </c>
      <c r="M204" s="592">
        <f ca="1"/>
        <v>0</v>
      </c>
      <c r="N204" s="592">
        <f ca="1"/>
        <v>0</v>
      </c>
      <c r="O204" s="592">
        <f ca="1"/>
        <v>0</v>
      </c>
      <c r="P204" s="592">
        <f ca="1"/>
        <v>0</v>
      </c>
      <c r="Q204" s="592">
        <f ca="1"/>
        <v>0</v>
      </c>
      <c r="R204" s="592">
        <f ca="1"/>
        <v>0</v>
      </c>
      <c r="S204" s="592">
        <f ca="1"/>
        <v>0</v>
      </c>
      <c r="T204" s="592">
        <f ca="1"/>
        <v>0</v>
      </c>
      <c r="U204" s="592">
        <f ca="1"/>
        <v>0</v>
      </c>
      <c r="V204" s="592">
        <f ca="1"/>
        <v>0</v>
      </c>
      <c r="W204" s="1964">
        <f t="array" aca="1" ref="W204:W213" ca="1">'Distr CV 3'!K204:K213</f>
        <v>0</v>
      </c>
      <c r="X204" s="1964">
        <f ca="1"/>
        <v>0</v>
      </c>
      <c r="Y204" s="1983">
        <f ca="1"/>
        <v>0</v>
      </c>
    </row>
    <row r="205" spans="1:25">
      <c r="A205" s="1971" t="str">
        <v>4 meses antes</v>
      </c>
      <c r="B205" s="1967"/>
      <c r="C205" s="1967"/>
      <c r="D205" s="1967"/>
      <c r="E205" s="1967"/>
      <c r="F205" s="1967"/>
      <c r="G205" s="1967"/>
      <c r="H205" s="1967"/>
      <c r="I205" s="1967"/>
      <c r="J205" s="592">
        <f t="array" aca="1" ref="J205:U205" ca="1">B25:M25*Produccion!$J$13</f>
        <v>0</v>
      </c>
      <c r="K205" s="592">
        <f ca="1"/>
        <v>0</v>
      </c>
      <c r="L205" s="592">
        <f ca="1"/>
        <v>0</v>
      </c>
      <c r="M205" s="592">
        <f ca="1"/>
        <v>0</v>
      </c>
      <c r="N205" s="592">
        <f ca="1"/>
        <v>0</v>
      </c>
      <c r="O205" s="592">
        <f ca="1"/>
        <v>0</v>
      </c>
      <c r="P205" s="592">
        <f ca="1"/>
        <v>0</v>
      </c>
      <c r="Q205" s="592">
        <f ca="1"/>
        <v>0</v>
      </c>
      <c r="R205" s="592">
        <f ca="1"/>
        <v>0</v>
      </c>
      <c r="S205" s="592">
        <f ca="1"/>
        <v>0</v>
      </c>
      <c r="T205" s="592">
        <f ca="1"/>
        <v>0</v>
      </c>
      <c r="U205" s="592">
        <f ca="1"/>
        <v>0</v>
      </c>
      <c r="V205" s="1964">
        <f t="array" aca="1" ref="V205:V213" ca="1">'Distr CV 3'!J205:J213</f>
        <v>0</v>
      </c>
      <c r="W205" s="1964">
        <f ca="1"/>
        <v>0</v>
      </c>
      <c r="X205" s="1964">
        <f ca="1"/>
        <v>0</v>
      </c>
      <c r="Y205" s="1983">
        <f ca="1"/>
        <v>0</v>
      </c>
    </row>
    <row r="206" spans="1:25">
      <c r="A206" s="1971" t="str">
        <v>5 meses antes</v>
      </c>
      <c r="B206" s="1967"/>
      <c r="C206" s="1967"/>
      <c r="D206" s="1967"/>
      <c r="E206" s="1967"/>
      <c r="F206" s="1967"/>
      <c r="G206" s="1967"/>
      <c r="H206" s="1967"/>
      <c r="I206" s="592">
        <f t="array" aca="1" ref="I206:T206" ca="1">B25:M25*Produccion!$I$13</f>
        <v>0</v>
      </c>
      <c r="J206" s="592">
        <f ca="1"/>
        <v>0</v>
      </c>
      <c r="K206" s="592">
        <f ca="1"/>
        <v>0</v>
      </c>
      <c r="L206" s="592">
        <f ca="1"/>
        <v>0</v>
      </c>
      <c r="M206" s="592">
        <f ca="1"/>
        <v>0</v>
      </c>
      <c r="N206" s="592">
        <f ca="1"/>
        <v>0</v>
      </c>
      <c r="O206" s="592">
        <f ca="1"/>
        <v>0</v>
      </c>
      <c r="P206" s="592">
        <f ca="1"/>
        <v>0</v>
      </c>
      <c r="Q206" s="592">
        <f ca="1"/>
        <v>0</v>
      </c>
      <c r="R206" s="592">
        <f ca="1"/>
        <v>0</v>
      </c>
      <c r="S206" s="592">
        <f ca="1"/>
        <v>0</v>
      </c>
      <c r="T206" s="592">
        <f ca="1"/>
        <v>0</v>
      </c>
      <c r="U206" s="1964">
        <f t="array" aca="1" ref="U206:U213" ca="1">'Distr CV 3'!I206:I213</f>
        <v>0</v>
      </c>
      <c r="V206" s="1964">
        <f ca="1"/>
        <v>0</v>
      </c>
      <c r="W206" s="1964">
        <f ca="1"/>
        <v>0</v>
      </c>
      <c r="X206" s="1964">
        <f ca="1"/>
        <v>0</v>
      </c>
      <c r="Y206" s="1983">
        <f ca="1"/>
        <v>0</v>
      </c>
    </row>
    <row r="207" spans="1:25">
      <c r="A207" s="1971" t="str">
        <v>6 meses antes</v>
      </c>
      <c r="B207" s="1967"/>
      <c r="C207" s="1967"/>
      <c r="D207" s="1967"/>
      <c r="E207" s="1967"/>
      <c r="F207" s="1967"/>
      <c r="G207" s="1967"/>
      <c r="H207" s="592">
        <f t="array" aca="1" ref="H207:S207" ca="1">B25:M25*Produccion!$H$13</f>
        <v>0</v>
      </c>
      <c r="I207" s="592">
        <f ca="1"/>
        <v>0</v>
      </c>
      <c r="J207" s="592">
        <f ca="1"/>
        <v>0</v>
      </c>
      <c r="K207" s="592">
        <f ca="1"/>
        <v>0</v>
      </c>
      <c r="L207" s="592">
        <f ca="1"/>
        <v>0</v>
      </c>
      <c r="M207" s="592">
        <f ca="1"/>
        <v>0</v>
      </c>
      <c r="N207" s="592">
        <f ca="1"/>
        <v>0</v>
      </c>
      <c r="O207" s="592">
        <f ca="1"/>
        <v>0</v>
      </c>
      <c r="P207" s="592">
        <f ca="1"/>
        <v>0</v>
      </c>
      <c r="Q207" s="592">
        <f ca="1"/>
        <v>0</v>
      </c>
      <c r="R207" s="592">
        <f ca="1"/>
        <v>0</v>
      </c>
      <c r="S207" s="592">
        <f ca="1"/>
        <v>0</v>
      </c>
      <c r="T207" s="1964">
        <f t="array" aca="1" ref="T207:T213" ca="1">'Distr CV 3'!H207:H213</f>
        <v>0</v>
      </c>
      <c r="U207" s="1964">
        <f ca="1"/>
        <v>0</v>
      </c>
      <c r="V207" s="1964">
        <f ca="1"/>
        <v>0</v>
      </c>
      <c r="W207" s="1964">
        <f ca="1"/>
        <v>0</v>
      </c>
      <c r="X207" s="1964">
        <f ca="1"/>
        <v>0</v>
      </c>
      <c r="Y207" s="1983">
        <f ca="1"/>
        <v>0</v>
      </c>
    </row>
    <row r="208" spans="1:25">
      <c r="A208" s="1971" t="str">
        <v>7 meses antes</v>
      </c>
      <c r="B208" s="1967"/>
      <c r="C208" s="1967"/>
      <c r="D208" s="1967"/>
      <c r="E208" s="1967"/>
      <c r="F208" s="1967"/>
      <c r="G208" s="592">
        <f t="array" aca="1" ref="G208:R208" ca="1">B25:M25*Produccion!$G$13</f>
        <v>0</v>
      </c>
      <c r="H208" s="592">
        <f ca="1"/>
        <v>0</v>
      </c>
      <c r="I208" s="592">
        <f ca="1"/>
        <v>0</v>
      </c>
      <c r="J208" s="592">
        <f ca="1"/>
        <v>0</v>
      </c>
      <c r="K208" s="592">
        <f ca="1"/>
        <v>0</v>
      </c>
      <c r="L208" s="592">
        <f ca="1"/>
        <v>0</v>
      </c>
      <c r="M208" s="592">
        <f ca="1"/>
        <v>0</v>
      </c>
      <c r="N208" s="592">
        <f ca="1"/>
        <v>0</v>
      </c>
      <c r="O208" s="592">
        <f ca="1"/>
        <v>0</v>
      </c>
      <c r="P208" s="592">
        <f ca="1"/>
        <v>0</v>
      </c>
      <c r="Q208" s="592">
        <f ca="1"/>
        <v>0</v>
      </c>
      <c r="R208" s="592">
        <f ca="1"/>
        <v>0</v>
      </c>
      <c r="S208" s="1968">
        <f t="array" aca="1" ref="S208:S213" ca="1">'Distr CV 3'!G208:G213</f>
        <v>0</v>
      </c>
      <c r="T208" s="1968">
        <f ca="1"/>
        <v>0</v>
      </c>
      <c r="U208" s="1968">
        <f ca="1"/>
        <v>0</v>
      </c>
      <c r="V208" s="1968">
        <f ca="1"/>
        <v>0</v>
      </c>
      <c r="W208" s="1968">
        <f ca="1"/>
        <v>0</v>
      </c>
      <c r="X208" s="1968">
        <f ca="1"/>
        <v>0</v>
      </c>
      <c r="Y208" s="1986">
        <f ca="1"/>
        <v>0</v>
      </c>
    </row>
    <row r="209" spans="1:25">
      <c r="A209" s="1971" t="str">
        <v>8 meses antes</v>
      </c>
      <c r="B209" s="1967"/>
      <c r="C209" s="1967"/>
      <c r="D209" s="1967"/>
      <c r="E209" s="1967"/>
      <c r="F209" s="592">
        <f t="array" aca="1" ref="F209:Q209" ca="1">B25:M25*Produccion!$F$13</f>
        <v>0</v>
      </c>
      <c r="G209" s="592">
        <f ca="1"/>
        <v>0</v>
      </c>
      <c r="H209" s="592">
        <f ca="1"/>
        <v>0</v>
      </c>
      <c r="I209" s="592">
        <f ca="1"/>
        <v>0</v>
      </c>
      <c r="J209" s="592">
        <f ca="1"/>
        <v>0</v>
      </c>
      <c r="K209" s="592">
        <f ca="1"/>
        <v>0</v>
      </c>
      <c r="L209" s="592">
        <f ca="1"/>
        <v>0</v>
      </c>
      <c r="M209" s="592">
        <f ca="1"/>
        <v>0</v>
      </c>
      <c r="N209" s="592">
        <f ca="1"/>
        <v>0</v>
      </c>
      <c r="O209" s="592">
        <f ca="1"/>
        <v>0</v>
      </c>
      <c r="P209" s="592">
        <f ca="1"/>
        <v>0</v>
      </c>
      <c r="Q209" s="592">
        <f ca="1"/>
        <v>0</v>
      </c>
      <c r="R209" s="1968">
        <f t="array" aca="1" ref="R209:R213" ca="1">'Distr CV 3'!F209:F213</f>
        <v>0</v>
      </c>
      <c r="S209" s="1968">
        <f ca="1"/>
        <v>0</v>
      </c>
      <c r="T209" s="1968">
        <f ca="1"/>
        <v>0</v>
      </c>
      <c r="U209" s="1968">
        <f ca="1"/>
        <v>0</v>
      </c>
      <c r="V209" s="1968">
        <f ca="1"/>
        <v>0</v>
      </c>
      <c r="W209" s="1968">
        <f ca="1"/>
        <v>0</v>
      </c>
      <c r="X209" s="1968">
        <f ca="1"/>
        <v>0</v>
      </c>
      <c r="Y209" s="1986">
        <f ca="1"/>
        <v>0</v>
      </c>
    </row>
    <row r="210" spans="1:25">
      <c r="A210" s="1971" t="str">
        <v>9 meses antes</v>
      </c>
      <c r="B210" s="1967"/>
      <c r="C210" s="1967"/>
      <c r="D210" s="1967"/>
      <c r="E210" s="592">
        <f t="array" aca="1" ref="E210:P210" ca="1">B25:M25*Produccion!$E$13</f>
        <v>0</v>
      </c>
      <c r="F210" s="592">
        <f ca="1"/>
        <v>0</v>
      </c>
      <c r="G210" s="592">
        <f ca="1"/>
        <v>0</v>
      </c>
      <c r="H210" s="592">
        <f ca="1"/>
        <v>0</v>
      </c>
      <c r="I210" s="592">
        <f ca="1"/>
        <v>0</v>
      </c>
      <c r="J210" s="592">
        <f ca="1"/>
        <v>0</v>
      </c>
      <c r="K210" s="592">
        <f ca="1"/>
        <v>0</v>
      </c>
      <c r="L210" s="592">
        <f ca="1"/>
        <v>0</v>
      </c>
      <c r="M210" s="592">
        <f ca="1"/>
        <v>0</v>
      </c>
      <c r="N210" s="592">
        <f ca="1"/>
        <v>0</v>
      </c>
      <c r="O210" s="592">
        <f ca="1"/>
        <v>0</v>
      </c>
      <c r="P210" s="592">
        <f ca="1"/>
        <v>0</v>
      </c>
      <c r="Q210" s="1968">
        <f t="array" aca="1" ref="Q210:Q213" ca="1">'Distr CV 3'!E210:E213</f>
        <v>0</v>
      </c>
      <c r="R210" s="1968">
        <f ca="1"/>
        <v>0</v>
      </c>
      <c r="S210" s="1968">
        <f ca="1"/>
        <v>0</v>
      </c>
      <c r="T210" s="1968">
        <f ca="1"/>
        <v>0</v>
      </c>
      <c r="U210" s="1968">
        <f ca="1"/>
        <v>0</v>
      </c>
      <c r="V210" s="1968">
        <f ca="1"/>
        <v>0</v>
      </c>
      <c r="W210" s="1968">
        <f ca="1"/>
        <v>0</v>
      </c>
      <c r="X210" s="1968">
        <f ca="1"/>
        <v>0</v>
      </c>
      <c r="Y210" s="1986">
        <f ca="1"/>
        <v>0</v>
      </c>
    </row>
    <row r="211" spans="1:25">
      <c r="A211" s="1971" t="str">
        <v>10 meses antes</v>
      </c>
      <c r="B211" s="1967"/>
      <c r="C211" s="1967"/>
      <c r="D211" s="592">
        <f t="array" aca="1" ref="D211:O211" ca="1">B25:M25*Produccion!$D$13</f>
        <v>0</v>
      </c>
      <c r="E211" s="592">
        <f ca="1"/>
        <v>0</v>
      </c>
      <c r="F211" s="592">
        <f ca="1"/>
        <v>0</v>
      </c>
      <c r="G211" s="592">
        <f ca="1"/>
        <v>0</v>
      </c>
      <c r="H211" s="592">
        <f ca="1"/>
        <v>0</v>
      </c>
      <c r="I211" s="592">
        <f ca="1"/>
        <v>0</v>
      </c>
      <c r="J211" s="592">
        <f ca="1"/>
        <v>0</v>
      </c>
      <c r="K211" s="592">
        <f ca="1"/>
        <v>0</v>
      </c>
      <c r="L211" s="592">
        <f ca="1"/>
        <v>0</v>
      </c>
      <c r="M211" s="592">
        <f ca="1"/>
        <v>0</v>
      </c>
      <c r="N211" s="592">
        <f ca="1"/>
        <v>0</v>
      </c>
      <c r="O211" s="592">
        <f ca="1"/>
        <v>0</v>
      </c>
      <c r="P211" s="1968">
        <f t="array" aca="1" ref="P211:P213" ca="1">'Distr CV 3'!D211:D213</f>
        <v>0</v>
      </c>
      <c r="Q211" s="1968">
        <f ca="1"/>
        <v>0</v>
      </c>
      <c r="R211" s="1968">
        <f ca="1"/>
        <v>0</v>
      </c>
      <c r="S211" s="1968">
        <f ca="1"/>
        <v>0</v>
      </c>
      <c r="T211" s="1968">
        <f ca="1"/>
        <v>0</v>
      </c>
      <c r="U211" s="1968">
        <f ca="1"/>
        <v>0</v>
      </c>
      <c r="V211" s="1968">
        <f ca="1"/>
        <v>0</v>
      </c>
      <c r="W211" s="1968">
        <f ca="1"/>
        <v>0</v>
      </c>
      <c r="X211" s="1968">
        <f ca="1"/>
        <v>0</v>
      </c>
      <c r="Y211" s="1986">
        <f ca="1"/>
        <v>0</v>
      </c>
    </row>
    <row r="212" spans="1:25">
      <c r="A212" s="1971" t="str">
        <v>11 meses antes</v>
      </c>
      <c r="B212" s="1967"/>
      <c r="C212" s="592">
        <f t="array" aca="1" ref="C212:N212" ca="1">B25:M25*Produccion!$C$13</f>
        <v>0</v>
      </c>
      <c r="D212" s="592">
        <f ca="1"/>
        <v>0</v>
      </c>
      <c r="E212" s="592">
        <f ca="1"/>
        <v>0</v>
      </c>
      <c r="F212" s="592">
        <f ca="1"/>
        <v>0</v>
      </c>
      <c r="G212" s="592">
        <f ca="1"/>
        <v>0</v>
      </c>
      <c r="H212" s="592">
        <f ca="1"/>
        <v>0</v>
      </c>
      <c r="I212" s="592">
        <f ca="1"/>
        <v>0</v>
      </c>
      <c r="J212" s="592">
        <f ca="1"/>
        <v>0</v>
      </c>
      <c r="K212" s="592">
        <f ca="1"/>
        <v>0</v>
      </c>
      <c r="L212" s="592">
        <f ca="1"/>
        <v>0</v>
      </c>
      <c r="M212" s="592">
        <f ca="1"/>
        <v>0</v>
      </c>
      <c r="N212" s="592">
        <f ca="1"/>
        <v>0</v>
      </c>
      <c r="O212" s="1968">
        <f ca="1">'Distr CV 3'!C212</f>
        <v>0</v>
      </c>
      <c r="P212" s="1968">
        <f ca="1"/>
        <v>0</v>
      </c>
      <c r="Q212" s="1968">
        <f ca="1"/>
        <v>0</v>
      </c>
      <c r="R212" s="1968">
        <f ca="1"/>
        <v>0</v>
      </c>
      <c r="S212" s="1968">
        <f ca="1"/>
        <v>0</v>
      </c>
      <c r="T212" s="1968">
        <f ca="1"/>
        <v>0</v>
      </c>
      <c r="U212" s="1968">
        <f ca="1"/>
        <v>0</v>
      </c>
      <c r="V212" s="1968">
        <f ca="1"/>
        <v>0</v>
      </c>
      <c r="W212" s="1968">
        <f ca="1"/>
        <v>0</v>
      </c>
      <c r="X212" s="1968">
        <f ca="1"/>
        <v>0</v>
      </c>
      <c r="Y212" s="1986">
        <f ca="1"/>
        <v>0</v>
      </c>
    </row>
    <row r="213" spans="1:25" ht="13.5" thickBot="1">
      <c r="A213" s="1971" t="str">
        <v>12 meses antes</v>
      </c>
      <c r="B213" s="592">
        <f t="array" aca="1" ref="B213:M213" ca="1">B25:M25*Produccion!$B$13</f>
        <v>0</v>
      </c>
      <c r="C213" s="592">
        <f ca="1"/>
        <v>0</v>
      </c>
      <c r="D213" s="592">
        <f ca="1"/>
        <v>0</v>
      </c>
      <c r="E213" s="592">
        <f ca="1"/>
        <v>0</v>
      </c>
      <c r="F213" s="592">
        <f ca="1"/>
        <v>0</v>
      </c>
      <c r="G213" s="592">
        <f ca="1"/>
        <v>0</v>
      </c>
      <c r="H213" s="592">
        <f ca="1"/>
        <v>0</v>
      </c>
      <c r="I213" s="592">
        <f ca="1"/>
        <v>0</v>
      </c>
      <c r="J213" s="592">
        <f ca="1"/>
        <v>0</v>
      </c>
      <c r="K213" s="592">
        <f ca="1"/>
        <v>0</v>
      </c>
      <c r="L213" s="592">
        <f ca="1"/>
        <v>0</v>
      </c>
      <c r="M213" s="592">
        <f ca="1"/>
        <v>0</v>
      </c>
      <c r="N213" s="1967">
        <f ca="1">'Distr CV 3'!B213</f>
        <v>0</v>
      </c>
      <c r="O213" s="1968">
        <f ca="1">'Distr CV 3'!C213</f>
        <v>0</v>
      </c>
      <c r="P213" s="1968">
        <f ca="1"/>
        <v>0</v>
      </c>
      <c r="Q213" s="1968">
        <f ca="1"/>
        <v>0</v>
      </c>
      <c r="R213" s="1968">
        <f ca="1"/>
        <v>0</v>
      </c>
      <c r="S213" s="1968">
        <f ca="1"/>
        <v>0</v>
      </c>
      <c r="T213" s="1968">
        <f ca="1"/>
        <v>0</v>
      </c>
      <c r="U213" s="1968">
        <f ca="1"/>
        <v>0</v>
      </c>
      <c r="V213" s="1968">
        <f ca="1"/>
        <v>0</v>
      </c>
      <c r="W213" s="1968">
        <f ca="1"/>
        <v>0</v>
      </c>
      <c r="X213" s="1968">
        <f ca="1"/>
        <v>0</v>
      </c>
      <c r="Y213" s="1986">
        <f ca="1"/>
        <v>0</v>
      </c>
    </row>
    <row r="214" spans="1:25" ht="13.5" thickBot="1">
      <c r="A214" s="103" t="str">
        <f>"Totales CV "&amp;A$13</f>
        <v xml:space="preserve">Totales CV </v>
      </c>
      <c r="B214" s="596">
        <f t="shared" ref="B214:Y214" ca="1" si="15">SUM(B201:B213)</f>
        <v>0</v>
      </c>
      <c r="C214" s="596">
        <f t="shared" ca="1" si="15"/>
        <v>0</v>
      </c>
      <c r="D214" s="596">
        <f t="shared" ca="1" si="15"/>
        <v>0</v>
      </c>
      <c r="E214" s="596">
        <f t="shared" ca="1" si="15"/>
        <v>0</v>
      </c>
      <c r="F214" s="596">
        <f t="shared" ca="1" si="15"/>
        <v>0</v>
      </c>
      <c r="G214" s="596">
        <f t="shared" ca="1" si="15"/>
        <v>0</v>
      </c>
      <c r="H214" s="596">
        <f t="shared" ca="1" si="15"/>
        <v>0</v>
      </c>
      <c r="I214" s="596">
        <f t="shared" ca="1" si="15"/>
        <v>0</v>
      </c>
      <c r="J214" s="596">
        <f t="shared" ca="1" si="15"/>
        <v>0</v>
      </c>
      <c r="K214" s="596">
        <f t="shared" ca="1" si="15"/>
        <v>0</v>
      </c>
      <c r="L214" s="596">
        <f t="shared" ca="1" si="15"/>
        <v>0</v>
      </c>
      <c r="M214" s="596">
        <f t="shared" ca="1" si="15"/>
        <v>0</v>
      </c>
      <c r="N214" s="596">
        <f t="shared" ca="1" si="15"/>
        <v>0</v>
      </c>
      <c r="O214" s="596">
        <f t="shared" ca="1" si="15"/>
        <v>0</v>
      </c>
      <c r="P214" s="596">
        <f t="shared" ca="1" si="15"/>
        <v>0</v>
      </c>
      <c r="Q214" s="596">
        <f t="shared" ca="1" si="15"/>
        <v>0</v>
      </c>
      <c r="R214" s="596">
        <f t="shared" ca="1" si="15"/>
        <v>0</v>
      </c>
      <c r="S214" s="596">
        <f t="shared" ca="1" si="15"/>
        <v>0</v>
      </c>
      <c r="T214" s="596">
        <f t="shared" ca="1" si="15"/>
        <v>0</v>
      </c>
      <c r="U214" s="596">
        <f t="shared" ca="1" si="15"/>
        <v>0</v>
      </c>
      <c r="V214" s="596">
        <f t="shared" ca="1" si="15"/>
        <v>0</v>
      </c>
      <c r="W214" s="596">
        <f t="shared" ca="1" si="15"/>
        <v>0</v>
      </c>
      <c r="X214" s="596">
        <f t="shared" ca="1" si="15"/>
        <v>0</v>
      </c>
      <c r="Y214" s="1984">
        <f t="shared" ca="1" si="15"/>
        <v>0</v>
      </c>
    </row>
    <row r="215" spans="1:25" ht="13.5" thickBot="1">
      <c r="A215" s="103" t="str">
        <f>'Datos Básicos'!A28&amp;" sop. CV "&amp;$A$13</f>
        <v xml:space="preserve">IVA sop. CV </v>
      </c>
      <c r="B215" s="596">
        <f t="array" aca="1" ref="B215:Y215" ca="1">$K$199*B214:Y214</f>
        <v>0</v>
      </c>
      <c r="C215" s="596">
        <f ca="1"/>
        <v>0</v>
      </c>
      <c r="D215" s="596">
        <f ca="1"/>
        <v>0</v>
      </c>
      <c r="E215" s="596">
        <f ca="1"/>
        <v>0</v>
      </c>
      <c r="F215" s="596">
        <f ca="1"/>
        <v>0</v>
      </c>
      <c r="G215" s="596">
        <f ca="1"/>
        <v>0</v>
      </c>
      <c r="H215" s="596">
        <f ca="1"/>
        <v>0</v>
      </c>
      <c r="I215" s="596">
        <f ca="1"/>
        <v>0</v>
      </c>
      <c r="J215" s="596">
        <f ca="1"/>
        <v>0</v>
      </c>
      <c r="K215" s="596">
        <f ca="1"/>
        <v>0</v>
      </c>
      <c r="L215" s="596">
        <f ca="1"/>
        <v>0</v>
      </c>
      <c r="M215" s="596">
        <f ca="1"/>
        <v>0</v>
      </c>
      <c r="N215" s="596">
        <f ca="1"/>
        <v>0</v>
      </c>
      <c r="O215" s="596">
        <f ca="1"/>
        <v>0</v>
      </c>
      <c r="P215" s="596">
        <f ca="1"/>
        <v>0</v>
      </c>
      <c r="Q215" s="596">
        <f ca="1"/>
        <v>0</v>
      </c>
      <c r="R215" s="596">
        <f ca="1"/>
        <v>0</v>
      </c>
      <c r="S215" s="596">
        <f ca="1"/>
        <v>0</v>
      </c>
      <c r="T215" s="596">
        <f ca="1"/>
        <v>0</v>
      </c>
      <c r="U215" s="596">
        <f ca="1"/>
        <v>0</v>
      </c>
      <c r="V215" s="596">
        <f ca="1"/>
        <v>0</v>
      </c>
      <c r="W215" s="596">
        <f ca="1"/>
        <v>0</v>
      </c>
      <c r="X215" s="596">
        <f ca="1"/>
        <v>0</v>
      </c>
      <c r="Y215" s="1984">
        <f ca="1"/>
        <v>0</v>
      </c>
    </row>
    <row r="217" spans="1:25" ht="18.75" thickBot="1">
      <c r="A217" s="1969" t="str">
        <f>'Distr CV 0'!A217</f>
        <v xml:space="preserve">Compras / costes de producción por meses de </v>
      </c>
      <c r="I217" s="1969" t="str">
        <f>I$18</f>
        <v>IVA NO incluido</v>
      </c>
      <c r="K217" s="1981">
        <f>Parametros!$F$30</f>
        <v>0.21</v>
      </c>
    </row>
    <row r="218" spans="1:25" ht="33" customHeight="1" thickBot="1">
      <c r="A218" s="446" t="str">
        <f>A$110</f>
        <v>mes de compra / coste</v>
      </c>
      <c r="B218" s="1987" t="str">
        <f t="array" ref="B218:Y218">B$71:Y$71</f>
        <v>enero 
2027</v>
      </c>
      <c r="C218" s="1987" t="str">
        <v>febrero 
2027</v>
      </c>
      <c r="D218" s="1987" t="str">
        <v>marzo 
2027</v>
      </c>
      <c r="E218" s="1987" t="str">
        <v>abril 
2027</v>
      </c>
      <c r="F218" s="1987" t="str">
        <v>mayo 
2027</v>
      </c>
      <c r="G218" s="1987" t="str">
        <v>junio 
2027</v>
      </c>
      <c r="H218" s="1987" t="str">
        <v>julio 
2027</v>
      </c>
      <c r="I218" s="1987" t="str">
        <v>agosto 
2027</v>
      </c>
      <c r="J218" s="1987" t="str">
        <v>septiembre 
2027</v>
      </c>
      <c r="K218" s="1987" t="str">
        <v>octubre 
2027</v>
      </c>
      <c r="L218" s="1987" t="str">
        <v>noviembre 
2027</v>
      </c>
      <c r="M218" s="1987" t="str">
        <v>diciembre 
2027</v>
      </c>
      <c r="N218" s="2703" t="str">
        <v>enero 
2028</v>
      </c>
      <c r="O218" s="2704" t="str">
        <v>febrero 
2028</v>
      </c>
      <c r="P218" s="2704" t="str">
        <v>marzo 
2028</v>
      </c>
      <c r="Q218" s="2704" t="str">
        <v>abril 
2028</v>
      </c>
      <c r="R218" s="2704" t="str">
        <v>mayo 
2028</v>
      </c>
      <c r="S218" s="2704" t="str">
        <v>junio 
2028</v>
      </c>
      <c r="T218" s="2704" t="str">
        <v>julio 
2028</v>
      </c>
      <c r="U218" s="2704" t="str">
        <v>agosto 
2028</v>
      </c>
      <c r="V218" s="2704" t="str">
        <v>septiembre 
2028</v>
      </c>
      <c r="W218" s="2704" t="str">
        <v>octubre 
2028</v>
      </c>
      <c r="X218" s="2704" t="str">
        <v>noviembre 
2028</v>
      </c>
      <c r="Y218" s="2705" t="str">
        <v>diciembre 
2028</v>
      </c>
    </row>
    <row r="219" spans="1:25">
      <c r="A219" s="1970" t="str">
        <f t="array" ref="A219:A231">A$72:A$84</f>
        <v>mismo mes</v>
      </c>
      <c r="B219" s="1967"/>
      <c r="C219" s="1967"/>
      <c r="D219" s="1967"/>
      <c r="E219" s="1967"/>
      <c r="F219" s="1967"/>
      <c r="G219" s="1967"/>
      <c r="H219" s="1967"/>
      <c r="I219" s="1967"/>
      <c r="J219" s="1967"/>
      <c r="K219" s="1967"/>
      <c r="L219" s="1967"/>
      <c r="M219" s="1967"/>
      <c r="N219" s="592">
        <f t="array" aca="1" ref="N219:Y219" ca="1">B26:M26*Produccion!$N$14</f>
        <v>0</v>
      </c>
      <c r="O219" s="592">
        <f ca="1"/>
        <v>0</v>
      </c>
      <c r="P219" s="592">
        <f ca="1"/>
        <v>0</v>
      </c>
      <c r="Q219" s="592">
        <f ca="1"/>
        <v>0</v>
      </c>
      <c r="R219" s="592">
        <f ca="1"/>
        <v>0</v>
      </c>
      <c r="S219" s="592">
        <f ca="1"/>
        <v>0</v>
      </c>
      <c r="T219" s="592">
        <f ca="1"/>
        <v>0</v>
      </c>
      <c r="U219" s="592">
        <f ca="1"/>
        <v>0</v>
      </c>
      <c r="V219" s="592">
        <f ca="1"/>
        <v>0</v>
      </c>
      <c r="W219" s="592">
        <f ca="1"/>
        <v>0</v>
      </c>
      <c r="X219" s="592">
        <f ca="1"/>
        <v>0</v>
      </c>
      <c r="Y219" s="1982">
        <f ca="1"/>
        <v>0</v>
      </c>
    </row>
    <row r="220" spans="1:25">
      <c r="A220" s="1971" t="str">
        <v>1 mes antes</v>
      </c>
      <c r="B220" s="1967"/>
      <c r="C220" s="1967"/>
      <c r="D220" s="1967"/>
      <c r="E220" s="1967"/>
      <c r="F220" s="1967"/>
      <c r="G220" s="1967"/>
      <c r="H220" s="1967"/>
      <c r="I220" s="1967"/>
      <c r="J220" s="1967"/>
      <c r="K220" s="1967"/>
      <c r="L220" s="1967"/>
      <c r="M220" s="592">
        <f t="array" aca="1" ref="M220:X220" ca="1">B26:M26*Produccion!$M$14</f>
        <v>0</v>
      </c>
      <c r="N220" s="592">
        <f ca="1"/>
        <v>0</v>
      </c>
      <c r="O220" s="592">
        <f ca="1"/>
        <v>0</v>
      </c>
      <c r="P220" s="592">
        <f ca="1"/>
        <v>0</v>
      </c>
      <c r="Q220" s="592">
        <f ca="1"/>
        <v>0</v>
      </c>
      <c r="R220" s="592">
        <f ca="1"/>
        <v>0</v>
      </c>
      <c r="S220" s="592">
        <f ca="1"/>
        <v>0</v>
      </c>
      <c r="T220" s="592">
        <f ca="1"/>
        <v>0</v>
      </c>
      <c r="U220" s="592">
        <f ca="1"/>
        <v>0</v>
      </c>
      <c r="V220" s="592">
        <f ca="1"/>
        <v>0</v>
      </c>
      <c r="W220" s="592">
        <f ca="1"/>
        <v>0</v>
      </c>
      <c r="X220" s="592">
        <f ca="1"/>
        <v>0</v>
      </c>
      <c r="Y220" s="1983">
        <f t="array" aca="1" ref="Y220:Y231" ca="1">'Distr CV 3'!M220:M231</f>
        <v>0</v>
      </c>
    </row>
    <row r="221" spans="1:25">
      <c r="A221" s="1971" t="str">
        <v>2 meses antes</v>
      </c>
      <c r="B221" s="1967"/>
      <c r="C221" s="1967"/>
      <c r="D221" s="1967"/>
      <c r="E221" s="1967"/>
      <c r="F221" s="1967"/>
      <c r="G221" s="1967"/>
      <c r="H221" s="1967"/>
      <c r="I221" s="1967"/>
      <c r="J221" s="1967"/>
      <c r="K221" s="1967"/>
      <c r="L221" s="592">
        <f t="array" aca="1" ref="L221:W221" ca="1">B26:M26*Produccion!$L$14</f>
        <v>0</v>
      </c>
      <c r="M221" s="592">
        <f ca="1"/>
        <v>0</v>
      </c>
      <c r="N221" s="592">
        <f ca="1"/>
        <v>0</v>
      </c>
      <c r="O221" s="592">
        <f ca="1"/>
        <v>0</v>
      </c>
      <c r="P221" s="592">
        <f ca="1"/>
        <v>0</v>
      </c>
      <c r="Q221" s="592">
        <f ca="1"/>
        <v>0</v>
      </c>
      <c r="R221" s="592">
        <f ca="1"/>
        <v>0</v>
      </c>
      <c r="S221" s="592">
        <f ca="1"/>
        <v>0</v>
      </c>
      <c r="T221" s="592">
        <f ca="1"/>
        <v>0</v>
      </c>
      <c r="U221" s="592">
        <f ca="1"/>
        <v>0</v>
      </c>
      <c r="V221" s="592">
        <f ca="1"/>
        <v>0</v>
      </c>
      <c r="W221" s="592">
        <f ca="1"/>
        <v>0</v>
      </c>
      <c r="X221" s="1964">
        <f t="array" aca="1" ref="X221:X231" ca="1">'Distr CV 3'!L221:L231</f>
        <v>0</v>
      </c>
      <c r="Y221" s="1983">
        <f ca="1"/>
        <v>0</v>
      </c>
    </row>
    <row r="222" spans="1:25">
      <c r="A222" s="1971" t="str">
        <v>3 meses antes</v>
      </c>
      <c r="B222" s="1967"/>
      <c r="C222" s="1967"/>
      <c r="D222" s="1967"/>
      <c r="E222" s="1967"/>
      <c r="F222" s="1967"/>
      <c r="G222" s="1967"/>
      <c r="H222" s="1967"/>
      <c r="I222" s="1967"/>
      <c r="J222" s="1967"/>
      <c r="K222" s="592">
        <f t="array" aca="1" ref="K222:V222" ca="1">B26:M26*Produccion!$K$14</f>
        <v>0</v>
      </c>
      <c r="L222" s="592">
        <f ca="1"/>
        <v>0</v>
      </c>
      <c r="M222" s="592">
        <f ca="1"/>
        <v>0</v>
      </c>
      <c r="N222" s="592">
        <f ca="1"/>
        <v>0</v>
      </c>
      <c r="O222" s="592">
        <f ca="1"/>
        <v>0</v>
      </c>
      <c r="P222" s="592">
        <f ca="1"/>
        <v>0</v>
      </c>
      <c r="Q222" s="592">
        <f ca="1"/>
        <v>0</v>
      </c>
      <c r="R222" s="592">
        <f ca="1"/>
        <v>0</v>
      </c>
      <c r="S222" s="592">
        <f ca="1"/>
        <v>0</v>
      </c>
      <c r="T222" s="592">
        <f ca="1"/>
        <v>0</v>
      </c>
      <c r="U222" s="592">
        <f ca="1"/>
        <v>0</v>
      </c>
      <c r="V222" s="592">
        <f ca="1"/>
        <v>0</v>
      </c>
      <c r="W222" s="1964">
        <f t="array" aca="1" ref="W222:W231" ca="1">'Distr CV 3'!K222:K231</f>
        <v>0</v>
      </c>
      <c r="X222" s="1964">
        <f ca="1"/>
        <v>0</v>
      </c>
      <c r="Y222" s="1983">
        <f ca="1"/>
        <v>0</v>
      </c>
    </row>
    <row r="223" spans="1:25">
      <c r="A223" s="1971" t="str">
        <v>4 meses antes</v>
      </c>
      <c r="B223" s="1967"/>
      <c r="C223" s="1967"/>
      <c r="D223" s="1967"/>
      <c r="E223" s="1967"/>
      <c r="F223" s="1967"/>
      <c r="G223" s="1967"/>
      <c r="H223" s="1967"/>
      <c r="I223" s="1967"/>
      <c r="J223" s="592">
        <f t="array" aca="1" ref="J223:U223" ca="1">B26:M26*Produccion!$J$14</f>
        <v>0</v>
      </c>
      <c r="K223" s="592">
        <f ca="1"/>
        <v>0</v>
      </c>
      <c r="L223" s="592">
        <f ca="1"/>
        <v>0</v>
      </c>
      <c r="M223" s="592">
        <f ca="1"/>
        <v>0</v>
      </c>
      <c r="N223" s="592">
        <f ca="1"/>
        <v>0</v>
      </c>
      <c r="O223" s="592">
        <f ca="1"/>
        <v>0</v>
      </c>
      <c r="P223" s="592">
        <f ca="1"/>
        <v>0</v>
      </c>
      <c r="Q223" s="592">
        <f ca="1"/>
        <v>0</v>
      </c>
      <c r="R223" s="592">
        <f ca="1"/>
        <v>0</v>
      </c>
      <c r="S223" s="592">
        <f ca="1"/>
        <v>0</v>
      </c>
      <c r="T223" s="592">
        <f ca="1"/>
        <v>0</v>
      </c>
      <c r="U223" s="592">
        <f ca="1"/>
        <v>0</v>
      </c>
      <c r="V223" s="1964">
        <f t="array" aca="1" ref="V223:V231" ca="1">'Distr CV 3'!J223:J231</f>
        <v>0</v>
      </c>
      <c r="W223" s="1964">
        <f ca="1"/>
        <v>0</v>
      </c>
      <c r="X223" s="1964">
        <f ca="1"/>
        <v>0</v>
      </c>
      <c r="Y223" s="1983">
        <f ca="1"/>
        <v>0</v>
      </c>
    </row>
    <row r="224" spans="1:25">
      <c r="A224" s="1971" t="str">
        <v>5 meses antes</v>
      </c>
      <c r="B224" s="1967"/>
      <c r="C224" s="1967"/>
      <c r="D224" s="1967"/>
      <c r="E224" s="1967"/>
      <c r="F224" s="1967"/>
      <c r="G224" s="1967"/>
      <c r="H224" s="1967"/>
      <c r="I224" s="592">
        <f t="array" aca="1" ref="I224:T224" ca="1">B26:M26*Produccion!$I$14</f>
        <v>0</v>
      </c>
      <c r="J224" s="592">
        <f ca="1"/>
        <v>0</v>
      </c>
      <c r="K224" s="592">
        <f ca="1"/>
        <v>0</v>
      </c>
      <c r="L224" s="592">
        <f ca="1"/>
        <v>0</v>
      </c>
      <c r="M224" s="592">
        <f ca="1"/>
        <v>0</v>
      </c>
      <c r="N224" s="592">
        <f ca="1"/>
        <v>0</v>
      </c>
      <c r="O224" s="592">
        <f ca="1"/>
        <v>0</v>
      </c>
      <c r="P224" s="592">
        <f ca="1"/>
        <v>0</v>
      </c>
      <c r="Q224" s="592">
        <f ca="1"/>
        <v>0</v>
      </c>
      <c r="R224" s="592">
        <f ca="1"/>
        <v>0</v>
      </c>
      <c r="S224" s="592">
        <f ca="1"/>
        <v>0</v>
      </c>
      <c r="T224" s="592">
        <f ca="1"/>
        <v>0</v>
      </c>
      <c r="U224" s="1964">
        <f t="array" aca="1" ref="U224:U231" ca="1">'Distr CV 3'!I224:I231</f>
        <v>0</v>
      </c>
      <c r="V224" s="1964">
        <f ca="1"/>
        <v>0</v>
      </c>
      <c r="W224" s="1964">
        <f ca="1"/>
        <v>0</v>
      </c>
      <c r="X224" s="1964">
        <f ca="1"/>
        <v>0</v>
      </c>
      <c r="Y224" s="1983">
        <f ca="1"/>
        <v>0</v>
      </c>
    </row>
    <row r="225" spans="1:25">
      <c r="A225" s="1971" t="str">
        <v>6 meses antes</v>
      </c>
      <c r="B225" s="1967"/>
      <c r="C225" s="1967"/>
      <c r="D225" s="1967"/>
      <c r="E225" s="1967"/>
      <c r="F225" s="1967"/>
      <c r="G225" s="1967"/>
      <c r="H225" s="592">
        <f t="array" aca="1" ref="H225:S225" ca="1">B26:M26*Produccion!$H$14</f>
        <v>0</v>
      </c>
      <c r="I225" s="592">
        <f ca="1"/>
        <v>0</v>
      </c>
      <c r="J225" s="592">
        <f ca="1"/>
        <v>0</v>
      </c>
      <c r="K225" s="592">
        <f ca="1"/>
        <v>0</v>
      </c>
      <c r="L225" s="592">
        <f ca="1"/>
        <v>0</v>
      </c>
      <c r="M225" s="592">
        <f ca="1"/>
        <v>0</v>
      </c>
      <c r="N225" s="592">
        <f ca="1"/>
        <v>0</v>
      </c>
      <c r="O225" s="592">
        <f ca="1"/>
        <v>0</v>
      </c>
      <c r="P225" s="592">
        <f ca="1"/>
        <v>0</v>
      </c>
      <c r="Q225" s="592">
        <f ca="1"/>
        <v>0</v>
      </c>
      <c r="R225" s="592">
        <f ca="1"/>
        <v>0</v>
      </c>
      <c r="S225" s="592">
        <f ca="1"/>
        <v>0</v>
      </c>
      <c r="T225" s="1964">
        <f t="array" aca="1" ref="T225:T231" ca="1">'Distr CV 3'!H225:H231</f>
        <v>0</v>
      </c>
      <c r="U225" s="1964">
        <f ca="1"/>
        <v>0</v>
      </c>
      <c r="V225" s="1964">
        <f ca="1"/>
        <v>0</v>
      </c>
      <c r="W225" s="1964">
        <f ca="1"/>
        <v>0</v>
      </c>
      <c r="X225" s="1964">
        <f ca="1"/>
        <v>0</v>
      </c>
      <c r="Y225" s="1983">
        <f ca="1"/>
        <v>0</v>
      </c>
    </row>
    <row r="226" spans="1:25">
      <c r="A226" s="1971" t="str">
        <v>7 meses antes</v>
      </c>
      <c r="B226" s="1967"/>
      <c r="C226" s="1967"/>
      <c r="D226" s="1967"/>
      <c r="E226" s="1967"/>
      <c r="F226" s="1967"/>
      <c r="G226" s="592">
        <f t="array" aca="1" ref="G226:R226" ca="1">B26:M26*Produccion!$G$14</f>
        <v>0</v>
      </c>
      <c r="H226" s="592">
        <f ca="1"/>
        <v>0</v>
      </c>
      <c r="I226" s="592">
        <f ca="1"/>
        <v>0</v>
      </c>
      <c r="J226" s="592">
        <f ca="1"/>
        <v>0</v>
      </c>
      <c r="K226" s="592">
        <f ca="1"/>
        <v>0</v>
      </c>
      <c r="L226" s="592">
        <f ca="1"/>
        <v>0</v>
      </c>
      <c r="M226" s="592">
        <f ca="1"/>
        <v>0</v>
      </c>
      <c r="N226" s="592">
        <f ca="1"/>
        <v>0</v>
      </c>
      <c r="O226" s="592">
        <f ca="1"/>
        <v>0</v>
      </c>
      <c r="P226" s="592">
        <f ca="1"/>
        <v>0</v>
      </c>
      <c r="Q226" s="592">
        <f ca="1"/>
        <v>0</v>
      </c>
      <c r="R226" s="592">
        <f ca="1"/>
        <v>0</v>
      </c>
      <c r="S226" s="1968">
        <f t="array" aca="1" ref="S226:S231" ca="1">'Distr CV 3'!G226:G231</f>
        <v>0</v>
      </c>
      <c r="T226" s="1968">
        <f ca="1"/>
        <v>0</v>
      </c>
      <c r="U226" s="1968">
        <f ca="1"/>
        <v>0</v>
      </c>
      <c r="V226" s="1968">
        <f ca="1"/>
        <v>0</v>
      </c>
      <c r="W226" s="1968">
        <f ca="1"/>
        <v>0</v>
      </c>
      <c r="X226" s="1968">
        <f ca="1"/>
        <v>0</v>
      </c>
      <c r="Y226" s="1986">
        <f ca="1"/>
        <v>0</v>
      </c>
    </row>
    <row r="227" spans="1:25">
      <c r="A227" s="1971" t="str">
        <v>8 meses antes</v>
      </c>
      <c r="B227" s="1967"/>
      <c r="C227" s="1967"/>
      <c r="D227" s="1967"/>
      <c r="E227" s="1967"/>
      <c r="F227" s="592">
        <f t="array" aca="1" ref="F227:Q227" ca="1">B26:M26*Produccion!$F$14</f>
        <v>0</v>
      </c>
      <c r="G227" s="592">
        <f ca="1"/>
        <v>0</v>
      </c>
      <c r="H227" s="592">
        <f ca="1"/>
        <v>0</v>
      </c>
      <c r="I227" s="592">
        <f ca="1"/>
        <v>0</v>
      </c>
      <c r="J227" s="592">
        <f ca="1"/>
        <v>0</v>
      </c>
      <c r="K227" s="592">
        <f ca="1"/>
        <v>0</v>
      </c>
      <c r="L227" s="592">
        <f ca="1"/>
        <v>0</v>
      </c>
      <c r="M227" s="592">
        <f ca="1"/>
        <v>0</v>
      </c>
      <c r="N227" s="592">
        <f ca="1"/>
        <v>0</v>
      </c>
      <c r="O227" s="592">
        <f ca="1"/>
        <v>0</v>
      </c>
      <c r="P227" s="592">
        <f ca="1"/>
        <v>0</v>
      </c>
      <c r="Q227" s="592">
        <f ca="1"/>
        <v>0</v>
      </c>
      <c r="R227" s="1968">
        <f t="array" aca="1" ref="R227:R231" ca="1">'Distr CV 3'!F227:F231</f>
        <v>0</v>
      </c>
      <c r="S227" s="1968">
        <f ca="1"/>
        <v>0</v>
      </c>
      <c r="T227" s="1968">
        <f ca="1"/>
        <v>0</v>
      </c>
      <c r="U227" s="1968">
        <f ca="1"/>
        <v>0</v>
      </c>
      <c r="V227" s="1968">
        <f ca="1"/>
        <v>0</v>
      </c>
      <c r="W227" s="1968">
        <f ca="1"/>
        <v>0</v>
      </c>
      <c r="X227" s="1968">
        <f ca="1"/>
        <v>0</v>
      </c>
      <c r="Y227" s="1986">
        <f ca="1"/>
        <v>0</v>
      </c>
    </row>
    <row r="228" spans="1:25">
      <c r="A228" s="1971" t="str">
        <v>9 meses antes</v>
      </c>
      <c r="B228" s="1967"/>
      <c r="C228" s="1967"/>
      <c r="D228" s="1967"/>
      <c r="E228" s="592">
        <f t="array" aca="1" ref="E228:P228" ca="1">B26:M26*Produccion!$E$14</f>
        <v>0</v>
      </c>
      <c r="F228" s="592">
        <f ca="1"/>
        <v>0</v>
      </c>
      <c r="G228" s="592">
        <f ca="1"/>
        <v>0</v>
      </c>
      <c r="H228" s="592">
        <f ca="1"/>
        <v>0</v>
      </c>
      <c r="I228" s="592">
        <f ca="1"/>
        <v>0</v>
      </c>
      <c r="J228" s="592">
        <f ca="1"/>
        <v>0</v>
      </c>
      <c r="K228" s="592">
        <f ca="1"/>
        <v>0</v>
      </c>
      <c r="L228" s="592">
        <f ca="1"/>
        <v>0</v>
      </c>
      <c r="M228" s="592">
        <f ca="1"/>
        <v>0</v>
      </c>
      <c r="N228" s="592">
        <f ca="1"/>
        <v>0</v>
      </c>
      <c r="O228" s="592">
        <f ca="1"/>
        <v>0</v>
      </c>
      <c r="P228" s="592">
        <f ca="1"/>
        <v>0</v>
      </c>
      <c r="Q228" s="1968">
        <f t="array" aca="1" ref="Q228:Q231" ca="1">'Distr CV 3'!E228:E231</f>
        <v>0</v>
      </c>
      <c r="R228" s="1968">
        <f ca="1"/>
        <v>0</v>
      </c>
      <c r="S228" s="1968">
        <f ca="1"/>
        <v>0</v>
      </c>
      <c r="T228" s="1968">
        <f ca="1"/>
        <v>0</v>
      </c>
      <c r="U228" s="1968">
        <f ca="1"/>
        <v>0</v>
      </c>
      <c r="V228" s="1968">
        <f ca="1"/>
        <v>0</v>
      </c>
      <c r="W228" s="1968">
        <f ca="1"/>
        <v>0</v>
      </c>
      <c r="X228" s="1968">
        <f ca="1"/>
        <v>0</v>
      </c>
      <c r="Y228" s="1986">
        <f ca="1"/>
        <v>0</v>
      </c>
    </row>
    <row r="229" spans="1:25">
      <c r="A229" s="1971" t="str">
        <v>10 meses antes</v>
      </c>
      <c r="B229" s="1967"/>
      <c r="C229" s="1967"/>
      <c r="D229" s="592">
        <f t="array" aca="1" ref="D229:O229" ca="1">B26:M26*Produccion!$D$14</f>
        <v>0</v>
      </c>
      <c r="E229" s="592">
        <f ca="1"/>
        <v>0</v>
      </c>
      <c r="F229" s="592">
        <f ca="1"/>
        <v>0</v>
      </c>
      <c r="G229" s="592">
        <f ca="1"/>
        <v>0</v>
      </c>
      <c r="H229" s="592">
        <f ca="1"/>
        <v>0</v>
      </c>
      <c r="I229" s="592">
        <f ca="1"/>
        <v>0</v>
      </c>
      <c r="J229" s="592">
        <f ca="1"/>
        <v>0</v>
      </c>
      <c r="K229" s="592">
        <f ca="1"/>
        <v>0</v>
      </c>
      <c r="L229" s="592">
        <f ca="1"/>
        <v>0</v>
      </c>
      <c r="M229" s="592">
        <f ca="1"/>
        <v>0</v>
      </c>
      <c r="N229" s="592">
        <f ca="1"/>
        <v>0</v>
      </c>
      <c r="O229" s="592">
        <f ca="1"/>
        <v>0</v>
      </c>
      <c r="P229" s="1968">
        <f t="array" aca="1" ref="P229:P231" ca="1">'Distr CV 3'!D229:D231</f>
        <v>0</v>
      </c>
      <c r="Q229" s="1968">
        <f ca="1"/>
        <v>0</v>
      </c>
      <c r="R229" s="1968">
        <f ca="1"/>
        <v>0</v>
      </c>
      <c r="S229" s="1968">
        <f ca="1"/>
        <v>0</v>
      </c>
      <c r="T229" s="1968">
        <f ca="1"/>
        <v>0</v>
      </c>
      <c r="U229" s="1968">
        <f ca="1"/>
        <v>0</v>
      </c>
      <c r="V229" s="1968">
        <f ca="1"/>
        <v>0</v>
      </c>
      <c r="W229" s="1968">
        <f ca="1"/>
        <v>0</v>
      </c>
      <c r="X229" s="1968">
        <f ca="1"/>
        <v>0</v>
      </c>
      <c r="Y229" s="1986">
        <f ca="1"/>
        <v>0</v>
      </c>
    </row>
    <row r="230" spans="1:25">
      <c r="A230" s="1971" t="str">
        <v>11 meses antes</v>
      </c>
      <c r="B230" s="1967"/>
      <c r="C230" s="592">
        <f t="array" aca="1" ref="C230:N230" ca="1">B26:M26*Produccion!$C$14</f>
        <v>0</v>
      </c>
      <c r="D230" s="592">
        <f ca="1"/>
        <v>0</v>
      </c>
      <c r="E230" s="592">
        <f ca="1"/>
        <v>0</v>
      </c>
      <c r="F230" s="592">
        <f ca="1"/>
        <v>0</v>
      </c>
      <c r="G230" s="592">
        <f ca="1"/>
        <v>0</v>
      </c>
      <c r="H230" s="592">
        <f ca="1"/>
        <v>0</v>
      </c>
      <c r="I230" s="592">
        <f ca="1"/>
        <v>0</v>
      </c>
      <c r="J230" s="592">
        <f ca="1"/>
        <v>0</v>
      </c>
      <c r="K230" s="592">
        <f ca="1"/>
        <v>0</v>
      </c>
      <c r="L230" s="592">
        <f ca="1"/>
        <v>0</v>
      </c>
      <c r="M230" s="592">
        <f ca="1"/>
        <v>0</v>
      </c>
      <c r="N230" s="592">
        <f ca="1"/>
        <v>0</v>
      </c>
      <c r="O230" s="1968">
        <f ca="1">'Distr CV 3'!C230</f>
        <v>0</v>
      </c>
      <c r="P230" s="1968">
        <f ca="1"/>
        <v>0</v>
      </c>
      <c r="Q230" s="1968">
        <f ca="1"/>
        <v>0</v>
      </c>
      <c r="R230" s="1968">
        <f ca="1"/>
        <v>0</v>
      </c>
      <c r="S230" s="1968">
        <f ca="1"/>
        <v>0</v>
      </c>
      <c r="T230" s="1968">
        <f ca="1"/>
        <v>0</v>
      </c>
      <c r="U230" s="1968">
        <f ca="1"/>
        <v>0</v>
      </c>
      <c r="V230" s="1968">
        <f ca="1"/>
        <v>0</v>
      </c>
      <c r="W230" s="1968">
        <f ca="1"/>
        <v>0</v>
      </c>
      <c r="X230" s="1968">
        <f ca="1"/>
        <v>0</v>
      </c>
      <c r="Y230" s="1986">
        <f ca="1"/>
        <v>0</v>
      </c>
    </row>
    <row r="231" spans="1:25" ht="13.5" thickBot="1">
      <c r="A231" s="1971" t="str">
        <v>12 meses antes</v>
      </c>
      <c r="B231" s="592">
        <f t="array" aca="1" ref="B231:M231" ca="1">B26:M26*Produccion!$B$14</f>
        <v>0</v>
      </c>
      <c r="C231" s="592">
        <f ca="1"/>
        <v>0</v>
      </c>
      <c r="D231" s="592">
        <f ca="1"/>
        <v>0</v>
      </c>
      <c r="E231" s="592">
        <f ca="1"/>
        <v>0</v>
      </c>
      <c r="F231" s="592">
        <f ca="1"/>
        <v>0</v>
      </c>
      <c r="G231" s="592">
        <f ca="1"/>
        <v>0</v>
      </c>
      <c r="H231" s="592">
        <f ca="1"/>
        <v>0</v>
      </c>
      <c r="I231" s="592">
        <f ca="1"/>
        <v>0</v>
      </c>
      <c r="J231" s="592">
        <f ca="1"/>
        <v>0</v>
      </c>
      <c r="K231" s="592">
        <f ca="1"/>
        <v>0</v>
      </c>
      <c r="L231" s="592">
        <f ca="1"/>
        <v>0</v>
      </c>
      <c r="M231" s="592">
        <f ca="1"/>
        <v>0</v>
      </c>
      <c r="N231" s="1967">
        <f ca="1">'Distr CV 3'!B231</f>
        <v>0</v>
      </c>
      <c r="O231" s="1968">
        <f ca="1">'Distr CV 3'!C231</f>
        <v>0</v>
      </c>
      <c r="P231" s="1968">
        <f ca="1"/>
        <v>0</v>
      </c>
      <c r="Q231" s="1968">
        <f ca="1"/>
        <v>0</v>
      </c>
      <c r="R231" s="1968">
        <f ca="1"/>
        <v>0</v>
      </c>
      <c r="S231" s="1968">
        <f ca="1"/>
        <v>0</v>
      </c>
      <c r="T231" s="1968">
        <f ca="1"/>
        <v>0</v>
      </c>
      <c r="U231" s="1968">
        <f ca="1"/>
        <v>0</v>
      </c>
      <c r="V231" s="1968">
        <f ca="1"/>
        <v>0</v>
      </c>
      <c r="W231" s="1968">
        <f ca="1"/>
        <v>0</v>
      </c>
      <c r="X231" s="1968">
        <f ca="1"/>
        <v>0</v>
      </c>
      <c r="Y231" s="1986">
        <f ca="1"/>
        <v>0</v>
      </c>
    </row>
    <row r="232" spans="1:25" ht="13.5" thickBot="1">
      <c r="A232" s="103" t="str">
        <f>"Totales CV "&amp;A$14</f>
        <v xml:space="preserve">Totales CV </v>
      </c>
      <c r="B232" s="596">
        <f t="shared" ref="B232:Y232" ca="1" si="16">SUM(B219:B231)</f>
        <v>0</v>
      </c>
      <c r="C232" s="596">
        <f t="shared" ca="1" si="16"/>
        <v>0</v>
      </c>
      <c r="D232" s="596">
        <f t="shared" ca="1" si="16"/>
        <v>0</v>
      </c>
      <c r="E232" s="596">
        <f t="shared" ca="1" si="16"/>
        <v>0</v>
      </c>
      <c r="F232" s="596">
        <f t="shared" ca="1" si="16"/>
        <v>0</v>
      </c>
      <c r="G232" s="596">
        <f t="shared" ca="1" si="16"/>
        <v>0</v>
      </c>
      <c r="H232" s="596">
        <f t="shared" ca="1" si="16"/>
        <v>0</v>
      </c>
      <c r="I232" s="596">
        <f t="shared" ca="1" si="16"/>
        <v>0</v>
      </c>
      <c r="J232" s="596">
        <f t="shared" ca="1" si="16"/>
        <v>0</v>
      </c>
      <c r="K232" s="596">
        <f t="shared" ca="1" si="16"/>
        <v>0</v>
      </c>
      <c r="L232" s="596">
        <f t="shared" ca="1" si="16"/>
        <v>0</v>
      </c>
      <c r="M232" s="596">
        <f t="shared" ca="1" si="16"/>
        <v>0</v>
      </c>
      <c r="N232" s="596">
        <f t="shared" ca="1" si="16"/>
        <v>0</v>
      </c>
      <c r="O232" s="596">
        <f t="shared" ca="1" si="16"/>
        <v>0</v>
      </c>
      <c r="P232" s="596">
        <f t="shared" ca="1" si="16"/>
        <v>0</v>
      </c>
      <c r="Q232" s="596">
        <f t="shared" ca="1" si="16"/>
        <v>0</v>
      </c>
      <c r="R232" s="596">
        <f t="shared" ca="1" si="16"/>
        <v>0</v>
      </c>
      <c r="S232" s="596">
        <f t="shared" ca="1" si="16"/>
        <v>0</v>
      </c>
      <c r="T232" s="596">
        <f t="shared" ca="1" si="16"/>
        <v>0</v>
      </c>
      <c r="U232" s="596">
        <f t="shared" ca="1" si="16"/>
        <v>0</v>
      </c>
      <c r="V232" s="596">
        <f t="shared" ca="1" si="16"/>
        <v>0</v>
      </c>
      <c r="W232" s="596">
        <f t="shared" ca="1" si="16"/>
        <v>0</v>
      </c>
      <c r="X232" s="596">
        <f t="shared" ca="1" si="16"/>
        <v>0</v>
      </c>
      <c r="Y232" s="1984">
        <f t="shared" ca="1" si="16"/>
        <v>0</v>
      </c>
    </row>
    <row r="233" spans="1:25" ht="13.5" thickBot="1">
      <c r="A233" s="103" t="str">
        <f>'Datos Básicos'!A28&amp;" sop. CV "&amp;$A$14</f>
        <v xml:space="preserve">IVA sop. CV </v>
      </c>
      <c r="B233" s="596">
        <f t="array" aca="1" ref="B233:Y233" ca="1">$K$217*B232:Y232</f>
        <v>0</v>
      </c>
      <c r="C233" s="596">
        <f ca="1"/>
        <v>0</v>
      </c>
      <c r="D233" s="596">
        <f ca="1"/>
        <v>0</v>
      </c>
      <c r="E233" s="596">
        <f ca="1"/>
        <v>0</v>
      </c>
      <c r="F233" s="596">
        <f ca="1"/>
        <v>0</v>
      </c>
      <c r="G233" s="596">
        <f ca="1"/>
        <v>0</v>
      </c>
      <c r="H233" s="596">
        <f ca="1"/>
        <v>0</v>
      </c>
      <c r="I233" s="596">
        <f ca="1"/>
        <v>0</v>
      </c>
      <c r="J233" s="596">
        <f ca="1"/>
        <v>0</v>
      </c>
      <c r="K233" s="596">
        <f ca="1"/>
        <v>0</v>
      </c>
      <c r="L233" s="596">
        <f ca="1"/>
        <v>0</v>
      </c>
      <c r="M233" s="596">
        <f ca="1"/>
        <v>0</v>
      </c>
      <c r="N233" s="596">
        <f ca="1"/>
        <v>0</v>
      </c>
      <c r="O233" s="596">
        <f ca="1"/>
        <v>0</v>
      </c>
      <c r="P233" s="596">
        <f ca="1"/>
        <v>0</v>
      </c>
      <c r="Q233" s="596">
        <f ca="1"/>
        <v>0</v>
      </c>
      <c r="R233" s="596">
        <f ca="1"/>
        <v>0</v>
      </c>
      <c r="S233" s="596">
        <f ca="1"/>
        <v>0</v>
      </c>
      <c r="T233" s="596">
        <f ca="1"/>
        <v>0</v>
      </c>
      <c r="U233" s="596">
        <f ca="1"/>
        <v>0</v>
      </c>
      <c r="V233" s="596">
        <f ca="1"/>
        <v>0</v>
      </c>
      <c r="W233" s="596">
        <f ca="1"/>
        <v>0</v>
      </c>
      <c r="X233" s="596">
        <f ca="1"/>
        <v>0</v>
      </c>
      <c r="Y233" s="1984">
        <f ca="1"/>
        <v>0</v>
      </c>
    </row>
    <row r="235" spans="1:25" ht="18.75" thickBot="1">
      <c r="A235" s="1969" t="str">
        <f>'Distr CV 0'!A235</f>
        <v xml:space="preserve">Compras / costes de producción por meses de </v>
      </c>
      <c r="I235" s="1969" t="str">
        <f>I$18</f>
        <v>IVA NO incluido</v>
      </c>
      <c r="K235" s="1981">
        <f>Parametros!$F$31</f>
        <v>0.21</v>
      </c>
    </row>
    <row r="236" spans="1:25" ht="30" customHeight="1" thickBot="1">
      <c r="A236" s="446" t="str">
        <f>A$110</f>
        <v>mes de compra / coste</v>
      </c>
      <c r="B236" s="1987" t="str">
        <f t="array" ref="B236:Y236">B$71:Y$71</f>
        <v>enero 
2027</v>
      </c>
      <c r="C236" s="1987" t="str">
        <v>febrero 
2027</v>
      </c>
      <c r="D236" s="1987" t="str">
        <v>marzo 
2027</v>
      </c>
      <c r="E236" s="1987" t="str">
        <v>abril 
2027</v>
      </c>
      <c r="F236" s="1987" t="str">
        <v>mayo 
2027</v>
      </c>
      <c r="G236" s="1987" t="str">
        <v>junio 
2027</v>
      </c>
      <c r="H236" s="1987" t="str">
        <v>julio 
2027</v>
      </c>
      <c r="I236" s="1987" t="str">
        <v>agosto 
2027</v>
      </c>
      <c r="J236" s="1987" t="str">
        <v>septiembre 
2027</v>
      </c>
      <c r="K236" s="1987" t="str">
        <v>octubre 
2027</v>
      </c>
      <c r="L236" s="1987" t="str">
        <v>noviembre 
2027</v>
      </c>
      <c r="M236" s="1987" t="str">
        <v>diciembre 
2027</v>
      </c>
      <c r="N236" s="2703" t="str">
        <v>enero 
2028</v>
      </c>
      <c r="O236" s="2704" t="str">
        <v>febrero 
2028</v>
      </c>
      <c r="P236" s="2704" t="str">
        <v>marzo 
2028</v>
      </c>
      <c r="Q236" s="2704" t="str">
        <v>abril 
2028</v>
      </c>
      <c r="R236" s="2704" t="str">
        <v>mayo 
2028</v>
      </c>
      <c r="S236" s="2704" t="str">
        <v>junio 
2028</v>
      </c>
      <c r="T236" s="2704" t="str">
        <v>julio 
2028</v>
      </c>
      <c r="U236" s="2704" t="str">
        <v>agosto 
2028</v>
      </c>
      <c r="V236" s="2704" t="str">
        <v>septiembre 
2028</v>
      </c>
      <c r="W236" s="2704" t="str">
        <v>octubre 
2028</v>
      </c>
      <c r="X236" s="2704" t="str">
        <v>noviembre 
2028</v>
      </c>
      <c r="Y236" s="2705" t="str">
        <v>diciembre 
2028</v>
      </c>
    </row>
    <row r="237" spans="1:25">
      <c r="A237" s="1970" t="str">
        <f t="array" ref="A237:A249">A$72:A$84</f>
        <v>mismo mes</v>
      </c>
      <c r="B237" s="1967"/>
      <c r="C237" s="1967"/>
      <c r="D237" s="1967"/>
      <c r="E237" s="1967"/>
      <c r="F237" s="1967"/>
      <c r="G237" s="1967"/>
      <c r="H237" s="1967"/>
      <c r="I237" s="1967"/>
      <c r="J237" s="1967"/>
      <c r="K237" s="1967"/>
      <c r="L237" s="1967"/>
      <c r="M237" s="1967"/>
      <c r="N237" s="592">
        <f t="array" aca="1" ref="N237:Y237" ca="1">B27:M27*Produccion!$N$15</f>
        <v>0</v>
      </c>
      <c r="O237" s="592">
        <f ca="1"/>
        <v>0</v>
      </c>
      <c r="P237" s="592">
        <f ca="1"/>
        <v>0</v>
      </c>
      <c r="Q237" s="592">
        <f ca="1"/>
        <v>0</v>
      </c>
      <c r="R237" s="592">
        <f ca="1"/>
        <v>0</v>
      </c>
      <c r="S237" s="592">
        <f ca="1"/>
        <v>0</v>
      </c>
      <c r="T237" s="592">
        <f ca="1"/>
        <v>0</v>
      </c>
      <c r="U237" s="592">
        <f ca="1"/>
        <v>0</v>
      </c>
      <c r="V237" s="592">
        <f ca="1"/>
        <v>0</v>
      </c>
      <c r="W237" s="592">
        <f ca="1"/>
        <v>0</v>
      </c>
      <c r="X237" s="592">
        <f ca="1"/>
        <v>0</v>
      </c>
      <c r="Y237" s="1982">
        <f ca="1"/>
        <v>0</v>
      </c>
    </row>
    <row r="238" spans="1:25">
      <c r="A238" s="1971" t="str">
        <v>1 mes antes</v>
      </c>
      <c r="B238" s="1967"/>
      <c r="C238" s="1967"/>
      <c r="D238" s="1967"/>
      <c r="E238" s="1967"/>
      <c r="F238" s="1967"/>
      <c r="G238" s="1967"/>
      <c r="H238" s="1967"/>
      <c r="I238" s="1967"/>
      <c r="J238" s="1967"/>
      <c r="K238" s="1967"/>
      <c r="L238" s="1967"/>
      <c r="M238" s="592">
        <f t="array" aca="1" ref="M238:X238" ca="1">B27:M27*Produccion!$M$15</f>
        <v>0</v>
      </c>
      <c r="N238" s="592">
        <f ca="1"/>
        <v>0</v>
      </c>
      <c r="O238" s="592">
        <f ca="1"/>
        <v>0</v>
      </c>
      <c r="P238" s="592">
        <f ca="1"/>
        <v>0</v>
      </c>
      <c r="Q238" s="592">
        <f ca="1"/>
        <v>0</v>
      </c>
      <c r="R238" s="592">
        <f ca="1"/>
        <v>0</v>
      </c>
      <c r="S238" s="592">
        <f ca="1"/>
        <v>0</v>
      </c>
      <c r="T238" s="592">
        <f ca="1"/>
        <v>0</v>
      </c>
      <c r="U238" s="592">
        <f ca="1"/>
        <v>0</v>
      </c>
      <c r="V238" s="592">
        <f ca="1"/>
        <v>0</v>
      </c>
      <c r="W238" s="592">
        <f ca="1"/>
        <v>0</v>
      </c>
      <c r="X238" s="592">
        <f ca="1"/>
        <v>0</v>
      </c>
      <c r="Y238" s="1983">
        <f t="array" aca="1" ref="Y238:Y249" ca="1">'Distr CV 3'!M238:M249</f>
        <v>0</v>
      </c>
    </row>
    <row r="239" spans="1:25">
      <c r="A239" s="1971" t="str">
        <v>2 meses antes</v>
      </c>
      <c r="B239" s="1967"/>
      <c r="C239" s="1967"/>
      <c r="D239" s="1967"/>
      <c r="E239" s="1967"/>
      <c r="F239" s="1967"/>
      <c r="G239" s="1967"/>
      <c r="H239" s="1967"/>
      <c r="I239" s="1967"/>
      <c r="J239" s="1967"/>
      <c r="K239" s="1967"/>
      <c r="L239" s="592">
        <f t="array" aca="1" ref="L239:W239" ca="1">B27:M27*Produccion!$L$15</f>
        <v>0</v>
      </c>
      <c r="M239" s="592">
        <f ca="1"/>
        <v>0</v>
      </c>
      <c r="N239" s="592">
        <f ca="1"/>
        <v>0</v>
      </c>
      <c r="O239" s="592">
        <f ca="1"/>
        <v>0</v>
      </c>
      <c r="P239" s="592">
        <f ca="1"/>
        <v>0</v>
      </c>
      <c r="Q239" s="592">
        <f ca="1"/>
        <v>0</v>
      </c>
      <c r="R239" s="592">
        <f ca="1"/>
        <v>0</v>
      </c>
      <c r="S239" s="592">
        <f ca="1"/>
        <v>0</v>
      </c>
      <c r="T239" s="592">
        <f ca="1"/>
        <v>0</v>
      </c>
      <c r="U239" s="592">
        <f ca="1"/>
        <v>0</v>
      </c>
      <c r="V239" s="592">
        <f ca="1"/>
        <v>0</v>
      </c>
      <c r="W239" s="592">
        <f ca="1"/>
        <v>0</v>
      </c>
      <c r="X239" s="1964">
        <f t="array" aca="1" ref="X239:X249" ca="1">'Distr CV 3'!L239:L249</f>
        <v>0</v>
      </c>
      <c r="Y239" s="1983">
        <f ca="1"/>
        <v>0</v>
      </c>
    </row>
    <row r="240" spans="1:25">
      <c r="A240" s="1971" t="str">
        <v>3 meses antes</v>
      </c>
      <c r="B240" s="1967"/>
      <c r="C240" s="1967"/>
      <c r="D240" s="1967"/>
      <c r="E240" s="1967"/>
      <c r="F240" s="1967"/>
      <c r="G240" s="1967"/>
      <c r="H240" s="1967"/>
      <c r="I240" s="1967"/>
      <c r="J240" s="1967"/>
      <c r="K240" s="592">
        <f t="array" aca="1" ref="K240:V240" ca="1">B27:M27*Produccion!$K$15</f>
        <v>0</v>
      </c>
      <c r="L240" s="592">
        <f ca="1"/>
        <v>0</v>
      </c>
      <c r="M240" s="592">
        <f ca="1"/>
        <v>0</v>
      </c>
      <c r="N240" s="592">
        <f ca="1"/>
        <v>0</v>
      </c>
      <c r="O240" s="592">
        <f ca="1"/>
        <v>0</v>
      </c>
      <c r="P240" s="592">
        <f ca="1"/>
        <v>0</v>
      </c>
      <c r="Q240" s="592">
        <f ca="1"/>
        <v>0</v>
      </c>
      <c r="R240" s="592">
        <f ca="1"/>
        <v>0</v>
      </c>
      <c r="S240" s="592">
        <f ca="1"/>
        <v>0</v>
      </c>
      <c r="T240" s="592">
        <f ca="1"/>
        <v>0</v>
      </c>
      <c r="U240" s="592">
        <f ca="1"/>
        <v>0</v>
      </c>
      <c r="V240" s="592">
        <f ca="1"/>
        <v>0</v>
      </c>
      <c r="W240" s="1964">
        <f t="array" aca="1" ref="W240:W249" ca="1">'Distr CV 3'!K240:K249</f>
        <v>0</v>
      </c>
      <c r="X240" s="1964">
        <f ca="1"/>
        <v>0</v>
      </c>
      <c r="Y240" s="1983">
        <f ca="1"/>
        <v>0</v>
      </c>
    </row>
    <row r="241" spans="1:25">
      <c r="A241" s="1971" t="str">
        <v>4 meses antes</v>
      </c>
      <c r="B241" s="1967"/>
      <c r="C241" s="1967"/>
      <c r="D241" s="1967"/>
      <c r="E241" s="1967"/>
      <c r="F241" s="1967"/>
      <c r="G241" s="1967"/>
      <c r="H241" s="1967"/>
      <c r="I241" s="1967"/>
      <c r="J241" s="592">
        <f t="array" aca="1" ref="J241:U241" ca="1">B27:M27*Produccion!$J$15</f>
        <v>0</v>
      </c>
      <c r="K241" s="592">
        <f ca="1"/>
        <v>0</v>
      </c>
      <c r="L241" s="592">
        <f ca="1"/>
        <v>0</v>
      </c>
      <c r="M241" s="592">
        <f ca="1"/>
        <v>0</v>
      </c>
      <c r="N241" s="592">
        <f ca="1"/>
        <v>0</v>
      </c>
      <c r="O241" s="592">
        <f ca="1"/>
        <v>0</v>
      </c>
      <c r="P241" s="592">
        <f ca="1"/>
        <v>0</v>
      </c>
      <c r="Q241" s="592">
        <f ca="1"/>
        <v>0</v>
      </c>
      <c r="R241" s="592">
        <f ca="1"/>
        <v>0</v>
      </c>
      <c r="S241" s="592">
        <f ca="1"/>
        <v>0</v>
      </c>
      <c r="T241" s="592">
        <f ca="1"/>
        <v>0</v>
      </c>
      <c r="U241" s="592">
        <f ca="1"/>
        <v>0</v>
      </c>
      <c r="V241" s="1964">
        <f t="array" aca="1" ref="V241:V249" ca="1">'Distr CV 3'!J241:J249</f>
        <v>0</v>
      </c>
      <c r="W241" s="1964">
        <f ca="1"/>
        <v>0</v>
      </c>
      <c r="X241" s="1964">
        <f ca="1"/>
        <v>0</v>
      </c>
      <c r="Y241" s="1983">
        <f ca="1"/>
        <v>0</v>
      </c>
    </row>
    <row r="242" spans="1:25">
      <c r="A242" s="1971" t="str">
        <v>5 meses antes</v>
      </c>
      <c r="B242" s="1967"/>
      <c r="C242" s="1967"/>
      <c r="D242" s="1967"/>
      <c r="E242" s="1967"/>
      <c r="F242" s="1967"/>
      <c r="G242" s="1967"/>
      <c r="H242" s="1967"/>
      <c r="I242" s="592">
        <f t="array" aca="1" ref="I242:T242" ca="1">B27:M27*Produccion!$I$15</f>
        <v>0</v>
      </c>
      <c r="J242" s="592">
        <f ca="1"/>
        <v>0</v>
      </c>
      <c r="K242" s="592">
        <f ca="1"/>
        <v>0</v>
      </c>
      <c r="L242" s="592">
        <f ca="1"/>
        <v>0</v>
      </c>
      <c r="M242" s="592">
        <f ca="1"/>
        <v>0</v>
      </c>
      <c r="N242" s="592">
        <f ca="1"/>
        <v>0</v>
      </c>
      <c r="O242" s="592">
        <f ca="1"/>
        <v>0</v>
      </c>
      <c r="P242" s="592">
        <f ca="1"/>
        <v>0</v>
      </c>
      <c r="Q242" s="592">
        <f ca="1"/>
        <v>0</v>
      </c>
      <c r="R242" s="592">
        <f ca="1"/>
        <v>0</v>
      </c>
      <c r="S242" s="592">
        <f ca="1"/>
        <v>0</v>
      </c>
      <c r="T242" s="592">
        <f ca="1"/>
        <v>0</v>
      </c>
      <c r="U242" s="1964">
        <f t="array" aca="1" ref="U242:U249" ca="1">'Distr CV 3'!I242:I249</f>
        <v>0</v>
      </c>
      <c r="V242" s="1964">
        <f ca="1"/>
        <v>0</v>
      </c>
      <c r="W242" s="1964">
        <f ca="1"/>
        <v>0</v>
      </c>
      <c r="X242" s="1964">
        <f ca="1"/>
        <v>0</v>
      </c>
      <c r="Y242" s="1983">
        <f ca="1"/>
        <v>0</v>
      </c>
    </row>
    <row r="243" spans="1:25">
      <c r="A243" s="1971" t="str">
        <v>6 meses antes</v>
      </c>
      <c r="B243" s="1967"/>
      <c r="C243" s="1967"/>
      <c r="D243" s="1967"/>
      <c r="E243" s="1967"/>
      <c r="F243" s="1967"/>
      <c r="G243" s="1967"/>
      <c r="H243" s="592">
        <f t="array" aca="1" ref="H243:S243" ca="1">B27:M27*Produccion!$H$15</f>
        <v>0</v>
      </c>
      <c r="I243" s="592">
        <f ca="1"/>
        <v>0</v>
      </c>
      <c r="J243" s="592">
        <f ca="1"/>
        <v>0</v>
      </c>
      <c r="K243" s="592">
        <f ca="1"/>
        <v>0</v>
      </c>
      <c r="L243" s="592">
        <f ca="1"/>
        <v>0</v>
      </c>
      <c r="M243" s="592">
        <f ca="1"/>
        <v>0</v>
      </c>
      <c r="N243" s="592">
        <f ca="1"/>
        <v>0</v>
      </c>
      <c r="O243" s="592">
        <f ca="1"/>
        <v>0</v>
      </c>
      <c r="P243" s="592">
        <f ca="1"/>
        <v>0</v>
      </c>
      <c r="Q243" s="592">
        <f ca="1"/>
        <v>0</v>
      </c>
      <c r="R243" s="592">
        <f ca="1"/>
        <v>0</v>
      </c>
      <c r="S243" s="592">
        <f ca="1"/>
        <v>0</v>
      </c>
      <c r="T243" s="1964">
        <f t="array" aca="1" ref="T243:T249" ca="1">'Distr CV 3'!H243:H249</f>
        <v>0</v>
      </c>
      <c r="U243" s="1964">
        <f ca="1"/>
        <v>0</v>
      </c>
      <c r="V243" s="1964">
        <f ca="1"/>
        <v>0</v>
      </c>
      <c r="W243" s="1964">
        <f ca="1"/>
        <v>0</v>
      </c>
      <c r="X243" s="1964">
        <f ca="1"/>
        <v>0</v>
      </c>
      <c r="Y243" s="1983">
        <f ca="1"/>
        <v>0</v>
      </c>
    </row>
    <row r="244" spans="1:25">
      <c r="A244" s="1971" t="str">
        <v>7 meses antes</v>
      </c>
      <c r="B244" s="1967"/>
      <c r="C244" s="1967"/>
      <c r="D244" s="1967"/>
      <c r="E244" s="1967"/>
      <c r="F244" s="1967"/>
      <c r="G244" s="592">
        <f t="array" aca="1" ref="G244:R244" ca="1">B27:M27*Produccion!$G$15</f>
        <v>0</v>
      </c>
      <c r="H244" s="592">
        <f ca="1"/>
        <v>0</v>
      </c>
      <c r="I244" s="592">
        <f ca="1"/>
        <v>0</v>
      </c>
      <c r="J244" s="592">
        <f ca="1"/>
        <v>0</v>
      </c>
      <c r="K244" s="592">
        <f ca="1"/>
        <v>0</v>
      </c>
      <c r="L244" s="592">
        <f ca="1"/>
        <v>0</v>
      </c>
      <c r="M244" s="592">
        <f ca="1"/>
        <v>0</v>
      </c>
      <c r="N244" s="592">
        <f ca="1"/>
        <v>0</v>
      </c>
      <c r="O244" s="592">
        <f ca="1"/>
        <v>0</v>
      </c>
      <c r="P244" s="592">
        <f ca="1"/>
        <v>0</v>
      </c>
      <c r="Q244" s="592">
        <f ca="1"/>
        <v>0</v>
      </c>
      <c r="R244" s="592">
        <f ca="1"/>
        <v>0</v>
      </c>
      <c r="S244" s="1968">
        <f t="array" aca="1" ref="S244:S249" ca="1">'Distr CV 3'!G244:G249</f>
        <v>0</v>
      </c>
      <c r="T244" s="1968">
        <f ca="1"/>
        <v>0</v>
      </c>
      <c r="U244" s="1968">
        <f ca="1"/>
        <v>0</v>
      </c>
      <c r="V244" s="1968">
        <f ca="1"/>
        <v>0</v>
      </c>
      <c r="W244" s="1968">
        <f ca="1"/>
        <v>0</v>
      </c>
      <c r="X244" s="1968">
        <f ca="1"/>
        <v>0</v>
      </c>
      <c r="Y244" s="1986">
        <f ca="1"/>
        <v>0</v>
      </c>
    </row>
    <row r="245" spans="1:25">
      <c r="A245" s="1971" t="str">
        <v>8 meses antes</v>
      </c>
      <c r="B245" s="1967"/>
      <c r="C245" s="1967"/>
      <c r="D245" s="1967"/>
      <c r="E245" s="1967"/>
      <c r="F245" s="592">
        <f t="array" aca="1" ref="F245:Q245" ca="1">B27:M27*Produccion!$F$15</f>
        <v>0</v>
      </c>
      <c r="G245" s="592">
        <f ca="1"/>
        <v>0</v>
      </c>
      <c r="H245" s="592">
        <f ca="1"/>
        <v>0</v>
      </c>
      <c r="I245" s="592">
        <f ca="1"/>
        <v>0</v>
      </c>
      <c r="J245" s="592">
        <f ca="1"/>
        <v>0</v>
      </c>
      <c r="K245" s="592">
        <f ca="1"/>
        <v>0</v>
      </c>
      <c r="L245" s="592">
        <f ca="1"/>
        <v>0</v>
      </c>
      <c r="M245" s="592">
        <f ca="1"/>
        <v>0</v>
      </c>
      <c r="N245" s="592">
        <f ca="1"/>
        <v>0</v>
      </c>
      <c r="O245" s="592">
        <f ca="1"/>
        <v>0</v>
      </c>
      <c r="P245" s="592">
        <f ca="1"/>
        <v>0</v>
      </c>
      <c r="Q245" s="592">
        <f ca="1"/>
        <v>0</v>
      </c>
      <c r="R245" s="1968">
        <f t="array" aca="1" ref="R245:R249" ca="1">'Distr CV 3'!F245:F249</f>
        <v>0</v>
      </c>
      <c r="S245" s="1968">
        <f ca="1"/>
        <v>0</v>
      </c>
      <c r="T245" s="1968">
        <f ca="1"/>
        <v>0</v>
      </c>
      <c r="U245" s="1968">
        <f ca="1"/>
        <v>0</v>
      </c>
      <c r="V245" s="1968">
        <f ca="1"/>
        <v>0</v>
      </c>
      <c r="W245" s="1968">
        <f ca="1"/>
        <v>0</v>
      </c>
      <c r="X245" s="1968">
        <f ca="1"/>
        <v>0</v>
      </c>
      <c r="Y245" s="1986">
        <f ca="1"/>
        <v>0</v>
      </c>
    </row>
    <row r="246" spans="1:25">
      <c r="A246" s="1971" t="str">
        <v>9 meses antes</v>
      </c>
      <c r="B246" s="1967"/>
      <c r="C246" s="1967"/>
      <c r="D246" s="1967"/>
      <c r="E246" s="592">
        <f t="array" aca="1" ref="E246:P246" ca="1">B27:M27*Produccion!$E$15</f>
        <v>0</v>
      </c>
      <c r="F246" s="592">
        <f ca="1"/>
        <v>0</v>
      </c>
      <c r="G246" s="592">
        <f ca="1"/>
        <v>0</v>
      </c>
      <c r="H246" s="592">
        <f ca="1"/>
        <v>0</v>
      </c>
      <c r="I246" s="592">
        <f ca="1"/>
        <v>0</v>
      </c>
      <c r="J246" s="592">
        <f ca="1"/>
        <v>0</v>
      </c>
      <c r="K246" s="592">
        <f ca="1"/>
        <v>0</v>
      </c>
      <c r="L246" s="592">
        <f ca="1"/>
        <v>0</v>
      </c>
      <c r="M246" s="592">
        <f ca="1"/>
        <v>0</v>
      </c>
      <c r="N246" s="592">
        <f ca="1"/>
        <v>0</v>
      </c>
      <c r="O246" s="592">
        <f ca="1"/>
        <v>0</v>
      </c>
      <c r="P246" s="592">
        <f ca="1"/>
        <v>0</v>
      </c>
      <c r="Q246" s="1968">
        <f t="array" aca="1" ref="Q246:Q249" ca="1">'Distr CV 3'!E246:E249</f>
        <v>0</v>
      </c>
      <c r="R246" s="1968">
        <f ca="1"/>
        <v>0</v>
      </c>
      <c r="S246" s="1968">
        <f ca="1"/>
        <v>0</v>
      </c>
      <c r="T246" s="1968">
        <f ca="1"/>
        <v>0</v>
      </c>
      <c r="U246" s="1968">
        <f ca="1"/>
        <v>0</v>
      </c>
      <c r="V246" s="1968">
        <f ca="1"/>
        <v>0</v>
      </c>
      <c r="W246" s="1968">
        <f ca="1"/>
        <v>0</v>
      </c>
      <c r="X246" s="1968">
        <f ca="1"/>
        <v>0</v>
      </c>
      <c r="Y246" s="1986">
        <f ca="1"/>
        <v>0</v>
      </c>
    </row>
    <row r="247" spans="1:25">
      <c r="A247" s="1971" t="str">
        <v>10 meses antes</v>
      </c>
      <c r="B247" s="1967"/>
      <c r="C247" s="1967"/>
      <c r="D247" s="592">
        <f t="array" aca="1" ref="D247:O247" ca="1">B27:M27*Produccion!$D$15</f>
        <v>0</v>
      </c>
      <c r="E247" s="592">
        <f ca="1"/>
        <v>0</v>
      </c>
      <c r="F247" s="592">
        <f ca="1"/>
        <v>0</v>
      </c>
      <c r="G247" s="592">
        <f ca="1"/>
        <v>0</v>
      </c>
      <c r="H247" s="592">
        <f ca="1"/>
        <v>0</v>
      </c>
      <c r="I247" s="592">
        <f ca="1"/>
        <v>0</v>
      </c>
      <c r="J247" s="592">
        <f ca="1"/>
        <v>0</v>
      </c>
      <c r="K247" s="592">
        <f ca="1"/>
        <v>0</v>
      </c>
      <c r="L247" s="592">
        <f ca="1"/>
        <v>0</v>
      </c>
      <c r="M247" s="592">
        <f ca="1"/>
        <v>0</v>
      </c>
      <c r="N247" s="592">
        <f ca="1"/>
        <v>0</v>
      </c>
      <c r="O247" s="592">
        <f ca="1"/>
        <v>0</v>
      </c>
      <c r="P247" s="1968">
        <f t="array" aca="1" ref="P247:P249" ca="1">'Distr CV 3'!D247:D249</f>
        <v>0</v>
      </c>
      <c r="Q247" s="1968">
        <f ca="1"/>
        <v>0</v>
      </c>
      <c r="R247" s="1968">
        <f ca="1"/>
        <v>0</v>
      </c>
      <c r="S247" s="1968">
        <f ca="1"/>
        <v>0</v>
      </c>
      <c r="T247" s="1968">
        <f ca="1"/>
        <v>0</v>
      </c>
      <c r="U247" s="1968">
        <f ca="1"/>
        <v>0</v>
      </c>
      <c r="V247" s="1968">
        <f ca="1"/>
        <v>0</v>
      </c>
      <c r="W247" s="1968">
        <f ca="1"/>
        <v>0</v>
      </c>
      <c r="X247" s="1968">
        <f ca="1"/>
        <v>0</v>
      </c>
      <c r="Y247" s="1986">
        <f ca="1"/>
        <v>0</v>
      </c>
    </row>
    <row r="248" spans="1:25">
      <c r="A248" s="1971" t="str">
        <v>11 meses antes</v>
      </c>
      <c r="B248" s="1967"/>
      <c r="C248" s="592">
        <f t="array" aca="1" ref="C248:N248" ca="1">B27:M27*Produccion!$C$15</f>
        <v>0</v>
      </c>
      <c r="D248" s="592">
        <f ca="1"/>
        <v>0</v>
      </c>
      <c r="E248" s="592">
        <f ca="1"/>
        <v>0</v>
      </c>
      <c r="F248" s="592">
        <f ca="1"/>
        <v>0</v>
      </c>
      <c r="G248" s="592">
        <f ca="1"/>
        <v>0</v>
      </c>
      <c r="H248" s="592">
        <f ca="1"/>
        <v>0</v>
      </c>
      <c r="I248" s="592">
        <f ca="1"/>
        <v>0</v>
      </c>
      <c r="J248" s="592">
        <f ca="1"/>
        <v>0</v>
      </c>
      <c r="K248" s="592">
        <f ca="1"/>
        <v>0</v>
      </c>
      <c r="L248" s="592">
        <f ca="1"/>
        <v>0</v>
      </c>
      <c r="M248" s="592">
        <f ca="1"/>
        <v>0</v>
      </c>
      <c r="N248" s="592">
        <f ca="1"/>
        <v>0</v>
      </c>
      <c r="O248" s="1968">
        <f ca="1">'Distr CV 3'!C248</f>
        <v>0</v>
      </c>
      <c r="P248" s="1968">
        <f ca="1"/>
        <v>0</v>
      </c>
      <c r="Q248" s="1968">
        <f ca="1"/>
        <v>0</v>
      </c>
      <c r="R248" s="1968">
        <f ca="1"/>
        <v>0</v>
      </c>
      <c r="S248" s="1968">
        <f ca="1"/>
        <v>0</v>
      </c>
      <c r="T248" s="1968">
        <f ca="1"/>
        <v>0</v>
      </c>
      <c r="U248" s="1968">
        <f ca="1"/>
        <v>0</v>
      </c>
      <c r="V248" s="1968">
        <f ca="1"/>
        <v>0</v>
      </c>
      <c r="W248" s="1968">
        <f ca="1"/>
        <v>0</v>
      </c>
      <c r="X248" s="1968">
        <f ca="1"/>
        <v>0</v>
      </c>
      <c r="Y248" s="1986">
        <f ca="1"/>
        <v>0</v>
      </c>
    </row>
    <row r="249" spans="1:25" ht="13.5" thickBot="1">
      <c r="A249" s="1971" t="str">
        <v>12 meses antes</v>
      </c>
      <c r="B249" s="592">
        <f t="array" aca="1" ref="B249:M249" ca="1">B27:M27*Produccion!$B$15</f>
        <v>0</v>
      </c>
      <c r="C249" s="592">
        <f ca="1"/>
        <v>0</v>
      </c>
      <c r="D249" s="592">
        <f ca="1"/>
        <v>0</v>
      </c>
      <c r="E249" s="592">
        <f ca="1"/>
        <v>0</v>
      </c>
      <c r="F249" s="592">
        <f ca="1"/>
        <v>0</v>
      </c>
      <c r="G249" s="592">
        <f ca="1"/>
        <v>0</v>
      </c>
      <c r="H249" s="592">
        <f ca="1"/>
        <v>0</v>
      </c>
      <c r="I249" s="592">
        <f ca="1"/>
        <v>0</v>
      </c>
      <c r="J249" s="592">
        <f ca="1"/>
        <v>0</v>
      </c>
      <c r="K249" s="592">
        <f ca="1"/>
        <v>0</v>
      </c>
      <c r="L249" s="592">
        <f ca="1"/>
        <v>0</v>
      </c>
      <c r="M249" s="592">
        <f ca="1"/>
        <v>0</v>
      </c>
      <c r="N249" s="1967">
        <f ca="1">'Distr CV 3'!B249</f>
        <v>0</v>
      </c>
      <c r="O249" s="1968">
        <f ca="1">'Distr CV 3'!C249</f>
        <v>0</v>
      </c>
      <c r="P249" s="1968">
        <f ca="1"/>
        <v>0</v>
      </c>
      <c r="Q249" s="1968">
        <f ca="1"/>
        <v>0</v>
      </c>
      <c r="R249" s="1968">
        <f ca="1"/>
        <v>0</v>
      </c>
      <c r="S249" s="1968">
        <f ca="1"/>
        <v>0</v>
      </c>
      <c r="T249" s="1968">
        <f ca="1"/>
        <v>0</v>
      </c>
      <c r="U249" s="1968">
        <f ca="1"/>
        <v>0</v>
      </c>
      <c r="V249" s="1968">
        <f ca="1"/>
        <v>0</v>
      </c>
      <c r="W249" s="1968">
        <f ca="1"/>
        <v>0</v>
      </c>
      <c r="X249" s="1968">
        <f ca="1"/>
        <v>0</v>
      </c>
      <c r="Y249" s="1986">
        <f ca="1"/>
        <v>0</v>
      </c>
    </row>
    <row r="250" spans="1:25" ht="13.5" thickBot="1">
      <c r="A250" s="103" t="str">
        <f>"Totales CV "&amp;A$15</f>
        <v xml:space="preserve">Totales CV </v>
      </c>
      <c r="B250" s="596">
        <f t="shared" ref="B250:Y250" ca="1" si="17">SUM(B237:B249)</f>
        <v>0</v>
      </c>
      <c r="C250" s="596">
        <f t="shared" ca="1" si="17"/>
        <v>0</v>
      </c>
      <c r="D250" s="596">
        <f t="shared" ca="1" si="17"/>
        <v>0</v>
      </c>
      <c r="E250" s="596">
        <f t="shared" ca="1" si="17"/>
        <v>0</v>
      </c>
      <c r="F250" s="596">
        <f t="shared" ca="1" si="17"/>
        <v>0</v>
      </c>
      <c r="G250" s="596">
        <f t="shared" ca="1" si="17"/>
        <v>0</v>
      </c>
      <c r="H250" s="596">
        <f t="shared" ca="1" si="17"/>
        <v>0</v>
      </c>
      <c r="I250" s="596">
        <f t="shared" ca="1" si="17"/>
        <v>0</v>
      </c>
      <c r="J250" s="596">
        <f t="shared" ca="1" si="17"/>
        <v>0</v>
      </c>
      <c r="K250" s="596">
        <f t="shared" ca="1" si="17"/>
        <v>0</v>
      </c>
      <c r="L250" s="596">
        <f t="shared" ca="1" si="17"/>
        <v>0</v>
      </c>
      <c r="M250" s="596">
        <f t="shared" ca="1" si="17"/>
        <v>0</v>
      </c>
      <c r="N250" s="596">
        <f t="shared" ca="1" si="17"/>
        <v>0</v>
      </c>
      <c r="O250" s="596">
        <f t="shared" ca="1" si="17"/>
        <v>0</v>
      </c>
      <c r="P250" s="596">
        <f t="shared" ca="1" si="17"/>
        <v>0</v>
      </c>
      <c r="Q250" s="596">
        <f t="shared" ca="1" si="17"/>
        <v>0</v>
      </c>
      <c r="R250" s="596">
        <f t="shared" ca="1" si="17"/>
        <v>0</v>
      </c>
      <c r="S250" s="596">
        <f t="shared" ca="1" si="17"/>
        <v>0</v>
      </c>
      <c r="T250" s="596">
        <f t="shared" ca="1" si="17"/>
        <v>0</v>
      </c>
      <c r="U250" s="596">
        <f t="shared" ca="1" si="17"/>
        <v>0</v>
      </c>
      <c r="V250" s="596">
        <f t="shared" ca="1" si="17"/>
        <v>0</v>
      </c>
      <c r="W250" s="596">
        <f t="shared" ca="1" si="17"/>
        <v>0</v>
      </c>
      <c r="X250" s="596">
        <f t="shared" ca="1" si="17"/>
        <v>0</v>
      </c>
      <c r="Y250" s="1984">
        <f t="shared" ca="1" si="17"/>
        <v>0</v>
      </c>
    </row>
    <row r="251" spans="1:25" ht="13.5" thickBot="1">
      <c r="A251" s="103" t="str">
        <f>'Datos Básicos'!A28&amp;" sop. CV "&amp;$A$15</f>
        <v xml:space="preserve">IVA sop. CV </v>
      </c>
      <c r="B251" s="596">
        <f t="array" aca="1" ref="B251:Y251" ca="1">$K$235*B250:Y250</f>
        <v>0</v>
      </c>
      <c r="C251" s="596">
        <f ca="1"/>
        <v>0</v>
      </c>
      <c r="D251" s="596">
        <f ca="1"/>
        <v>0</v>
      </c>
      <c r="E251" s="596">
        <f ca="1"/>
        <v>0</v>
      </c>
      <c r="F251" s="596">
        <f ca="1"/>
        <v>0</v>
      </c>
      <c r="G251" s="596">
        <f ca="1"/>
        <v>0</v>
      </c>
      <c r="H251" s="596">
        <f ca="1"/>
        <v>0</v>
      </c>
      <c r="I251" s="596">
        <f ca="1"/>
        <v>0</v>
      </c>
      <c r="J251" s="596">
        <f ca="1"/>
        <v>0</v>
      </c>
      <c r="K251" s="596">
        <f ca="1"/>
        <v>0</v>
      </c>
      <c r="L251" s="596">
        <f ca="1"/>
        <v>0</v>
      </c>
      <c r="M251" s="596">
        <f ca="1"/>
        <v>0</v>
      </c>
      <c r="N251" s="596">
        <f ca="1"/>
        <v>0</v>
      </c>
      <c r="O251" s="596">
        <f ca="1"/>
        <v>0</v>
      </c>
      <c r="P251" s="596">
        <f ca="1"/>
        <v>0</v>
      </c>
      <c r="Q251" s="596">
        <f ca="1"/>
        <v>0</v>
      </c>
      <c r="R251" s="596">
        <f ca="1"/>
        <v>0</v>
      </c>
      <c r="S251" s="596">
        <f ca="1"/>
        <v>0</v>
      </c>
      <c r="T251" s="596">
        <f ca="1"/>
        <v>0</v>
      </c>
      <c r="U251" s="596">
        <f ca="1"/>
        <v>0</v>
      </c>
      <c r="V251" s="596">
        <f ca="1"/>
        <v>0</v>
      </c>
      <c r="W251" s="596">
        <f ca="1"/>
        <v>0</v>
      </c>
      <c r="X251" s="596">
        <f ca="1"/>
        <v>0</v>
      </c>
      <c r="Y251" s="1984">
        <f ca="1"/>
        <v>0</v>
      </c>
    </row>
  </sheetData>
  <sheetProtection sheet="1" objects="1" scenarios="1"/>
  <phoneticPr fontId="6" type="noConversion"/>
  <printOptions horizontalCentered="1" verticalCentered="1"/>
  <pageMargins left="0.38" right="0.19685039370078741" top="0.53" bottom="0.71" header="0.51181102362204722" footer="0.39370078740157483"/>
  <pageSetup paperSize="9" scale="26" fitToHeight="2" orientation="landscape" horizontalDpi="300" verticalDpi="300" r:id="rId1"/>
  <headerFooter alignWithMargins="0">
    <oddFooter>&amp;C&amp;"Tahoma,Normal"&amp;10&amp;A</oddFooter>
  </headerFooter>
  <rowBreaks count="1" manualBreakCount="1">
    <brk id="73"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65">
    <tabColor indexed="10"/>
    <pageSetUpPr fitToPage="1"/>
  </sheetPr>
  <dimension ref="A1:Z251"/>
  <sheetViews>
    <sheetView workbookViewId="0"/>
  </sheetViews>
  <sheetFormatPr baseColWidth="10" defaultColWidth="11" defaultRowHeight="12.75"/>
  <cols>
    <col min="1" max="1" width="24" style="232" customWidth="1"/>
    <col min="2" max="2" width="11.375" style="60" customWidth="1"/>
    <col min="3" max="4" width="11.375" style="61" customWidth="1"/>
    <col min="5" max="5" width="10.375" style="61" customWidth="1"/>
    <col min="6" max="14" width="11.375" style="61" customWidth="1"/>
    <col min="15" max="15" width="11.5" style="232" customWidth="1"/>
    <col min="16" max="16384" width="11" style="61"/>
  </cols>
  <sheetData>
    <row r="1" spans="1:15" ht="22.5">
      <c r="A1" s="67" t="s">
        <v>876</v>
      </c>
      <c r="K1" s="2681" t="str">
        <f>Parametros!E$77</f>
        <v>Año 3:  2029</v>
      </c>
      <c r="L1" s="421"/>
    </row>
    <row r="2" spans="1:15" ht="22.5">
      <c r="A2" s="67" t="str">
        <f>'Datos Básicos'!B9</f>
        <v>nombre empresa</v>
      </c>
    </row>
    <row r="3" spans="1:15" ht="14.25" customHeight="1">
      <c r="A3" s="59"/>
    </row>
    <row r="4" spans="1:15" ht="14.25" customHeight="1">
      <c r="A4" s="59"/>
    </row>
    <row r="5" spans="1:15" ht="14.25" customHeight="1">
      <c r="A5" s="59"/>
    </row>
    <row r="6" spans="1:15" ht="24" customHeight="1" thickBot="1">
      <c r="A6" s="422" t="str">
        <f>'Distr CV 0'!A6</f>
        <v>Previsión de unidades vendidas</v>
      </c>
    </row>
    <row r="7" spans="1:15" s="447" customFormat="1" ht="15.75" customHeight="1" thickBot="1">
      <c r="A7" s="446" t="str">
        <f>'Distr CV 0'!A7</f>
        <v>Ventas (Unidades)</v>
      </c>
      <c r="B7" s="444" t="str">
        <f t="array" ref="B7:M7">meses</f>
        <v>enero</v>
      </c>
      <c r="C7" s="440" t="str">
        <v>febrero</v>
      </c>
      <c r="D7" s="440" t="str">
        <v>marzo</v>
      </c>
      <c r="E7" s="440" t="str">
        <v>abril</v>
      </c>
      <c r="F7" s="440" t="str">
        <v>mayo</v>
      </c>
      <c r="G7" s="440" t="str">
        <v>junio</v>
      </c>
      <c r="H7" s="440" t="str">
        <v>julio</v>
      </c>
      <c r="I7" s="440" t="str">
        <v>agosto</v>
      </c>
      <c r="J7" s="440" t="str">
        <v>septiembre</v>
      </c>
      <c r="K7" s="440" t="str">
        <v>octubre</v>
      </c>
      <c r="L7" s="440" t="str">
        <v>noviembre</v>
      </c>
      <c r="M7" s="441" t="str">
        <v>diciembre</v>
      </c>
      <c r="N7" s="438" t="s">
        <v>15</v>
      </c>
    </row>
    <row r="8" spans="1:15" ht="15.75" customHeight="1">
      <c r="A8" s="1972" t="str">
        <f t="array" ref="A8:A15">productos</f>
        <v>producto o servicio</v>
      </c>
      <c r="B8" s="578">
        <f t="array" aca="1" ref="B8:M15" ca="1">'Prev.Ventas 3'!B5:M12</f>
        <v>848.72</v>
      </c>
      <c r="C8" s="579">
        <f ca="1"/>
        <v>1060.9000000000001</v>
      </c>
      <c r="D8" s="579">
        <f ca="1"/>
        <v>1166.99</v>
      </c>
      <c r="E8" s="579">
        <f ca="1"/>
        <v>1113.9449999999999</v>
      </c>
      <c r="F8" s="579">
        <f ca="1"/>
        <v>954.81000000000006</v>
      </c>
      <c r="G8" s="579">
        <f ca="1"/>
        <v>901.76499999999999</v>
      </c>
      <c r="H8" s="579">
        <f ca="1"/>
        <v>848.72</v>
      </c>
      <c r="I8" s="579">
        <f ca="1"/>
        <v>636.54</v>
      </c>
      <c r="J8" s="579">
        <f ca="1"/>
        <v>848.72</v>
      </c>
      <c r="K8" s="579">
        <f ca="1"/>
        <v>1007.855</v>
      </c>
      <c r="L8" s="579">
        <f ca="1"/>
        <v>1060.9000000000001</v>
      </c>
      <c r="M8" s="601">
        <f ca="1"/>
        <v>1273.08</v>
      </c>
      <c r="N8" s="580">
        <f t="shared" ref="N8:N15" ca="1" si="0">SUM(B8:M8)</f>
        <v>11722.945</v>
      </c>
      <c r="O8" s="61"/>
    </row>
    <row r="9" spans="1:15" ht="15.75" customHeight="1">
      <c r="A9" s="1973" t="str">
        <v/>
      </c>
      <c r="B9" s="581">
        <f ca="1"/>
        <v>0</v>
      </c>
      <c r="C9" s="582">
        <f ca="1"/>
        <v>0</v>
      </c>
      <c r="D9" s="582">
        <f ca="1"/>
        <v>0</v>
      </c>
      <c r="E9" s="582">
        <f ca="1"/>
        <v>0</v>
      </c>
      <c r="F9" s="582">
        <f ca="1"/>
        <v>0</v>
      </c>
      <c r="G9" s="582">
        <f ca="1"/>
        <v>0</v>
      </c>
      <c r="H9" s="582">
        <f ca="1"/>
        <v>0</v>
      </c>
      <c r="I9" s="582">
        <f ca="1"/>
        <v>0</v>
      </c>
      <c r="J9" s="582">
        <f ca="1"/>
        <v>0</v>
      </c>
      <c r="K9" s="582">
        <f ca="1"/>
        <v>0</v>
      </c>
      <c r="L9" s="582">
        <f ca="1"/>
        <v>0</v>
      </c>
      <c r="M9" s="602">
        <f ca="1"/>
        <v>0</v>
      </c>
      <c r="N9" s="583">
        <f t="shared" ca="1" si="0"/>
        <v>0</v>
      </c>
      <c r="O9" s="61"/>
    </row>
    <row r="10" spans="1:15" ht="15.75" customHeight="1">
      <c r="A10" s="1973" t="str">
        <v/>
      </c>
      <c r="B10" s="581">
        <f ca="1"/>
        <v>0</v>
      </c>
      <c r="C10" s="582">
        <f ca="1"/>
        <v>0</v>
      </c>
      <c r="D10" s="582">
        <f ca="1"/>
        <v>0</v>
      </c>
      <c r="E10" s="582">
        <f ca="1"/>
        <v>0</v>
      </c>
      <c r="F10" s="582">
        <f ca="1"/>
        <v>0</v>
      </c>
      <c r="G10" s="582">
        <f ca="1"/>
        <v>0</v>
      </c>
      <c r="H10" s="582">
        <f ca="1"/>
        <v>0</v>
      </c>
      <c r="I10" s="582">
        <f ca="1"/>
        <v>0</v>
      </c>
      <c r="J10" s="582">
        <f ca="1"/>
        <v>0</v>
      </c>
      <c r="K10" s="582">
        <f ca="1"/>
        <v>0</v>
      </c>
      <c r="L10" s="582">
        <f ca="1"/>
        <v>0</v>
      </c>
      <c r="M10" s="602">
        <f ca="1"/>
        <v>0</v>
      </c>
      <c r="N10" s="583">
        <f t="shared" ca="1" si="0"/>
        <v>0</v>
      </c>
      <c r="O10" s="61"/>
    </row>
    <row r="11" spans="1:15" ht="15.75" customHeight="1">
      <c r="A11" s="1973" t="str">
        <v/>
      </c>
      <c r="B11" s="581">
        <f ca="1"/>
        <v>0</v>
      </c>
      <c r="C11" s="582">
        <f ca="1"/>
        <v>0</v>
      </c>
      <c r="D11" s="582">
        <f ca="1"/>
        <v>0</v>
      </c>
      <c r="E11" s="582">
        <f ca="1"/>
        <v>0</v>
      </c>
      <c r="F11" s="582">
        <f ca="1"/>
        <v>0</v>
      </c>
      <c r="G11" s="582">
        <f ca="1"/>
        <v>0</v>
      </c>
      <c r="H11" s="582">
        <f ca="1"/>
        <v>0</v>
      </c>
      <c r="I11" s="582">
        <f ca="1"/>
        <v>0</v>
      </c>
      <c r="J11" s="582">
        <f ca="1"/>
        <v>0</v>
      </c>
      <c r="K11" s="582">
        <f ca="1"/>
        <v>0</v>
      </c>
      <c r="L11" s="582">
        <f ca="1"/>
        <v>0</v>
      </c>
      <c r="M11" s="602">
        <f ca="1"/>
        <v>0</v>
      </c>
      <c r="N11" s="583">
        <f t="shared" ca="1" si="0"/>
        <v>0</v>
      </c>
      <c r="O11" s="61"/>
    </row>
    <row r="12" spans="1:15" ht="15.75" customHeight="1">
      <c r="A12" s="1973" t="str">
        <v/>
      </c>
      <c r="B12" s="581">
        <f ca="1"/>
        <v>0</v>
      </c>
      <c r="C12" s="582">
        <f ca="1"/>
        <v>0</v>
      </c>
      <c r="D12" s="582">
        <f ca="1"/>
        <v>0</v>
      </c>
      <c r="E12" s="582">
        <f ca="1"/>
        <v>0</v>
      </c>
      <c r="F12" s="582">
        <f ca="1"/>
        <v>0</v>
      </c>
      <c r="G12" s="582">
        <f ca="1"/>
        <v>0</v>
      </c>
      <c r="H12" s="582">
        <f ca="1"/>
        <v>0</v>
      </c>
      <c r="I12" s="582">
        <f ca="1"/>
        <v>0</v>
      </c>
      <c r="J12" s="582">
        <f ca="1"/>
        <v>0</v>
      </c>
      <c r="K12" s="582">
        <f ca="1"/>
        <v>0</v>
      </c>
      <c r="L12" s="582">
        <f ca="1"/>
        <v>0</v>
      </c>
      <c r="M12" s="602">
        <f ca="1"/>
        <v>0</v>
      </c>
      <c r="N12" s="583">
        <f t="shared" ca="1" si="0"/>
        <v>0</v>
      </c>
      <c r="O12" s="61"/>
    </row>
    <row r="13" spans="1:15" ht="15.75" customHeight="1">
      <c r="A13" s="1973" t="str">
        <v/>
      </c>
      <c r="B13" s="581">
        <f ca="1"/>
        <v>0</v>
      </c>
      <c r="C13" s="582">
        <f ca="1"/>
        <v>0</v>
      </c>
      <c r="D13" s="582">
        <f ca="1"/>
        <v>0</v>
      </c>
      <c r="E13" s="582">
        <f ca="1"/>
        <v>0</v>
      </c>
      <c r="F13" s="582">
        <f ca="1"/>
        <v>0</v>
      </c>
      <c r="G13" s="582">
        <f ca="1"/>
        <v>0</v>
      </c>
      <c r="H13" s="582">
        <f ca="1"/>
        <v>0</v>
      </c>
      <c r="I13" s="582">
        <f ca="1"/>
        <v>0</v>
      </c>
      <c r="J13" s="582">
        <f ca="1"/>
        <v>0</v>
      </c>
      <c r="K13" s="582">
        <f ca="1"/>
        <v>0</v>
      </c>
      <c r="L13" s="582">
        <f ca="1"/>
        <v>0</v>
      </c>
      <c r="M13" s="602">
        <f ca="1"/>
        <v>0</v>
      </c>
      <c r="N13" s="583">
        <f t="shared" ca="1" si="0"/>
        <v>0</v>
      </c>
      <c r="O13" s="61"/>
    </row>
    <row r="14" spans="1:15" ht="15.75" customHeight="1">
      <c r="A14" s="1973" t="str">
        <v/>
      </c>
      <c r="B14" s="581">
        <f ca="1"/>
        <v>0</v>
      </c>
      <c r="C14" s="582">
        <f ca="1"/>
        <v>0</v>
      </c>
      <c r="D14" s="582">
        <f ca="1"/>
        <v>0</v>
      </c>
      <c r="E14" s="582">
        <f ca="1"/>
        <v>0</v>
      </c>
      <c r="F14" s="582">
        <f ca="1"/>
        <v>0</v>
      </c>
      <c r="G14" s="582">
        <f ca="1"/>
        <v>0</v>
      </c>
      <c r="H14" s="582">
        <f ca="1"/>
        <v>0</v>
      </c>
      <c r="I14" s="582">
        <f ca="1"/>
        <v>0</v>
      </c>
      <c r="J14" s="582">
        <f ca="1"/>
        <v>0</v>
      </c>
      <c r="K14" s="582">
        <f ca="1"/>
        <v>0</v>
      </c>
      <c r="L14" s="582">
        <f ca="1"/>
        <v>0</v>
      </c>
      <c r="M14" s="602">
        <f ca="1"/>
        <v>0</v>
      </c>
      <c r="N14" s="583">
        <f t="shared" ca="1" si="0"/>
        <v>0</v>
      </c>
      <c r="O14" s="61"/>
    </row>
    <row r="15" spans="1:15" ht="15.75" customHeight="1" thickBot="1">
      <c r="A15" s="1974" t="str">
        <v/>
      </c>
      <c r="B15" s="584">
        <f ca="1"/>
        <v>0</v>
      </c>
      <c r="C15" s="585">
        <f ca="1"/>
        <v>0</v>
      </c>
      <c r="D15" s="585">
        <f ca="1"/>
        <v>0</v>
      </c>
      <c r="E15" s="585">
        <f ca="1"/>
        <v>0</v>
      </c>
      <c r="F15" s="585">
        <f ca="1"/>
        <v>0</v>
      </c>
      <c r="G15" s="585">
        <f ca="1"/>
        <v>0</v>
      </c>
      <c r="H15" s="585">
        <f ca="1"/>
        <v>0</v>
      </c>
      <c r="I15" s="585">
        <f ca="1"/>
        <v>0</v>
      </c>
      <c r="J15" s="585">
        <f ca="1"/>
        <v>0</v>
      </c>
      <c r="K15" s="585">
        <f ca="1"/>
        <v>0</v>
      </c>
      <c r="L15" s="585">
        <f ca="1"/>
        <v>0</v>
      </c>
      <c r="M15" s="603">
        <f ca="1"/>
        <v>0</v>
      </c>
      <c r="N15" s="586">
        <f t="shared" ca="1" si="0"/>
        <v>0</v>
      </c>
      <c r="O15" s="61"/>
    </row>
    <row r="16" spans="1:15" ht="15">
      <c r="A16" s="72"/>
    </row>
    <row r="17" spans="1:15" ht="15">
      <c r="A17" s="213"/>
    </row>
    <row r="18" spans="1:15" ht="18.75" thickBot="1">
      <c r="A18" s="1969" t="str">
        <f>'Distr CV 0'!A18</f>
        <v>Previsión de costes de producción de las unidades vendidas</v>
      </c>
      <c r="G18" s="2710" t="str">
        <f>$K$1</f>
        <v>Año 3:  2029</v>
      </c>
      <c r="I18" s="1969" t="str">
        <f>'Distr CV 0'!I18</f>
        <v>IVA NO incluido</v>
      </c>
    </row>
    <row r="19" spans="1:15" s="445" customFormat="1" ht="15.75" customHeight="1" thickBot="1">
      <c r="A19" s="446" t="str">
        <f>'Distr CV 0'!A19</f>
        <v>Costes producción</v>
      </c>
      <c r="B19" s="444" t="str">
        <f t="array" ref="B19:M19">meses</f>
        <v>enero</v>
      </c>
      <c r="C19" s="440" t="str">
        <v>febrero</v>
      </c>
      <c r="D19" s="440" t="str">
        <v>marzo</v>
      </c>
      <c r="E19" s="440" t="str">
        <v>abril</v>
      </c>
      <c r="F19" s="440" t="str">
        <v>mayo</v>
      </c>
      <c r="G19" s="440" t="str">
        <v>junio</v>
      </c>
      <c r="H19" s="440" t="str">
        <v>julio</v>
      </c>
      <c r="I19" s="440" t="str">
        <v>agosto</v>
      </c>
      <c r="J19" s="440" t="str">
        <v>septiembre</v>
      </c>
      <c r="K19" s="440" t="str">
        <v>octubre</v>
      </c>
      <c r="L19" s="440" t="str">
        <v>noviembre</v>
      </c>
      <c r="M19" s="441" t="str">
        <v>diciembre</v>
      </c>
      <c r="N19" s="438" t="str">
        <f>N$7</f>
        <v>Totales</v>
      </c>
    </row>
    <row r="20" spans="1:15" ht="15.75" customHeight="1">
      <c r="A20" s="1972" t="str">
        <f t="array" ref="A20:A27">productos</f>
        <v>producto o servicio</v>
      </c>
      <c r="B20" s="587">
        <f t="array" aca="1" ref="B20:M27" ca="1">B8:M15*'Precios-CV'!$H19:$H26</f>
        <v>297.05200000000002</v>
      </c>
      <c r="C20" s="588">
        <f ca="1"/>
        <v>371.31500000000005</v>
      </c>
      <c r="D20" s="588">
        <f ca="1"/>
        <v>408.44650000000001</v>
      </c>
      <c r="E20" s="588">
        <f ca="1"/>
        <v>389.88075000000003</v>
      </c>
      <c r="F20" s="588">
        <f ca="1"/>
        <v>334.18350000000004</v>
      </c>
      <c r="G20" s="588">
        <f ca="1"/>
        <v>315.61775</v>
      </c>
      <c r="H20" s="588">
        <f ca="1"/>
        <v>297.05200000000002</v>
      </c>
      <c r="I20" s="588">
        <f ca="1"/>
        <v>222.78900000000002</v>
      </c>
      <c r="J20" s="588">
        <f ca="1"/>
        <v>297.05200000000002</v>
      </c>
      <c r="K20" s="588">
        <f ca="1"/>
        <v>352.74925000000002</v>
      </c>
      <c r="L20" s="588">
        <f ca="1"/>
        <v>371.31500000000005</v>
      </c>
      <c r="M20" s="598">
        <f ca="1"/>
        <v>445.57800000000003</v>
      </c>
      <c r="N20" s="580">
        <f t="shared" ref="N20:N39" ca="1" si="1">SUM(B20:M20)</f>
        <v>4103.0307500000008</v>
      </c>
      <c r="O20" s="61"/>
    </row>
    <row r="21" spans="1:15" ht="15.75" customHeight="1">
      <c r="A21" s="1973" t="str">
        <v/>
      </c>
      <c r="B21" s="589">
        <f ca="1"/>
        <v>0</v>
      </c>
      <c r="C21" s="590">
        <f ca="1"/>
        <v>0</v>
      </c>
      <c r="D21" s="590">
        <f ca="1"/>
        <v>0</v>
      </c>
      <c r="E21" s="590">
        <f ca="1"/>
        <v>0</v>
      </c>
      <c r="F21" s="590">
        <f ca="1"/>
        <v>0</v>
      </c>
      <c r="G21" s="590">
        <f ca="1"/>
        <v>0</v>
      </c>
      <c r="H21" s="590">
        <f ca="1"/>
        <v>0</v>
      </c>
      <c r="I21" s="590">
        <f ca="1"/>
        <v>0</v>
      </c>
      <c r="J21" s="590">
        <f ca="1"/>
        <v>0</v>
      </c>
      <c r="K21" s="590">
        <f ca="1"/>
        <v>0</v>
      </c>
      <c r="L21" s="590">
        <f ca="1"/>
        <v>0</v>
      </c>
      <c r="M21" s="599">
        <f ca="1"/>
        <v>0</v>
      </c>
      <c r="N21" s="583">
        <f t="shared" ca="1" si="1"/>
        <v>0</v>
      </c>
      <c r="O21" s="61"/>
    </row>
    <row r="22" spans="1:15" ht="15.75" customHeight="1">
      <c r="A22" s="1973" t="str">
        <v/>
      </c>
      <c r="B22" s="589">
        <f ca="1"/>
        <v>0</v>
      </c>
      <c r="C22" s="590">
        <f ca="1"/>
        <v>0</v>
      </c>
      <c r="D22" s="590">
        <f ca="1"/>
        <v>0</v>
      </c>
      <c r="E22" s="590">
        <f ca="1"/>
        <v>0</v>
      </c>
      <c r="F22" s="590">
        <f ca="1"/>
        <v>0</v>
      </c>
      <c r="G22" s="590">
        <f ca="1"/>
        <v>0</v>
      </c>
      <c r="H22" s="590">
        <f ca="1"/>
        <v>0</v>
      </c>
      <c r="I22" s="590">
        <f ca="1"/>
        <v>0</v>
      </c>
      <c r="J22" s="590">
        <f ca="1"/>
        <v>0</v>
      </c>
      <c r="K22" s="590">
        <f ca="1"/>
        <v>0</v>
      </c>
      <c r="L22" s="590">
        <f ca="1"/>
        <v>0</v>
      </c>
      <c r="M22" s="599">
        <f ca="1"/>
        <v>0</v>
      </c>
      <c r="N22" s="583">
        <f t="shared" ca="1" si="1"/>
        <v>0</v>
      </c>
      <c r="O22" s="61"/>
    </row>
    <row r="23" spans="1:15" ht="15.75" customHeight="1">
      <c r="A23" s="1973" t="str">
        <v/>
      </c>
      <c r="B23" s="589">
        <f ca="1"/>
        <v>0</v>
      </c>
      <c r="C23" s="590">
        <f ca="1"/>
        <v>0</v>
      </c>
      <c r="D23" s="590">
        <f ca="1"/>
        <v>0</v>
      </c>
      <c r="E23" s="590">
        <f ca="1"/>
        <v>0</v>
      </c>
      <c r="F23" s="590">
        <f ca="1"/>
        <v>0</v>
      </c>
      <c r="G23" s="590">
        <f ca="1"/>
        <v>0</v>
      </c>
      <c r="H23" s="590">
        <f ca="1"/>
        <v>0</v>
      </c>
      <c r="I23" s="590">
        <f ca="1"/>
        <v>0</v>
      </c>
      <c r="J23" s="590">
        <f ca="1"/>
        <v>0</v>
      </c>
      <c r="K23" s="590">
        <f ca="1"/>
        <v>0</v>
      </c>
      <c r="L23" s="590">
        <f ca="1"/>
        <v>0</v>
      </c>
      <c r="M23" s="599">
        <f ca="1"/>
        <v>0</v>
      </c>
      <c r="N23" s="583">
        <f t="shared" ca="1" si="1"/>
        <v>0</v>
      </c>
      <c r="O23" s="61"/>
    </row>
    <row r="24" spans="1:15" ht="15.75" customHeight="1">
      <c r="A24" s="1973" t="str">
        <v/>
      </c>
      <c r="B24" s="589">
        <f ca="1"/>
        <v>0</v>
      </c>
      <c r="C24" s="590">
        <f ca="1"/>
        <v>0</v>
      </c>
      <c r="D24" s="590">
        <f ca="1"/>
        <v>0</v>
      </c>
      <c r="E24" s="590">
        <f ca="1"/>
        <v>0</v>
      </c>
      <c r="F24" s="590">
        <f ca="1"/>
        <v>0</v>
      </c>
      <c r="G24" s="590">
        <f ca="1"/>
        <v>0</v>
      </c>
      <c r="H24" s="590">
        <f ca="1"/>
        <v>0</v>
      </c>
      <c r="I24" s="590">
        <f ca="1"/>
        <v>0</v>
      </c>
      <c r="J24" s="590">
        <f ca="1"/>
        <v>0</v>
      </c>
      <c r="K24" s="590">
        <f ca="1"/>
        <v>0</v>
      </c>
      <c r="L24" s="590">
        <f ca="1"/>
        <v>0</v>
      </c>
      <c r="M24" s="599">
        <f ca="1"/>
        <v>0</v>
      </c>
      <c r="N24" s="583">
        <f t="shared" ca="1" si="1"/>
        <v>0</v>
      </c>
      <c r="O24" s="61"/>
    </row>
    <row r="25" spans="1:15" ht="15.75" customHeight="1">
      <c r="A25" s="1973" t="str">
        <v/>
      </c>
      <c r="B25" s="589">
        <f ca="1"/>
        <v>0</v>
      </c>
      <c r="C25" s="590">
        <f ca="1"/>
        <v>0</v>
      </c>
      <c r="D25" s="590">
        <f ca="1"/>
        <v>0</v>
      </c>
      <c r="E25" s="590">
        <f ca="1"/>
        <v>0</v>
      </c>
      <c r="F25" s="590">
        <f ca="1"/>
        <v>0</v>
      </c>
      <c r="G25" s="590">
        <f ca="1"/>
        <v>0</v>
      </c>
      <c r="H25" s="590">
        <f ca="1"/>
        <v>0</v>
      </c>
      <c r="I25" s="590">
        <f ca="1"/>
        <v>0</v>
      </c>
      <c r="J25" s="590">
        <f ca="1"/>
        <v>0</v>
      </c>
      <c r="K25" s="590">
        <f ca="1"/>
        <v>0</v>
      </c>
      <c r="L25" s="590">
        <f ca="1"/>
        <v>0</v>
      </c>
      <c r="M25" s="599">
        <f ca="1"/>
        <v>0</v>
      </c>
      <c r="N25" s="583">
        <f t="shared" ca="1" si="1"/>
        <v>0</v>
      </c>
      <c r="O25" s="61"/>
    </row>
    <row r="26" spans="1:15" ht="15.75" customHeight="1">
      <c r="A26" s="1973" t="str">
        <v/>
      </c>
      <c r="B26" s="589">
        <f ca="1"/>
        <v>0</v>
      </c>
      <c r="C26" s="590">
        <f ca="1"/>
        <v>0</v>
      </c>
      <c r="D26" s="590">
        <f ca="1"/>
        <v>0</v>
      </c>
      <c r="E26" s="590">
        <f ca="1"/>
        <v>0</v>
      </c>
      <c r="F26" s="590">
        <f ca="1"/>
        <v>0</v>
      </c>
      <c r="G26" s="590">
        <f ca="1"/>
        <v>0</v>
      </c>
      <c r="H26" s="590">
        <f ca="1"/>
        <v>0</v>
      </c>
      <c r="I26" s="590">
        <f ca="1"/>
        <v>0</v>
      </c>
      <c r="J26" s="590">
        <f ca="1"/>
        <v>0</v>
      </c>
      <c r="K26" s="590">
        <f ca="1"/>
        <v>0</v>
      </c>
      <c r="L26" s="590">
        <f ca="1"/>
        <v>0</v>
      </c>
      <c r="M26" s="599">
        <f ca="1"/>
        <v>0</v>
      </c>
      <c r="N26" s="583">
        <f t="shared" ca="1" si="1"/>
        <v>0</v>
      </c>
      <c r="O26" s="61"/>
    </row>
    <row r="27" spans="1:15" ht="15.75" customHeight="1" thickBot="1">
      <c r="A27" s="1974" t="str">
        <v/>
      </c>
      <c r="B27" s="591">
        <f ca="1"/>
        <v>0</v>
      </c>
      <c r="C27" s="592">
        <f ca="1"/>
        <v>0</v>
      </c>
      <c r="D27" s="592">
        <f ca="1"/>
        <v>0</v>
      </c>
      <c r="E27" s="592">
        <f ca="1"/>
        <v>0</v>
      </c>
      <c r="F27" s="592">
        <f ca="1"/>
        <v>0</v>
      </c>
      <c r="G27" s="592">
        <f ca="1"/>
        <v>0</v>
      </c>
      <c r="H27" s="592">
        <f ca="1"/>
        <v>0</v>
      </c>
      <c r="I27" s="592">
        <f ca="1"/>
        <v>0</v>
      </c>
      <c r="J27" s="592">
        <f ca="1"/>
        <v>0</v>
      </c>
      <c r="K27" s="592">
        <f ca="1"/>
        <v>0</v>
      </c>
      <c r="L27" s="592">
        <f ca="1"/>
        <v>0</v>
      </c>
      <c r="M27" s="600">
        <f ca="1"/>
        <v>0</v>
      </c>
      <c r="N27" s="593">
        <f t="shared" ca="1" si="1"/>
        <v>0</v>
      </c>
      <c r="O27" s="61"/>
    </row>
    <row r="28" spans="1:15" ht="15.75" customHeight="1" thickBot="1">
      <c r="A28" s="103" t="s">
        <v>15</v>
      </c>
      <c r="B28" s="595">
        <f t="shared" ref="B28:M28" ca="1" si="2">SUM(B20:B27)</f>
        <v>297.05200000000002</v>
      </c>
      <c r="C28" s="596">
        <f t="shared" ca="1" si="2"/>
        <v>371.31500000000005</v>
      </c>
      <c r="D28" s="596">
        <f t="shared" ca="1" si="2"/>
        <v>408.44650000000001</v>
      </c>
      <c r="E28" s="596">
        <f t="shared" ca="1" si="2"/>
        <v>389.88075000000003</v>
      </c>
      <c r="F28" s="596">
        <f t="shared" ca="1" si="2"/>
        <v>334.18350000000004</v>
      </c>
      <c r="G28" s="596">
        <f t="shared" ca="1" si="2"/>
        <v>315.61775</v>
      </c>
      <c r="H28" s="596">
        <f t="shared" ca="1" si="2"/>
        <v>297.05200000000002</v>
      </c>
      <c r="I28" s="596">
        <f t="shared" ca="1" si="2"/>
        <v>222.78900000000002</v>
      </c>
      <c r="J28" s="596">
        <f t="shared" ca="1" si="2"/>
        <v>297.05200000000002</v>
      </c>
      <c r="K28" s="596">
        <f t="shared" ca="1" si="2"/>
        <v>352.74925000000002</v>
      </c>
      <c r="L28" s="596">
        <f t="shared" ca="1" si="2"/>
        <v>371.31500000000005</v>
      </c>
      <c r="M28" s="597">
        <f t="shared" ca="1" si="2"/>
        <v>445.57800000000003</v>
      </c>
      <c r="N28" s="594">
        <f t="shared" ca="1" si="1"/>
        <v>4103.0307500000008</v>
      </c>
      <c r="O28" s="61"/>
    </row>
    <row r="29" spans="1:15" ht="15">
      <c r="A29" s="213"/>
    </row>
    <row r="30" spans="1:15" ht="15.75" thickBot="1">
      <c r="A30" s="213"/>
    </row>
    <row r="31" spans="1:15" ht="19.5" customHeight="1" thickBot="1">
      <c r="A31" s="446" t="str">
        <f>'Distr CV 0'!A31</f>
        <v>IVA sop. Costes producc.</v>
      </c>
      <c r="B31" s="444" t="str">
        <f t="array" ref="B31:M31">meses</f>
        <v>enero</v>
      </c>
      <c r="C31" s="440" t="str">
        <v>febrero</v>
      </c>
      <c r="D31" s="440" t="str">
        <v>marzo</v>
      </c>
      <c r="E31" s="440" t="str">
        <v>abril</v>
      </c>
      <c r="F31" s="440" t="str">
        <v>mayo</v>
      </c>
      <c r="G31" s="440" t="str">
        <v>junio</v>
      </c>
      <c r="H31" s="440" t="str">
        <v>julio</v>
      </c>
      <c r="I31" s="440" t="str">
        <v>agosto</v>
      </c>
      <c r="J31" s="440" t="str">
        <v>septiembre</v>
      </c>
      <c r="K31" s="440" t="str">
        <v>octubre</v>
      </c>
      <c r="L31" s="440" t="str">
        <v>noviembre</v>
      </c>
      <c r="M31" s="441" t="str">
        <v>diciembre</v>
      </c>
      <c r="N31" s="438" t="str">
        <f>N$7</f>
        <v>Totales</v>
      </c>
    </row>
    <row r="32" spans="1:15" ht="15.75" customHeight="1">
      <c r="A32" s="1972" t="str">
        <f t="array" ref="A32:A39">productos</f>
        <v>producto o servicio</v>
      </c>
      <c r="B32" s="587">
        <f t="array" aca="1" ref="B32:M39" ca="1">B20:M27*Parametros!$F24:$F31</f>
        <v>62.380920000000003</v>
      </c>
      <c r="C32" s="588">
        <f ca="1"/>
        <v>77.976150000000004</v>
      </c>
      <c r="D32" s="588">
        <f ca="1"/>
        <v>85.773764999999997</v>
      </c>
      <c r="E32" s="588">
        <f ca="1"/>
        <v>81.874957500000008</v>
      </c>
      <c r="F32" s="588">
        <f ca="1"/>
        <v>70.178535000000011</v>
      </c>
      <c r="G32" s="588">
        <f ca="1"/>
        <v>66.279727499999993</v>
      </c>
      <c r="H32" s="588">
        <f ca="1"/>
        <v>62.380920000000003</v>
      </c>
      <c r="I32" s="588">
        <f ca="1"/>
        <v>46.785690000000002</v>
      </c>
      <c r="J32" s="588">
        <f ca="1"/>
        <v>62.380920000000003</v>
      </c>
      <c r="K32" s="588">
        <f ca="1"/>
        <v>74.0773425</v>
      </c>
      <c r="L32" s="588">
        <f ca="1"/>
        <v>77.976150000000004</v>
      </c>
      <c r="M32" s="598">
        <f ca="1"/>
        <v>93.571380000000005</v>
      </c>
      <c r="N32" s="580">
        <f t="shared" ca="1" si="1"/>
        <v>861.63645749999989</v>
      </c>
      <c r="O32" s="61"/>
    </row>
    <row r="33" spans="1:15" ht="15.75" customHeight="1">
      <c r="A33" s="1973" t="str">
        <v/>
      </c>
      <c r="B33" s="589">
        <f ca="1"/>
        <v>0</v>
      </c>
      <c r="C33" s="590">
        <f ca="1"/>
        <v>0</v>
      </c>
      <c r="D33" s="590">
        <f ca="1"/>
        <v>0</v>
      </c>
      <c r="E33" s="590">
        <f ca="1"/>
        <v>0</v>
      </c>
      <c r="F33" s="590">
        <f ca="1"/>
        <v>0</v>
      </c>
      <c r="G33" s="590">
        <f ca="1"/>
        <v>0</v>
      </c>
      <c r="H33" s="590">
        <f ca="1"/>
        <v>0</v>
      </c>
      <c r="I33" s="590">
        <f ca="1"/>
        <v>0</v>
      </c>
      <c r="J33" s="590">
        <f ca="1"/>
        <v>0</v>
      </c>
      <c r="K33" s="590">
        <f ca="1"/>
        <v>0</v>
      </c>
      <c r="L33" s="590">
        <f ca="1"/>
        <v>0</v>
      </c>
      <c r="M33" s="599">
        <f ca="1"/>
        <v>0</v>
      </c>
      <c r="N33" s="583">
        <f t="shared" ca="1" si="1"/>
        <v>0</v>
      </c>
      <c r="O33" s="61"/>
    </row>
    <row r="34" spans="1:15" ht="15.75" customHeight="1">
      <c r="A34" s="1973" t="str">
        <v/>
      </c>
      <c r="B34" s="589">
        <f ca="1"/>
        <v>0</v>
      </c>
      <c r="C34" s="590">
        <f ca="1"/>
        <v>0</v>
      </c>
      <c r="D34" s="590">
        <f ca="1"/>
        <v>0</v>
      </c>
      <c r="E34" s="590">
        <f ca="1"/>
        <v>0</v>
      </c>
      <c r="F34" s="590">
        <f ca="1"/>
        <v>0</v>
      </c>
      <c r="G34" s="590">
        <f ca="1"/>
        <v>0</v>
      </c>
      <c r="H34" s="590">
        <f ca="1"/>
        <v>0</v>
      </c>
      <c r="I34" s="590">
        <f ca="1"/>
        <v>0</v>
      </c>
      <c r="J34" s="590">
        <f ca="1"/>
        <v>0</v>
      </c>
      <c r="K34" s="590">
        <f ca="1"/>
        <v>0</v>
      </c>
      <c r="L34" s="590">
        <f ca="1"/>
        <v>0</v>
      </c>
      <c r="M34" s="599">
        <f ca="1"/>
        <v>0</v>
      </c>
      <c r="N34" s="583">
        <f t="shared" ca="1" si="1"/>
        <v>0</v>
      </c>
      <c r="O34" s="61"/>
    </row>
    <row r="35" spans="1:15" ht="15.75" customHeight="1">
      <c r="A35" s="1973" t="str">
        <v/>
      </c>
      <c r="B35" s="589">
        <f ca="1"/>
        <v>0</v>
      </c>
      <c r="C35" s="590">
        <f ca="1"/>
        <v>0</v>
      </c>
      <c r="D35" s="590">
        <f ca="1"/>
        <v>0</v>
      </c>
      <c r="E35" s="590">
        <f ca="1"/>
        <v>0</v>
      </c>
      <c r="F35" s="590">
        <f ca="1"/>
        <v>0</v>
      </c>
      <c r="G35" s="590">
        <f ca="1"/>
        <v>0</v>
      </c>
      <c r="H35" s="590">
        <f ca="1"/>
        <v>0</v>
      </c>
      <c r="I35" s="590">
        <f ca="1"/>
        <v>0</v>
      </c>
      <c r="J35" s="590">
        <f ca="1"/>
        <v>0</v>
      </c>
      <c r="K35" s="590">
        <f ca="1"/>
        <v>0</v>
      </c>
      <c r="L35" s="590">
        <f ca="1"/>
        <v>0</v>
      </c>
      <c r="M35" s="599">
        <f ca="1"/>
        <v>0</v>
      </c>
      <c r="N35" s="583">
        <f t="shared" ca="1" si="1"/>
        <v>0</v>
      </c>
      <c r="O35" s="61"/>
    </row>
    <row r="36" spans="1:15" ht="15.75" customHeight="1">
      <c r="A36" s="1973" t="str">
        <v/>
      </c>
      <c r="B36" s="589">
        <f ca="1"/>
        <v>0</v>
      </c>
      <c r="C36" s="590">
        <f ca="1"/>
        <v>0</v>
      </c>
      <c r="D36" s="590">
        <f ca="1"/>
        <v>0</v>
      </c>
      <c r="E36" s="590">
        <f ca="1"/>
        <v>0</v>
      </c>
      <c r="F36" s="590">
        <f ca="1"/>
        <v>0</v>
      </c>
      <c r="G36" s="590">
        <f ca="1"/>
        <v>0</v>
      </c>
      <c r="H36" s="590">
        <f ca="1"/>
        <v>0</v>
      </c>
      <c r="I36" s="590">
        <f ca="1"/>
        <v>0</v>
      </c>
      <c r="J36" s="590">
        <f ca="1"/>
        <v>0</v>
      </c>
      <c r="K36" s="590">
        <f ca="1"/>
        <v>0</v>
      </c>
      <c r="L36" s="590">
        <f ca="1"/>
        <v>0</v>
      </c>
      <c r="M36" s="599">
        <f ca="1"/>
        <v>0</v>
      </c>
      <c r="N36" s="583">
        <f t="shared" ca="1" si="1"/>
        <v>0</v>
      </c>
      <c r="O36" s="61"/>
    </row>
    <row r="37" spans="1:15" ht="15.75" customHeight="1">
      <c r="A37" s="1973" t="str">
        <v/>
      </c>
      <c r="B37" s="589">
        <f ca="1"/>
        <v>0</v>
      </c>
      <c r="C37" s="590">
        <f ca="1"/>
        <v>0</v>
      </c>
      <c r="D37" s="590">
        <f ca="1"/>
        <v>0</v>
      </c>
      <c r="E37" s="590">
        <f ca="1"/>
        <v>0</v>
      </c>
      <c r="F37" s="590">
        <f ca="1"/>
        <v>0</v>
      </c>
      <c r="G37" s="590">
        <f ca="1"/>
        <v>0</v>
      </c>
      <c r="H37" s="590">
        <f ca="1"/>
        <v>0</v>
      </c>
      <c r="I37" s="590">
        <f ca="1"/>
        <v>0</v>
      </c>
      <c r="J37" s="590">
        <f ca="1"/>
        <v>0</v>
      </c>
      <c r="K37" s="590">
        <f ca="1"/>
        <v>0</v>
      </c>
      <c r="L37" s="590">
        <f ca="1"/>
        <v>0</v>
      </c>
      <c r="M37" s="599">
        <f ca="1"/>
        <v>0</v>
      </c>
      <c r="N37" s="583">
        <f t="shared" ca="1" si="1"/>
        <v>0</v>
      </c>
      <c r="O37" s="61"/>
    </row>
    <row r="38" spans="1:15" ht="15.75" customHeight="1">
      <c r="A38" s="1973" t="str">
        <v/>
      </c>
      <c r="B38" s="589">
        <f ca="1"/>
        <v>0</v>
      </c>
      <c r="C38" s="590">
        <f ca="1"/>
        <v>0</v>
      </c>
      <c r="D38" s="590">
        <f ca="1"/>
        <v>0</v>
      </c>
      <c r="E38" s="590">
        <f ca="1"/>
        <v>0</v>
      </c>
      <c r="F38" s="590">
        <f ca="1"/>
        <v>0</v>
      </c>
      <c r="G38" s="590">
        <f ca="1"/>
        <v>0</v>
      </c>
      <c r="H38" s="590">
        <f ca="1"/>
        <v>0</v>
      </c>
      <c r="I38" s="590">
        <f ca="1"/>
        <v>0</v>
      </c>
      <c r="J38" s="590">
        <f ca="1"/>
        <v>0</v>
      </c>
      <c r="K38" s="590">
        <f ca="1"/>
        <v>0</v>
      </c>
      <c r="L38" s="590">
        <f ca="1"/>
        <v>0</v>
      </c>
      <c r="M38" s="599">
        <f ca="1"/>
        <v>0</v>
      </c>
      <c r="N38" s="583">
        <f t="shared" ca="1" si="1"/>
        <v>0</v>
      </c>
      <c r="O38" s="61"/>
    </row>
    <row r="39" spans="1:15" ht="15.75" customHeight="1" thickBot="1">
      <c r="A39" s="1974" t="str">
        <v/>
      </c>
      <c r="B39" s="591">
        <f ca="1"/>
        <v>0</v>
      </c>
      <c r="C39" s="592">
        <f ca="1"/>
        <v>0</v>
      </c>
      <c r="D39" s="592">
        <f ca="1"/>
        <v>0</v>
      </c>
      <c r="E39" s="592">
        <f ca="1"/>
        <v>0</v>
      </c>
      <c r="F39" s="592">
        <f ca="1"/>
        <v>0</v>
      </c>
      <c r="G39" s="592">
        <f ca="1"/>
        <v>0</v>
      </c>
      <c r="H39" s="592">
        <f ca="1"/>
        <v>0</v>
      </c>
      <c r="I39" s="592">
        <f ca="1"/>
        <v>0</v>
      </c>
      <c r="J39" s="592">
        <f ca="1"/>
        <v>0</v>
      </c>
      <c r="K39" s="592">
        <f ca="1"/>
        <v>0</v>
      </c>
      <c r="L39" s="592">
        <f ca="1"/>
        <v>0</v>
      </c>
      <c r="M39" s="600">
        <f ca="1"/>
        <v>0</v>
      </c>
      <c r="N39" s="593">
        <f t="shared" ca="1" si="1"/>
        <v>0</v>
      </c>
      <c r="O39" s="61"/>
    </row>
    <row r="40" spans="1:15" ht="15.75" customHeight="1" thickBot="1">
      <c r="A40" s="103" t="str">
        <f>A$28</f>
        <v>Totales</v>
      </c>
      <c r="B40" s="595">
        <f t="shared" ref="B40:M40" ca="1" si="3">SUM(B32:B39)</f>
        <v>62.380920000000003</v>
      </c>
      <c r="C40" s="596">
        <f t="shared" ca="1" si="3"/>
        <v>77.976150000000004</v>
      </c>
      <c r="D40" s="596">
        <f t="shared" ca="1" si="3"/>
        <v>85.773764999999997</v>
      </c>
      <c r="E40" s="596">
        <f t="shared" ca="1" si="3"/>
        <v>81.874957500000008</v>
      </c>
      <c r="F40" s="596">
        <f t="shared" ca="1" si="3"/>
        <v>70.178535000000011</v>
      </c>
      <c r="G40" s="596">
        <f t="shared" ca="1" si="3"/>
        <v>66.279727499999993</v>
      </c>
      <c r="H40" s="596">
        <f t="shared" ca="1" si="3"/>
        <v>62.380920000000003</v>
      </c>
      <c r="I40" s="596">
        <f t="shared" ca="1" si="3"/>
        <v>46.785690000000002</v>
      </c>
      <c r="J40" s="596">
        <f t="shared" ca="1" si="3"/>
        <v>62.380920000000003</v>
      </c>
      <c r="K40" s="596">
        <f t="shared" ca="1" si="3"/>
        <v>74.0773425</v>
      </c>
      <c r="L40" s="596">
        <f t="shared" ca="1" si="3"/>
        <v>77.976150000000004</v>
      </c>
      <c r="M40" s="597">
        <f t="shared" ca="1" si="3"/>
        <v>93.571380000000005</v>
      </c>
      <c r="N40" s="594">
        <f ca="1">SUM(B40:M40)</f>
        <v>861.63645749999989</v>
      </c>
      <c r="O40" s="61"/>
    </row>
    <row r="41" spans="1:15" ht="15">
      <c r="A41" s="213"/>
      <c r="B41" s="2796" t="str">
        <f>'Distr CV 0'!B41</f>
        <v>No tiene sentido calcular el IVA del CV en el mes en el que se imputa (cuando se vende) sino en el mes en el que se produce la compra</v>
      </c>
    </row>
    <row r="42" spans="1:15" ht="15">
      <c r="A42" s="213"/>
    </row>
    <row r="43" spans="1:15" ht="15">
      <c r="A43" s="213"/>
    </row>
    <row r="44" spans="1:15" ht="18.75" thickBot="1">
      <c r="A44" s="1969" t="str">
        <f>'Distr CV 0'!A44</f>
        <v>Costes de producción en el año</v>
      </c>
      <c r="G44" s="2710" t="str">
        <f>$K$1</f>
        <v>Año 3:  2029</v>
      </c>
      <c r="I44" s="1969" t="str">
        <f>I$18</f>
        <v>IVA NO incluido</v>
      </c>
    </row>
    <row r="45" spans="1:15" s="445" customFormat="1" ht="15.75" customHeight="1" thickBot="1">
      <c r="A45" s="446" t="str">
        <f>A$19</f>
        <v>Costes producción</v>
      </c>
      <c r="B45" s="444" t="str">
        <f t="array" ref="B45:M45">meses</f>
        <v>enero</v>
      </c>
      <c r="C45" s="440" t="str">
        <v>febrero</v>
      </c>
      <c r="D45" s="440" t="str">
        <v>marzo</v>
      </c>
      <c r="E45" s="440" t="str">
        <v>abril</v>
      </c>
      <c r="F45" s="440" t="str">
        <v>mayo</v>
      </c>
      <c r="G45" s="440" t="str">
        <v>junio</v>
      </c>
      <c r="H45" s="440" t="str">
        <v>julio</v>
      </c>
      <c r="I45" s="440" t="str">
        <v>agosto</v>
      </c>
      <c r="J45" s="440" t="str">
        <v>septiembre</v>
      </c>
      <c r="K45" s="440" t="str">
        <v>octubre</v>
      </c>
      <c r="L45" s="440" t="str">
        <v>noviembre</v>
      </c>
      <c r="M45" s="441" t="str">
        <v>diciembre</v>
      </c>
      <c r="N45" s="438" t="str">
        <f>N$7</f>
        <v>Totales</v>
      </c>
    </row>
    <row r="46" spans="1:15" ht="15.75" customHeight="1">
      <c r="A46" s="1972" t="str">
        <f t="array" ref="A46:A53">productos</f>
        <v>producto o servicio</v>
      </c>
      <c r="B46" s="587">
        <f t="array" aca="1" ref="B46:M46" ca="1">N124:Y124</f>
        <v>297.05200000000002</v>
      </c>
      <c r="C46" s="588">
        <f ca="1"/>
        <v>371.31500000000005</v>
      </c>
      <c r="D46" s="588">
        <f ca="1"/>
        <v>408.44650000000001</v>
      </c>
      <c r="E46" s="588">
        <f ca="1"/>
        <v>389.88075000000003</v>
      </c>
      <c r="F46" s="588">
        <f ca="1"/>
        <v>334.18350000000004</v>
      </c>
      <c r="G46" s="588">
        <f ca="1"/>
        <v>315.61775</v>
      </c>
      <c r="H46" s="588">
        <f ca="1"/>
        <v>297.05200000000002</v>
      </c>
      <c r="I46" s="588">
        <f ca="1"/>
        <v>222.78900000000002</v>
      </c>
      <c r="J46" s="588">
        <f ca="1"/>
        <v>297.05200000000002</v>
      </c>
      <c r="K46" s="588">
        <f ca="1"/>
        <v>352.74925000000002</v>
      </c>
      <c r="L46" s="588">
        <f ca="1"/>
        <v>371.31500000000005</v>
      </c>
      <c r="M46" s="598">
        <f ca="1"/>
        <v>445.57800000000003</v>
      </c>
      <c r="N46" s="580">
        <f t="shared" ref="N46:N54" ca="1" si="4">SUM(B46:M46)</f>
        <v>4103.0307500000008</v>
      </c>
      <c r="O46" s="61"/>
    </row>
    <row r="47" spans="1:15" ht="15.75" customHeight="1">
      <c r="A47" s="1973" t="str">
        <v/>
      </c>
      <c r="B47" s="589">
        <f t="array" aca="1" ref="B47:M47" ca="1">N142:Y142</f>
        <v>0</v>
      </c>
      <c r="C47" s="590">
        <f ca="1"/>
        <v>0</v>
      </c>
      <c r="D47" s="590">
        <f ca="1"/>
        <v>0</v>
      </c>
      <c r="E47" s="590">
        <f ca="1"/>
        <v>0</v>
      </c>
      <c r="F47" s="590">
        <f ca="1"/>
        <v>0</v>
      </c>
      <c r="G47" s="590">
        <f ca="1"/>
        <v>0</v>
      </c>
      <c r="H47" s="590">
        <f ca="1"/>
        <v>0</v>
      </c>
      <c r="I47" s="590">
        <f ca="1"/>
        <v>0</v>
      </c>
      <c r="J47" s="590">
        <f ca="1"/>
        <v>0</v>
      </c>
      <c r="K47" s="590">
        <f ca="1"/>
        <v>0</v>
      </c>
      <c r="L47" s="590">
        <f ca="1"/>
        <v>0</v>
      </c>
      <c r="M47" s="599">
        <f ca="1"/>
        <v>0</v>
      </c>
      <c r="N47" s="583">
        <f t="shared" ca="1" si="4"/>
        <v>0</v>
      </c>
      <c r="O47" s="61"/>
    </row>
    <row r="48" spans="1:15" ht="15.75" customHeight="1">
      <c r="A48" s="1973" t="str">
        <v/>
      </c>
      <c r="B48" s="589">
        <f t="array" aca="1" ref="B48:M48" ca="1">N160:Y160</f>
        <v>0</v>
      </c>
      <c r="C48" s="590">
        <f ca="1"/>
        <v>0</v>
      </c>
      <c r="D48" s="590">
        <f ca="1"/>
        <v>0</v>
      </c>
      <c r="E48" s="590">
        <f ca="1"/>
        <v>0</v>
      </c>
      <c r="F48" s="590">
        <f ca="1"/>
        <v>0</v>
      </c>
      <c r="G48" s="590">
        <f ca="1"/>
        <v>0</v>
      </c>
      <c r="H48" s="590">
        <f ca="1"/>
        <v>0</v>
      </c>
      <c r="I48" s="590">
        <f ca="1"/>
        <v>0</v>
      </c>
      <c r="J48" s="590">
        <f ca="1"/>
        <v>0</v>
      </c>
      <c r="K48" s="590">
        <f ca="1"/>
        <v>0</v>
      </c>
      <c r="L48" s="590">
        <f ca="1"/>
        <v>0</v>
      </c>
      <c r="M48" s="599">
        <f ca="1"/>
        <v>0</v>
      </c>
      <c r="N48" s="583">
        <f t="shared" ca="1" si="4"/>
        <v>0</v>
      </c>
      <c r="O48" s="61"/>
    </row>
    <row r="49" spans="1:15" ht="15.75" customHeight="1">
      <c r="A49" s="1973" t="str">
        <v/>
      </c>
      <c r="B49" s="589">
        <f t="array" aca="1" ref="B49:M49" ca="1">N178:Y178</f>
        <v>0</v>
      </c>
      <c r="C49" s="590">
        <f ca="1"/>
        <v>0</v>
      </c>
      <c r="D49" s="590">
        <f ca="1"/>
        <v>0</v>
      </c>
      <c r="E49" s="590">
        <f ca="1"/>
        <v>0</v>
      </c>
      <c r="F49" s="590">
        <f ca="1"/>
        <v>0</v>
      </c>
      <c r="G49" s="590">
        <f ca="1"/>
        <v>0</v>
      </c>
      <c r="H49" s="590">
        <f ca="1"/>
        <v>0</v>
      </c>
      <c r="I49" s="590">
        <f ca="1"/>
        <v>0</v>
      </c>
      <c r="J49" s="590">
        <f ca="1"/>
        <v>0</v>
      </c>
      <c r="K49" s="590">
        <f ca="1"/>
        <v>0</v>
      </c>
      <c r="L49" s="590">
        <f ca="1"/>
        <v>0</v>
      </c>
      <c r="M49" s="599">
        <f ca="1"/>
        <v>0</v>
      </c>
      <c r="N49" s="583">
        <f t="shared" ca="1" si="4"/>
        <v>0</v>
      </c>
      <c r="O49" s="61"/>
    </row>
    <row r="50" spans="1:15" ht="15.75" customHeight="1">
      <c r="A50" s="1973" t="str">
        <v/>
      </c>
      <c r="B50" s="589">
        <f t="array" aca="1" ref="B50:M50" ca="1">N196:Y196</f>
        <v>0</v>
      </c>
      <c r="C50" s="590">
        <f ca="1"/>
        <v>0</v>
      </c>
      <c r="D50" s="590">
        <f ca="1"/>
        <v>0</v>
      </c>
      <c r="E50" s="590">
        <f ca="1"/>
        <v>0</v>
      </c>
      <c r="F50" s="590">
        <f ca="1"/>
        <v>0</v>
      </c>
      <c r="G50" s="590">
        <f ca="1"/>
        <v>0</v>
      </c>
      <c r="H50" s="590">
        <f ca="1"/>
        <v>0</v>
      </c>
      <c r="I50" s="590">
        <f ca="1"/>
        <v>0</v>
      </c>
      <c r="J50" s="590">
        <f ca="1"/>
        <v>0</v>
      </c>
      <c r="K50" s="590">
        <f ca="1"/>
        <v>0</v>
      </c>
      <c r="L50" s="590">
        <f ca="1"/>
        <v>0</v>
      </c>
      <c r="M50" s="599">
        <f ca="1"/>
        <v>0</v>
      </c>
      <c r="N50" s="583">
        <f t="shared" ca="1" si="4"/>
        <v>0</v>
      </c>
      <c r="O50" s="61"/>
    </row>
    <row r="51" spans="1:15" ht="15.75" customHeight="1">
      <c r="A51" s="1973" t="str">
        <v/>
      </c>
      <c r="B51" s="589">
        <f t="array" aca="1" ref="B51:M51" ca="1">N214:Y214</f>
        <v>0</v>
      </c>
      <c r="C51" s="590">
        <f ca="1"/>
        <v>0</v>
      </c>
      <c r="D51" s="590">
        <f ca="1"/>
        <v>0</v>
      </c>
      <c r="E51" s="590">
        <f ca="1"/>
        <v>0</v>
      </c>
      <c r="F51" s="590">
        <f ca="1"/>
        <v>0</v>
      </c>
      <c r="G51" s="590">
        <f ca="1"/>
        <v>0</v>
      </c>
      <c r="H51" s="590">
        <f ca="1"/>
        <v>0</v>
      </c>
      <c r="I51" s="590">
        <f ca="1"/>
        <v>0</v>
      </c>
      <c r="J51" s="590">
        <f ca="1"/>
        <v>0</v>
      </c>
      <c r="K51" s="590">
        <f ca="1"/>
        <v>0</v>
      </c>
      <c r="L51" s="590">
        <f ca="1"/>
        <v>0</v>
      </c>
      <c r="M51" s="599">
        <f ca="1"/>
        <v>0</v>
      </c>
      <c r="N51" s="583">
        <f t="shared" ca="1" si="4"/>
        <v>0</v>
      </c>
      <c r="O51" s="61"/>
    </row>
    <row r="52" spans="1:15" ht="15.75" customHeight="1">
      <c r="A52" s="1973" t="str">
        <v/>
      </c>
      <c r="B52" s="589">
        <f t="array" aca="1" ref="B52:M52" ca="1">N232:Y232</f>
        <v>0</v>
      </c>
      <c r="C52" s="590">
        <f ca="1"/>
        <v>0</v>
      </c>
      <c r="D52" s="590">
        <f ca="1"/>
        <v>0</v>
      </c>
      <c r="E52" s="590">
        <f ca="1"/>
        <v>0</v>
      </c>
      <c r="F52" s="590">
        <f ca="1"/>
        <v>0</v>
      </c>
      <c r="G52" s="590">
        <f ca="1"/>
        <v>0</v>
      </c>
      <c r="H52" s="590">
        <f ca="1"/>
        <v>0</v>
      </c>
      <c r="I52" s="590">
        <f ca="1"/>
        <v>0</v>
      </c>
      <c r="J52" s="590">
        <f ca="1"/>
        <v>0</v>
      </c>
      <c r="K52" s="590">
        <f ca="1"/>
        <v>0</v>
      </c>
      <c r="L52" s="590">
        <f ca="1"/>
        <v>0</v>
      </c>
      <c r="M52" s="599">
        <f ca="1"/>
        <v>0</v>
      </c>
      <c r="N52" s="583">
        <f t="shared" ca="1" si="4"/>
        <v>0</v>
      </c>
      <c r="O52" s="61"/>
    </row>
    <row r="53" spans="1:15" ht="15.75" customHeight="1" thickBot="1">
      <c r="A53" s="1974" t="str">
        <v/>
      </c>
      <c r="B53" s="591">
        <f t="array" aca="1" ref="B53:M53" ca="1">N250:Y250</f>
        <v>0</v>
      </c>
      <c r="C53" s="592">
        <f ca="1"/>
        <v>0</v>
      </c>
      <c r="D53" s="592">
        <f ca="1"/>
        <v>0</v>
      </c>
      <c r="E53" s="592">
        <f ca="1"/>
        <v>0</v>
      </c>
      <c r="F53" s="592">
        <f ca="1"/>
        <v>0</v>
      </c>
      <c r="G53" s="592">
        <f ca="1"/>
        <v>0</v>
      </c>
      <c r="H53" s="592">
        <f ca="1"/>
        <v>0</v>
      </c>
      <c r="I53" s="592">
        <f ca="1"/>
        <v>0</v>
      </c>
      <c r="J53" s="592">
        <f ca="1"/>
        <v>0</v>
      </c>
      <c r="K53" s="592">
        <f ca="1"/>
        <v>0</v>
      </c>
      <c r="L53" s="592">
        <f ca="1"/>
        <v>0</v>
      </c>
      <c r="M53" s="600">
        <f ca="1"/>
        <v>0</v>
      </c>
      <c r="N53" s="593">
        <f t="shared" ca="1" si="4"/>
        <v>0</v>
      </c>
      <c r="O53" s="61"/>
    </row>
    <row r="54" spans="1:15" ht="15.75" customHeight="1" thickBot="1">
      <c r="A54" s="103" t="str">
        <f>A$28</f>
        <v>Totales</v>
      </c>
      <c r="B54" s="595">
        <f t="shared" ref="B54:M54" ca="1" si="5">SUM(B46:B53)</f>
        <v>297.05200000000002</v>
      </c>
      <c r="C54" s="596">
        <f t="shared" ca="1" si="5"/>
        <v>371.31500000000005</v>
      </c>
      <c r="D54" s="596">
        <f t="shared" ca="1" si="5"/>
        <v>408.44650000000001</v>
      </c>
      <c r="E54" s="596">
        <f t="shared" ca="1" si="5"/>
        <v>389.88075000000003</v>
      </c>
      <c r="F54" s="596">
        <f t="shared" ca="1" si="5"/>
        <v>334.18350000000004</v>
      </c>
      <c r="G54" s="596">
        <f t="shared" ca="1" si="5"/>
        <v>315.61775</v>
      </c>
      <c r="H54" s="596">
        <f t="shared" ca="1" si="5"/>
        <v>297.05200000000002</v>
      </c>
      <c r="I54" s="596">
        <f t="shared" ca="1" si="5"/>
        <v>222.78900000000002</v>
      </c>
      <c r="J54" s="596">
        <f t="shared" ca="1" si="5"/>
        <v>297.05200000000002</v>
      </c>
      <c r="K54" s="596">
        <f t="shared" ca="1" si="5"/>
        <v>352.74925000000002</v>
      </c>
      <c r="L54" s="596">
        <f t="shared" ca="1" si="5"/>
        <v>371.31500000000005</v>
      </c>
      <c r="M54" s="597">
        <f t="shared" ca="1" si="5"/>
        <v>445.57800000000003</v>
      </c>
      <c r="N54" s="594">
        <f t="shared" ca="1" si="4"/>
        <v>4103.0307500000008</v>
      </c>
      <c r="O54" s="61"/>
    </row>
    <row r="55" spans="1:15">
      <c r="A55" s="1003" t="s">
        <v>891</v>
      </c>
      <c r="B55" s="1003">
        <f ca="1">SUM(B124:M124,B142:M142,B160:M160,B178:M178,B196:M196,B214:M214,B232:M232,B250:M250)</f>
        <v>0</v>
      </c>
    </row>
    <row r="57" spans="1:15" ht="18.75" thickBot="1">
      <c r="A57" s="1969" t="str">
        <f>'Distr CV 0'!A57</f>
        <v>IVA soportado de los costes de producción en el año</v>
      </c>
      <c r="G57" s="2710" t="str">
        <f>$K$1</f>
        <v>Año 3:  2029</v>
      </c>
      <c r="I57" s="1969"/>
    </row>
    <row r="58" spans="1:15" s="445" customFormat="1" ht="15.75" customHeight="1" thickBot="1">
      <c r="A58" s="446" t="str">
        <f>A$19</f>
        <v>Costes producción</v>
      </c>
      <c r="B58" s="444" t="str">
        <f t="array" ref="B58:M58">meses</f>
        <v>enero</v>
      </c>
      <c r="C58" s="440" t="str">
        <v>febrero</v>
      </c>
      <c r="D58" s="440" t="str">
        <v>marzo</v>
      </c>
      <c r="E58" s="440" t="str">
        <v>abril</v>
      </c>
      <c r="F58" s="440" t="str">
        <v>mayo</v>
      </c>
      <c r="G58" s="440" t="str">
        <v>junio</v>
      </c>
      <c r="H58" s="440" t="str">
        <v>julio</v>
      </c>
      <c r="I58" s="440" t="str">
        <v>agosto</v>
      </c>
      <c r="J58" s="440" t="str">
        <v>septiembre</v>
      </c>
      <c r="K58" s="440" t="str">
        <v>octubre</v>
      </c>
      <c r="L58" s="440" t="str">
        <v>noviembre</v>
      </c>
      <c r="M58" s="441" t="str">
        <v>diciembre</v>
      </c>
      <c r="N58" s="438" t="str">
        <f>N$7</f>
        <v>Totales</v>
      </c>
    </row>
    <row r="59" spans="1:15" ht="15.75" customHeight="1">
      <c r="A59" s="1972" t="str">
        <f t="array" ref="A59:A66">productos</f>
        <v>producto o servicio</v>
      </c>
      <c r="B59" s="587">
        <f t="array" aca="1" ref="B59:M59" ca="1">N125:Y125</f>
        <v>62.380920000000003</v>
      </c>
      <c r="C59" s="588">
        <f ca="1"/>
        <v>77.976150000000004</v>
      </c>
      <c r="D59" s="588">
        <f ca="1"/>
        <v>85.773764999999997</v>
      </c>
      <c r="E59" s="588">
        <f ca="1"/>
        <v>81.874957500000008</v>
      </c>
      <c r="F59" s="588">
        <f ca="1"/>
        <v>70.178535000000011</v>
      </c>
      <c r="G59" s="588">
        <f ca="1"/>
        <v>66.279727499999993</v>
      </c>
      <c r="H59" s="588">
        <f ca="1"/>
        <v>62.380920000000003</v>
      </c>
      <c r="I59" s="588">
        <f ca="1"/>
        <v>46.785690000000002</v>
      </c>
      <c r="J59" s="588">
        <f ca="1"/>
        <v>62.380920000000003</v>
      </c>
      <c r="K59" s="588">
        <f ca="1"/>
        <v>74.0773425</v>
      </c>
      <c r="L59" s="588">
        <f ca="1"/>
        <v>77.976150000000004</v>
      </c>
      <c r="M59" s="598">
        <f ca="1"/>
        <v>93.571380000000005</v>
      </c>
      <c r="N59" s="580">
        <f t="shared" ref="N59:N67" ca="1" si="6">SUM(B59:M59)</f>
        <v>861.63645749999989</v>
      </c>
      <c r="O59" s="61"/>
    </row>
    <row r="60" spans="1:15" ht="15.75" customHeight="1">
      <c r="A60" s="1973" t="str">
        <v/>
      </c>
      <c r="B60" s="589">
        <f t="array" aca="1" ref="B60:M60" ca="1">N143:Y143</f>
        <v>0</v>
      </c>
      <c r="C60" s="590">
        <f ca="1"/>
        <v>0</v>
      </c>
      <c r="D60" s="590">
        <f ca="1"/>
        <v>0</v>
      </c>
      <c r="E60" s="590">
        <f ca="1"/>
        <v>0</v>
      </c>
      <c r="F60" s="590">
        <f ca="1"/>
        <v>0</v>
      </c>
      <c r="G60" s="590">
        <f ca="1"/>
        <v>0</v>
      </c>
      <c r="H60" s="590">
        <f ca="1"/>
        <v>0</v>
      </c>
      <c r="I60" s="590">
        <f ca="1"/>
        <v>0</v>
      </c>
      <c r="J60" s="590">
        <f ca="1"/>
        <v>0</v>
      </c>
      <c r="K60" s="590">
        <f ca="1"/>
        <v>0</v>
      </c>
      <c r="L60" s="590">
        <f ca="1"/>
        <v>0</v>
      </c>
      <c r="M60" s="599">
        <f ca="1"/>
        <v>0</v>
      </c>
      <c r="N60" s="583">
        <f t="shared" ca="1" si="6"/>
        <v>0</v>
      </c>
      <c r="O60" s="61"/>
    </row>
    <row r="61" spans="1:15" ht="15.75" customHeight="1">
      <c r="A61" s="1973" t="str">
        <v/>
      </c>
      <c r="B61" s="589">
        <f t="array" aca="1" ref="B61:M61" ca="1">N161:Y161</f>
        <v>0</v>
      </c>
      <c r="C61" s="590">
        <f ca="1"/>
        <v>0</v>
      </c>
      <c r="D61" s="590">
        <f ca="1"/>
        <v>0</v>
      </c>
      <c r="E61" s="590">
        <f ca="1"/>
        <v>0</v>
      </c>
      <c r="F61" s="590">
        <f ca="1"/>
        <v>0</v>
      </c>
      <c r="G61" s="590">
        <f ca="1"/>
        <v>0</v>
      </c>
      <c r="H61" s="590">
        <f ca="1"/>
        <v>0</v>
      </c>
      <c r="I61" s="590">
        <f ca="1"/>
        <v>0</v>
      </c>
      <c r="J61" s="590">
        <f ca="1"/>
        <v>0</v>
      </c>
      <c r="K61" s="590">
        <f ca="1"/>
        <v>0</v>
      </c>
      <c r="L61" s="590">
        <f ca="1"/>
        <v>0</v>
      </c>
      <c r="M61" s="599">
        <f ca="1"/>
        <v>0</v>
      </c>
      <c r="N61" s="583">
        <f t="shared" ca="1" si="6"/>
        <v>0</v>
      </c>
      <c r="O61" s="61"/>
    </row>
    <row r="62" spans="1:15" ht="15.75" customHeight="1">
      <c r="A62" s="1973" t="str">
        <v/>
      </c>
      <c r="B62" s="589">
        <f t="array" aca="1" ref="B62:M62" ca="1">N179:Y179</f>
        <v>0</v>
      </c>
      <c r="C62" s="590">
        <f ca="1"/>
        <v>0</v>
      </c>
      <c r="D62" s="590">
        <f ca="1"/>
        <v>0</v>
      </c>
      <c r="E62" s="590">
        <f ca="1"/>
        <v>0</v>
      </c>
      <c r="F62" s="590">
        <f ca="1"/>
        <v>0</v>
      </c>
      <c r="G62" s="590">
        <f ca="1"/>
        <v>0</v>
      </c>
      <c r="H62" s="590">
        <f ca="1"/>
        <v>0</v>
      </c>
      <c r="I62" s="590">
        <f ca="1"/>
        <v>0</v>
      </c>
      <c r="J62" s="590">
        <f ca="1"/>
        <v>0</v>
      </c>
      <c r="K62" s="590">
        <f ca="1"/>
        <v>0</v>
      </c>
      <c r="L62" s="590">
        <f ca="1"/>
        <v>0</v>
      </c>
      <c r="M62" s="599">
        <f ca="1"/>
        <v>0</v>
      </c>
      <c r="N62" s="583">
        <f t="shared" ca="1" si="6"/>
        <v>0</v>
      </c>
      <c r="O62" s="61"/>
    </row>
    <row r="63" spans="1:15" ht="15.75" customHeight="1">
      <c r="A63" s="1973" t="str">
        <v/>
      </c>
      <c r="B63" s="589">
        <f t="array" aca="1" ref="B63:M63" ca="1">N197:Y197</f>
        <v>0</v>
      </c>
      <c r="C63" s="590">
        <f ca="1"/>
        <v>0</v>
      </c>
      <c r="D63" s="590">
        <f ca="1"/>
        <v>0</v>
      </c>
      <c r="E63" s="590">
        <f ca="1"/>
        <v>0</v>
      </c>
      <c r="F63" s="590">
        <f ca="1"/>
        <v>0</v>
      </c>
      <c r="G63" s="590">
        <f ca="1"/>
        <v>0</v>
      </c>
      <c r="H63" s="590">
        <f ca="1"/>
        <v>0</v>
      </c>
      <c r="I63" s="590">
        <f ca="1"/>
        <v>0</v>
      </c>
      <c r="J63" s="590">
        <f ca="1"/>
        <v>0</v>
      </c>
      <c r="K63" s="590">
        <f ca="1"/>
        <v>0</v>
      </c>
      <c r="L63" s="590">
        <f ca="1"/>
        <v>0</v>
      </c>
      <c r="M63" s="599">
        <f ca="1"/>
        <v>0</v>
      </c>
      <c r="N63" s="583">
        <f t="shared" ca="1" si="6"/>
        <v>0</v>
      </c>
      <c r="O63" s="61"/>
    </row>
    <row r="64" spans="1:15" ht="15.75" customHeight="1">
      <c r="A64" s="1973" t="str">
        <v/>
      </c>
      <c r="B64" s="589">
        <f t="array" aca="1" ref="B64:M64" ca="1">N215:Y215</f>
        <v>0</v>
      </c>
      <c r="C64" s="590">
        <f ca="1"/>
        <v>0</v>
      </c>
      <c r="D64" s="590">
        <f ca="1"/>
        <v>0</v>
      </c>
      <c r="E64" s="590">
        <f ca="1"/>
        <v>0</v>
      </c>
      <c r="F64" s="590">
        <f ca="1"/>
        <v>0</v>
      </c>
      <c r="G64" s="590">
        <f ca="1"/>
        <v>0</v>
      </c>
      <c r="H64" s="590">
        <f ca="1"/>
        <v>0</v>
      </c>
      <c r="I64" s="590">
        <f ca="1"/>
        <v>0</v>
      </c>
      <c r="J64" s="590">
        <f ca="1"/>
        <v>0</v>
      </c>
      <c r="K64" s="590">
        <f ca="1"/>
        <v>0</v>
      </c>
      <c r="L64" s="590">
        <f ca="1"/>
        <v>0</v>
      </c>
      <c r="M64" s="599">
        <f ca="1"/>
        <v>0</v>
      </c>
      <c r="N64" s="583">
        <f t="shared" ca="1" si="6"/>
        <v>0</v>
      </c>
      <c r="O64" s="61"/>
    </row>
    <row r="65" spans="1:26" ht="15.75" customHeight="1">
      <c r="A65" s="1973" t="str">
        <v/>
      </c>
      <c r="B65" s="589">
        <f t="array" aca="1" ref="B65:M65" ca="1">N233:Y233</f>
        <v>0</v>
      </c>
      <c r="C65" s="590">
        <f ca="1"/>
        <v>0</v>
      </c>
      <c r="D65" s="590">
        <f ca="1"/>
        <v>0</v>
      </c>
      <c r="E65" s="590">
        <f ca="1"/>
        <v>0</v>
      </c>
      <c r="F65" s="590">
        <f ca="1"/>
        <v>0</v>
      </c>
      <c r="G65" s="590">
        <f ca="1"/>
        <v>0</v>
      </c>
      <c r="H65" s="590">
        <f ca="1"/>
        <v>0</v>
      </c>
      <c r="I65" s="590">
        <f ca="1"/>
        <v>0</v>
      </c>
      <c r="J65" s="590">
        <f ca="1"/>
        <v>0</v>
      </c>
      <c r="K65" s="590">
        <f ca="1"/>
        <v>0</v>
      </c>
      <c r="L65" s="590">
        <f ca="1"/>
        <v>0</v>
      </c>
      <c r="M65" s="599">
        <f ca="1"/>
        <v>0</v>
      </c>
      <c r="N65" s="583">
        <f t="shared" ca="1" si="6"/>
        <v>0</v>
      </c>
      <c r="O65" s="61"/>
    </row>
    <row r="66" spans="1:26" ht="15.75" customHeight="1" thickBot="1">
      <c r="A66" s="1974" t="str">
        <v/>
      </c>
      <c r="B66" s="591">
        <f t="array" aca="1" ref="B66:M66" ca="1">N251:Y251</f>
        <v>0</v>
      </c>
      <c r="C66" s="592">
        <f ca="1"/>
        <v>0</v>
      </c>
      <c r="D66" s="592">
        <f ca="1"/>
        <v>0</v>
      </c>
      <c r="E66" s="592">
        <f ca="1"/>
        <v>0</v>
      </c>
      <c r="F66" s="592">
        <f ca="1"/>
        <v>0</v>
      </c>
      <c r="G66" s="592">
        <f ca="1"/>
        <v>0</v>
      </c>
      <c r="H66" s="592">
        <f ca="1"/>
        <v>0</v>
      </c>
      <c r="I66" s="592">
        <f ca="1"/>
        <v>0</v>
      </c>
      <c r="J66" s="592">
        <f ca="1"/>
        <v>0</v>
      </c>
      <c r="K66" s="592">
        <f ca="1"/>
        <v>0</v>
      </c>
      <c r="L66" s="592">
        <f ca="1"/>
        <v>0</v>
      </c>
      <c r="M66" s="600">
        <f ca="1"/>
        <v>0</v>
      </c>
      <c r="N66" s="593">
        <f t="shared" ca="1" si="6"/>
        <v>0</v>
      </c>
      <c r="O66" s="61"/>
    </row>
    <row r="67" spans="1:26" ht="15.75" customHeight="1" thickBot="1">
      <c r="A67" s="103" t="str">
        <f>A$28</f>
        <v>Totales</v>
      </c>
      <c r="B67" s="595">
        <f t="shared" ref="B67:M67" ca="1" si="7">SUM(B59:B66)</f>
        <v>62.380920000000003</v>
      </c>
      <c r="C67" s="596">
        <f t="shared" ca="1" si="7"/>
        <v>77.976150000000004</v>
      </c>
      <c r="D67" s="596">
        <f t="shared" ca="1" si="7"/>
        <v>85.773764999999997</v>
      </c>
      <c r="E67" s="596">
        <f t="shared" ca="1" si="7"/>
        <v>81.874957500000008</v>
      </c>
      <c r="F67" s="596">
        <f t="shared" ca="1" si="7"/>
        <v>70.178535000000011</v>
      </c>
      <c r="G67" s="596">
        <f t="shared" ca="1" si="7"/>
        <v>66.279727499999993</v>
      </c>
      <c r="H67" s="596">
        <f t="shared" ca="1" si="7"/>
        <v>62.380920000000003</v>
      </c>
      <c r="I67" s="596">
        <f t="shared" ca="1" si="7"/>
        <v>46.785690000000002</v>
      </c>
      <c r="J67" s="596">
        <f t="shared" ca="1" si="7"/>
        <v>62.380920000000003</v>
      </c>
      <c r="K67" s="596">
        <f t="shared" ca="1" si="7"/>
        <v>74.0773425</v>
      </c>
      <c r="L67" s="596">
        <f t="shared" ca="1" si="7"/>
        <v>77.976150000000004</v>
      </c>
      <c r="M67" s="597">
        <f t="shared" ca="1" si="7"/>
        <v>93.571380000000005</v>
      </c>
      <c r="N67" s="594">
        <f t="shared" ca="1" si="6"/>
        <v>861.63645749999989</v>
      </c>
      <c r="O67" s="61"/>
    </row>
    <row r="68" spans="1:26">
      <c r="A68" s="1003" t="s">
        <v>892</v>
      </c>
      <c r="B68" s="1003">
        <f ca="1">SUM(B125:M125,B143:M143,B161:M161,B179:M179,B197:M197,B215:M215,B233:M233,B251:M251)</f>
        <v>0</v>
      </c>
    </row>
    <row r="69" spans="1:26" ht="15">
      <c r="A69" s="213"/>
    </row>
    <row r="70" spans="1:26" ht="18.75" thickBot="1">
      <c r="A70" s="1969" t="str">
        <f>'Distr CV 0'!A70</f>
        <v>Distribución de los costes de producción por meses de las unidades vendidas en el año</v>
      </c>
      <c r="I70" s="1969" t="str">
        <f>I$18</f>
        <v>IVA NO incluido</v>
      </c>
    </row>
    <row r="71" spans="1:26" s="445" customFormat="1" ht="32.25" customHeight="1" thickBot="1">
      <c r="A71" s="446" t="str">
        <f>A$19</f>
        <v>Costes producción</v>
      </c>
      <c r="B71" s="1987" t="str">
        <f t="array" ref="B71:M71">'Estimaciones Ventas'!B31:M31</f>
        <v>enero 
2028</v>
      </c>
      <c r="C71" s="1987" t="str">
        <v>febrero 
2028</v>
      </c>
      <c r="D71" s="1987" t="str">
        <v>marzo 
2028</v>
      </c>
      <c r="E71" s="1987" t="str">
        <v>abril 
2028</v>
      </c>
      <c r="F71" s="1987" t="str">
        <v>mayo 
2028</v>
      </c>
      <c r="G71" s="1987" t="str">
        <v>junio 
2028</v>
      </c>
      <c r="H71" s="1987" t="str">
        <v>julio 
2028</v>
      </c>
      <c r="I71" s="1987" t="str">
        <v>agosto 
2028</v>
      </c>
      <c r="J71" s="1987" t="str">
        <v>septiembre 
2028</v>
      </c>
      <c r="K71" s="1987" t="str">
        <v>octubre 
2028</v>
      </c>
      <c r="L71" s="1987" t="str">
        <v>noviembre 
2028</v>
      </c>
      <c r="M71" s="1987" t="str">
        <v>diciembre 
2028</v>
      </c>
      <c r="N71" s="2703" t="str">
        <f t="array" ref="N71:Y71">'Estimaciones Ventas'!B44:M44</f>
        <v>enero 
2029</v>
      </c>
      <c r="O71" s="2704" t="str">
        <v>febrero 
2029</v>
      </c>
      <c r="P71" s="2704" t="str">
        <v>marzo 
2029</v>
      </c>
      <c r="Q71" s="2704" t="str">
        <v>abril 
2029</v>
      </c>
      <c r="R71" s="2704" t="str">
        <v>mayo 
2029</v>
      </c>
      <c r="S71" s="2704" t="str">
        <v>junio 
2029</v>
      </c>
      <c r="T71" s="2704" t="str">
        <v>julio 
2029</v>
      </c>
      <c r="U71" s="2704" t="str">
        <v>agosto 
2029</v>
      </c>
      <c r="V71" s="2704" t="str">
        <v>septiembre 
2029</v>
      </c>
      <c r="W71" s="2704" t="str">
        <v>octubre 
2029</v>
      </c>
      <c r="X71" s="2704" t="str">
        <v>noviembre 
2029</v>
      </c>
      <c r="Y71" s="2705" t="str">
        <v>diciembre 
2029</v>
      </c>
      <c r="Z71" s="61"/>
    </row>
    <row r="72" spans="1:26" ht="15.75" customHeight="1">
      <c r="A72" s="1970" t="s">
        <v>862</v>
      </c>
      <c r="B72" s="1967"/>
      <c r="C72" s="1967"/>
      <c r="D72" s="1967"/>
      <c r="E72" s="1967"/>
      <c r="F72" s="1967"/>
      <c r="G72" s="1967"/>
      <c r="H72" s="1965">
        <v>0</v>
      </c>
      <c r="I72" s="1966">
        <v>0</v>
      </c>
      <c r="J72" s="1966">
        <v>0</v>
      </c>
      <c r="K72" s="1966">
        <v>0</v>
      </c>
      <c r="L72" s="1966">
        <v>0</v>
      </c>
      <c r="M72" s="1966">
        <v>0</v>
      </c>
      <c r="N72" s="588">
        <f t="array" aca="1" ref="N72" ca="1">SUM(B20:B27*Produccion!$N$8:$N$15)</f>
        <v>297.05200000000002</v>
      </c>
      <c r="O72" s="588">
        <f t="array" aca="1" ref="O72" ca="1">SUM(C20:C27*Produccion!$N$8:$N$15)</f>
        <v>371.31500000000005</v>
      </c>
      <c r="P72" s="588">
        <f t="array" aca="1" ref="P72" ca="1">SUM(D20:D27*Produccion!$N$8:$N$15)</f>
        <v>408.44650000000001</v>
      </c>
      <c r="Q72" s="588">
        <f t="array" aca="1" ref="Q72" ca="1">SUM(E20:E27*Produccion!$N$8:$N$15)</f>
        <v>389.88075000000003</v>
      </c>
      <c r="R72" s="588">
        <f t="array" aca="1" ref="R72" ca="1">SUM(F20:F27*Produccion!$N$8:$N$15)</f>
        <v>334.18350000000004</v>
      </c>
      <c r="S72" s="588">
        <f t="array" aca="1" ref="S72" ca="1">SUM(G20:G27*Produccion!$N$8:$N$15)</f>
        <v>315.61775</v>
      </c>
      <c r="T72" s="588">
        <f t="array" aca="1" ref="T72" ca="1">SUM(H20:H27*Produccion!$N$8:$N$15)</f>
        <v>297.05200000000002</v>
      </c>
      <c r="U72" s="588">
        <f t="array" aca="1" ref="U72" ca="1">SUM(I20:I27*Produccion!$N$8:$N$15)</f>
        <v>222.78900000000002</v>
      </c>
      <c r="V72" s="588">
        <f t="array" aca="1" ref="V72" ca="1">SUM(J20:J27*Produccion!$N$8:$N$15)</f>
        <v>297.05200000000002</v>
      </c>
      <c r="W72" s="588">
        <f t="array" aca="1" ref="W72" ca="1">SUM(K20:K27*Produccion!$N$8:$N$15)</f>
        <v>352.74925000000002</v>
      </c>
      <c r="X72" s="588">
        <f t="array" aca="1" ref="X72" ca="1">SUM(L20:L27*Produccion!$N$8:$N$15)</f>
        <v>371.31500000000005</v>
      </c>
      <c r="Y72" s="1985">
        <f t="array" aca="1" ref="Y72" ca="1">SUM(M20:M27*Produccion!$N$8:$N$15)</f>
        <v>445.57800000000003</v>
      </c>
    </row>
    <row r="73" spans="1:26" ht="15.75" customHeight="1">
      <c r="A73" s="1971" t="s">
        <v>864</v>
      </c>
      <c r="B73" s="1967"/>
      <c r="C73" s="1967"/>
      <c r="D73" s="1967"/>
      <c r="E73" s="1967"/>
      <c r="F73" s="1967"/>
      <c r="G73" s="1967"/>
      <c r="H73" s="1967"/>
      <c r="I73" s="1964"/>
      <c r="J73" s="1964"/>
      <c r="K73" s="1964"/>
      <c r="L73" s="1964"/>
      <c r="M73" s="590">
        <f t="array" aca="1" ref="M73" ca="1">SUM(B20:B27*Produccion!$M$8:$M$15)</f>
        <v>0</v>
      </c>
      <c r="N73" s="590">
        <f t="array" aca="1" ref="N73" ca="1">SUM(C20:C27*Produccion!$M$8:$M$15)</f>
        <v>0</v>
      </c>
      <c r="O73" s="590">
        <f t="array" aca="1" ref="O73" ca="1">SUM(D20:D27*Produccion!$M$8:$M$15)</f>
        <v>0</v>
      </c>
      <c r="P73" s="590">
        <f t="array" aca="1" ref="P73" ca="1">SUM(E20:E27*Produccion!$M$8:$M$15)</f>
        <v>0</v>
      </c>
      <c r="Q73" s="590">
        <f t="array" aca="1" ref="Q73" ca="1">SUM(F20:F27*Produccion!$M$8:$M$15)</f>
        <v>0</v>
      </c>
      <c r="R73" s="590">
        <f t="array" aca="1" ref="R73" ca="1">SUM(G20:G27*Produccion!$M$8:$M$15)</f>
        <v>0</v>
      </c>
      <c r="S73" s="590">
        <f t="array" aca="1" ref="S73" ca="1">SUM(H20:H27*Produccion!$M$8:$M$15)</f>
        <v>0</v>
      </c>
      <c r="T73" s="590">
        <f t="array" aca="1" ref="T73" ca="1">SUM(I20:I27*Produccion!$M$8:$M$15)</f>
        <v>0</v>
      </c>
      <c r="U73" s="590">
        <f t="array" aca="1" ref="U73" ca="1">SUM(J20:J27*Produccion!$M$8:$M$15)</f>
        <v>0</v>
      </c>
      <c r="V73" s="590">
        <f t="array" aca="1" ref="V73" ca="1">SUM(K20:K27*Produccion!$M$8:$M$15)</f>
        <v>0</v>
      </c>
      <c r="W73" s="590">
        <f t="array" aca="1" ref="W73" ca="1">SUM(L20:L27*Produccion!$M$8:$M$15)</f>
        <v>0</v>
      </c>
      <c r="X73" s="590">
        <f t="array" aca="1" ref="X73" ca="1">SUM(M20:M27*Produccion!$M$8:$M$15)</f>
        <v>0</v>
      </c>
      <c r="Y73" s="1983">
        <f t="array" aca="1" ref="Y73:Y84" ca="1">'Distr CV 4'!M73:M84</f>
        <v>0</v>
      </c>
    </row>
    <row r="74" spans="1:26" ht="15.75" customHeight="1">
      <c r="A74" s="1971" t="s">
        <v>865</v>
      </c>
      <c r="B74" s="1967"/>
      <c r="C74" s="1967"/>
      <c r="D74" s="1967"/>
      <c r="E74" s="1967"/>
      <c r="F74" s="1967"/>
      <c r="G74" s="1967"/>
      <c r="H74" s="1967"/>
      <c r="I74" s="1964"/>
      <c r="J74" s="1964"/>
      <c r="K74" s="1964"/>
      <c r="L74" s="590">
        <f t="array" aca="1" ref="L74" ca="1">SUM(B20:B27*Produccion!$L$8:$L$15)</f>
        <v>0</v>
      </c>
      <c r="M74" s="590">
        <f t="array" aca="1" ref="M74" ca="1">SUM(C20:C27*Produccion!$L$8:$L$15)</f>
        <v>0</v>
      </c>
      <c r="N74" s="590">
        <f t="array" aca="1" ref="N74" ca="1">SUM(D20:D27*Produccion!$L$8:$L$15)</f>
        <v>0</v>
      </c>
      <c r="O74" s="590">
        <f t="array" aca="1" ref="O74" ca="1">SUM(E20:E27*Produccion!$L$8:$L$15)</f>
        <v>0</v>
      </c>
      <c r="P74" s="590">
        <f t="array" aca="1" ref="P74" ca="1">SUM(F20:F27*Produccion!$L$8:$L$15)</f>
        <v>0</v>
      </c>
      <c r="Q74" s="590">
        <f t="array" aca="1" ref="Q74" ca="1">SUM(G20:G27*Produccion!$L$8:$L$15)</f>
        <v>0</v>
      </c>
      <c r="R74" s="590">
        <f t="array" aca="1" ref="R74" ca="1">SUM(H20:H27*Produccion!$L$8:$L$15)</f>
        <v>0</v>
      </c>
      <c r="S74" s="590">
        <f t="array" aca="1" ref="S74" ca="1">SUM(I20:I27*Produccion!$L$8:$L$15)</f>
        <v>0</v>
      </c>
      <c r="T74" s="590">
        <f t="array" aca="1" ref="T74" ca="1">SUM(J20:J27*Produccion!$L$8:$L$15)</f>
        <v>0</v>
      </c>
      <c r="U74" s="590">
        <f t="array" aca="1" ref="U74" ca="1">SUM(K20:K27*Produccion!$L$8:$L$15)</f>
        <v>0</v>
      </c>
      <c r="V74" s="590">
        <f t="array" aca="1" ref="V74" ca="1">SUM(L20:L27*Produccion!$L$8:$L$15)</f>
        <v>0</v>
      </c>
      <c r="W74" s="590">
        <f t="array" aca="1" ref="W74" ca="1">SUM(M20:M27*Produccion!$L$8:$L$15)</f>
        <v>0</v>
      </c>
      <c r="X74" s="1964">
        <f t="array" aca="1" ref="X74:X84" ca="1">'Distr CV 4'!L74:L84</f>
        <v>0</v>
      </c>
      <c r="Y74" s="1983">
        <f ca="1"/>
        <v>0</v>
      </c>
    </row>
    <row r="75" spans="1:26" ht="15.75" customHeight="1">
      <c r="A75" s="1971" t="s">
        <v>866</v>
      </c>
      <c r="B75" s="1967"/>
      <c r="C75" s="1967"/>
      <c r="D75" s="1967"/>
      <c r="E75" s="1967"/>
      <c r="F75" s="1967"/>
      <c r="G75" s="1967"/>
      <c r="H75" s="1967"/>
      <c r="I75" s="1964"/>
      <c r="J75" s="1964"/>
      <c r="K75" s="590">
        <f t="array" aca="1" ref="K75" ca="1">SUM(B20:B27*Produccion!$K$8:$K$15)</f>
        <v>0</v>
      </c>
      <c r="L75" s="590">
        <f t="array" aca="1" ref="L75" ca="1">SUM(C20:C27*Produccion!$K$8:$K$15)</f>
        <v>0</v>
      </c>
      <c r="M75" s="590">
        <f t="array" aca="1" ref="M75" ca="1">SUM(D20:D27*Produccion!$K$8:$K$15)</f>
        <v>0</v>
      </c>
      <c r="N75" s="590">
        <f t="array" aca="1" ref="N75" ca="1">SUM(E20:E27*Produccion!$K$8:$K$15)</f>
        <v>0</v>
      </c>
      <c r="O75" s="590">
        <f t="array" aca="1" ref="O75" ca="1">SUM(F20:F27*Produccion!$K$8:$K$15)</f>
        <v>0</v>
      </c>
      <c r="P75" s="590">
        <f t="array" aca="1" ref="P75" ca="1">SUM(G20:G27*Produccion!$K$8:$K$15)</f>
        <v>0</v>
      </c>
      <c r="Q75" s="590">
        <f t="array" aca="1" ref="Q75" ca="1">SUM(H20:H27*Produccion!$K$8:$K$15)</f>
        <v>0</v>
      </c>
      <c r="R75" s="590">
        <f t="array" aca="1" ref="R75" ca="1">SUM(I20:I27*Produccion!$K$8:$K$15)</f>
        <v>0</v>
      </c>
      <c r="S75" s="590">
        <f t="array" aca="1" ref="S75" ca="1">SUM(J20:J27*Produccion!$K$8:$K$15)</f>
        <v>0</v>
      </c>
      <c r="T75" s="590">
        <f t="array" aca="1" ref="T75" ca="1">SUM(K20:K27*Produccion!$K$8:$K$15)</f>
        <v>0</v>
      </c>
      <c r="U75" s="590">
        <f t="array" aca="1" ref="U75" ca="1">SUM(L20:L27*Produccion!$K$8:$K$15)</f>
        <v>0</v>
      </c>
      <c r="V75" s="590">
        <f t="array" aca="1" ref="V75" ca="1">SUM(M20:M27*Produccion!$K$8:$K$15)</f>
        <v>0</v>
      </c>
      <c r="W75" s="1964">
        <f t="array" aca="1" ref="W75:W84" ca="1">'Distr CV 4'!K75:K84</f>
        <v>0</v>
      </c>
      <c r="X75" s="1964">
        <f ca="1"/>
        <v>0</v>
      </c>
      <c r="Y75" s="1983">
        <f ca="1"/>
        <v>0</v>
      </c>
    </row>
    <row r="76" spans="1:26" ht="15.75" customHeight="1">
      <c r="A76" s="1971" t="s">
        <v>867</v>
      </c>
      <c r="B76" s="1967"/>
      <c r="C76" s="1967"/>
      <c r="D76" s="1967"/>
      <c r="E76" s="1967"/>
      <c r="F76" s="1967"/>
      <c r="G76" s="1967"/>
      <c r="H76" s="1967"/>
      <c r="I76" s="1964"/>
      <c r="J76" s="590">
        <f t="array" aca="1" ref="J76" ca="1">SUM(B20:B27*Produccion!$J$8:$J$15)</f>
        <v>0</v>
      </c>
      <c r="K76" s="590">
        <f t="array" aca="1" ref="K76" ca="1">SUM(C20:C27*Produccion!$J$8:$J$15)</f>
        <v>0</v>
      </c>
      <c r="L76" s="590">
        <f t="array" aca="1" ref="L76" ca="1">SUM(D20:D27*Produccion!$J$8:$J$15)</f>
        <v>0</v>
      </c>
      <c r="M76" s="590">
        <f t="array" aca="1" ref="M76" ca="1">SUM(E20:E27*Produccion!$J$8:$J$15)</f>
        <v>0</v>
      </c>
      <c r="N76" s="590">
        <f t="array" aca="1" ref="N76" ca="1">SUM(F20:F27*Produccion!$J$8:$J$15)</f>
        <v>0</v>
      </c>
      <c r="O76" s="590">
        <f t="array" aca="1" ref="O76" ca="1">SUM(G20:G27*Produccion!$J$8:$J$15)</f>
        <v>0</v>
      </c>
      <c r="P76" s="590">
        <f t="array" aca="1" ref="P76" ca="1">SUM(H20:H27*Produccion!$J$8:$J$15)</f>
        <v>0</v>
      </c>
      <c r="Q76" s="590">
        <f t="array" aca="1" ref="Q76" ca="1">SUM(I20:I27*Produccion!$J$8:$J$15)</f>
        <v>0</v>
      </c>
      <c r="R76" s="590">
        <f t="array" aca="1" ref="R76" ca="1">SUM(J20:J27*Produccion!$J$8:$J$15)</f>
        <v>0</v>
      </c>
      <c r="S76" s="590">
        <f t="array" aca="1" ref="S76" ca="1">SUM(K20:K27*Produccion!$J$8:$J$15)</f>
        <v>0</v>
      </c>
      <c r="T76" s="590">
        <f t="array" aca="1" ref="T76" ca="1">SUM(L20:L27*Produccion!$J$8:$J$15)</f>
        <v>0</v>
      </c>
      <c r="U76" s="590">
        <f t="array" aca="1" ref="U76" ca="1">SUM(M20:M27*Produccion!$J$8:$J$15)</f>
        <v>0</v>
      </c>
      <c r="V76" s="1964">
        <f t="array" aca="1" ref="V76:V84" ca="1">'Distr CV 4'!J76:J84</f>
        <v>0</v>
      </c>
      <c r="W76" s="1964">
        <f ca="1"/>
        <v>0</v>
      </c>
      <c r="X76" s="1964">
        <f ca="1"/>
        <v>0</v>
      </c>
      <c r="Y76" s="1983">
        <f ca="1"/>
        <v>0</v>
      </c>
    </row>
    <row r="77" spans="1:26" ht="15.75" customHeight="1">
      <c r="A77" s="1971" t="s">
        <v>868</v>
      </c>
      <c r="B77" s="1967"/>
      <c r="C77" s="1967"/>
      <c r="D77" s="1967"/>
      <c r="E77" s="1967"/>
      <c r="F77" s="1967"/>
      <c r="G77" s="1967"/>
      <c r="H77" s="1967"/>
      <c r="I77" s="590">
        <f t="array" aca="1" ref="I77" ca="1">SUM(B20:B27*Produccion!$I$8:$I$15)</f>
        <v>0</v>
      </c>
      <c r="J77" s="590">
        <f t="array" aca="1" ref="J77" ca="1">SUM(C20:C27*Produccion!$I$8:$I$15)</f>
        <v>0</v>
      </c>
      <c r="K77" s="590">
        <f t="array" aca="1" ref="K77" ca="1">SUM(D20:D27*Produccion!$I$8:$I$15)</f>
        <v>0</v>
      </c>
      <c r="L77" s="590">
        <f t="array" aca="1" ref="L77" ca="1">SUM(E20:E27*Produccion!$I$8:$I$15)</f>
        <v>0</v>
      </c>
      <c r="M77" s="590">
        <f t="array" aca="1" ref="M77" ca="1">SUM(F20:F27*Produccion!$I$8:$I$15)</f>
        <v>0</v>
      </c>
      <c r="N77" s="590">
        <f t="array" aca="1" ref="N77" ca="1">SUM(G20:G27*Produccion!$I$8:$I$15)</f>
        <v>0</v>
      </c>
      <c r="O77" s="590">
        <f t="array" aca="1" ref="O77" ca="1">SUM(H20:H27*Produccion!$I$8:$I$15)</f>
        <v>0</v>
      </c>
      <c r="P77" s="590">
        <f t="array" aca="1" ref="P77" ca="1">SUM(I20:I27*Produccion!$I$8:$I$15)</f>
        <v>0</v>
      </c>
      <c r="Q77" s="590">
        <f t="array" aca="1" ref="Q77" ca="1">SUM(J20:J27*Produccion!$I$8:$I$15)</f>
        <v>0</v>
      </c>
      <c r="R77" s="590">
        <f t="array" aca="1" ref="R77" ca="1">SUM(K20:K27*Produccion!$I$8:$I$15)</f>
        <v>0</v>
      </c>
      <c r="S77" s="590">
        <f t="array" aca="1" ref="S77" ca="1">SUM(L20:L27*Produccion!$I$8:$I$15)</f>
        <v>0</v>
      </c>
      <c r="T77" s="590">
        <f t="array" aca="1" ref="T77" ca="1">SUM(M20:M27*Produccion!$I$8:$I$15)</f>
        <v>0</v>
      </c>
      <c r="U77" s="1964">
        <f t="array" aca="1" ref="U77:U84" ca="1">'Distr CV 4'!I77:I84</f>
        <v>0</v>
      </c>
      <c r="V77" s="1964">
        <f ca="1"/>
        <v>0</v>
      </c>
      <c r="W77" s="1964">
        <f ca="1"/>
        <v>0</v>
      </c>
      <c r="X77" s="1964">
        <f ca="1"/>
        <v>0</v>
      </c>
      <c r="Y77" s="1983">
        <f ca="1"/>
        <v>0</v>
      </c>
    </row>
    <row r="78" spans="1:26" ht="15.75" customHeight="1">
      <c r="A78" s="1971" t="s">
        <v>869</v>
      </c>
      <c r="B78" s="1967"/>
      <c r="C78" s="1967"/>
      <c r="D78" s="1967"/>
      <c r="E78" s="1967"/>
      <c r="F78" s="1967"/>
      <c r="G78" s="1967"/>
      <c r="H78" s="590">
        <f t="array" aca="1" ref="H78" ca="1">SUM(B20:B27*Produccion!$H$8:$H$15)</f>
        <v>0</v>
      </c>
      <c r="I78" s="590">
        <f t="array" aca="1" ref="I78" ca="1">SUM(C20:C27*Produccion!$H$8:$H$15)</f>
        <v>0</v>
      </c>
      <c r="J78" s="590">
        <f t="array" aca="1" ref="J78" ca="1">SUM(D20:D27*Produccion!$H$8:$H$15)</f>
        <v>0</v>
      </c>
      <c r="K78" s="590">
        <f t="array" aca="1" ref="K78" ca="1">SUM(E20:E27*Produccion!$H$8:$H$15)</f>
        <v>0</v>
      </c>
      <c r="L78" s="590">
        <f t="array" aca="1" ref="L78" ca="1">SUM(F20:F27*Produccion!$H$8:$H$15)</f>
        <v>0</v>
      </c>
      <c r="M78" s="590">
        <f t="array" aca="1" ref="M78" ca="1">SUM(G20:G27*Produccion!$H$8:$H$15)</f>
        <v>0</v>
      </c>
      <c r="N78" s="590">
        <f t="array" aca="1" ref="N78" ca="1">SUM(H20:H27*Produccion!$H$8:$H$15)</f>
        <v>0</v>
      </c>
      <c r="O78" s="590">
        <f t="array" aca="1" ref="O78" ca="1">SUM(I20:I27*Produccion!$H$8:$H$15)</f>
        <v>0</v>
      </c>
      <c r="P78" s="590">
        <f t="array" aca="1" ref="P78" ca="1">SUM(J20:J27*Produccion!$H$8:$H$15)</f>
        <v>0</v>
      </c>
      <c r="Q78" s="590">
        <f t="array" aca="1" ref="Q78" ca="1">SUM(K20:K27*Produccion!$H$8:$H$15)</f>
        <v>0</v>
      </c>
      <c r="R78" s="590">
        <f t="array" aca="1" ref="R78" ca="1">SUM(L20:L27*Produccion!$H$8:$H$15)</f>
        <v>0</v>
      </c>
      <c r="S78" s="590">
        <f t="array" aca="1" ref="S78" ca="1">SUM(M20:M27*Produccion!$H$8:$H$15)</f>
        <v>0</v>
      </c>
      <c r="T78" s="1964">
        <f t="array" aca="1" ref="T78:T84" ca="1">'Distr CV 4'!H78:H84</f>
        <v>0</v>
      </c>
      <c r="U78" s="1964">
        <f ca="1"/>
        <v>0</v>
      </c>
      <c r="V78" s="1964">
        <f ca="1"/>
        <v>0</v>
      </c>
      <c r="W78" s="1964">
        <f ca="1"/>
        <v>0</v>
      </c>
      <c r="X78" s="1964">
        <f ca="1"/>
        <v>0</v>
      </c>
      <c r="Y78" s="1983">
        <f ca="1"/>
        <v>0</v>
      </c>
    </row>
    <row r="79" spans="1:26" ht="15.75" customHeight="1">
      <c r="A79" s="1971" t="s">
        <v>870</v>
      </c>
      <c r="B79" s="1967"/>
      <c r="C79" s="1967"/>
      <c r="D79" s="1967"/>
      <c r="E79" s="1967"/>
      <c r="F79" s="1967"/>
      <c r="G79" s="592">
        <f t="array" aca="1" ref="G79" ca="1">SUM(B20:B27*Produccion!$G$8:$G$15)</f>
        <v>0</v>
      </c>
      <c r="H79" s="592">
        <f t="array" aca="1" ref="H79" ca="1">SUM(C20:C27*Produccion!$G$8:$G$15)</f>
        <v>0</v>
      </c>
      <c r="I79" s="592">
        <f t="array" aca="1" ref="I79" ca="1">SUM(D20:D27*Produccion!$G$8:$G$15)</f>
        <v>0</v>
      </c>
      <c r="J79" s="592">
        <f t="array" aca="1" ref="J79" ca="1">SUM(E20:E27*Produccion!$G$8:$G$15)</f>
        <v>0</v>
      </c>
      <c r="K79" s="592">
        <f t="array" aca="1" ref="K79" ca="1">SUM(F20:F27*Produccion!$G$8:$G$15)</f>
        <v>0</v>
      </c>
      <c r="L79" s="592">
        <f t="array" aca="1" ref="L79" ca="1">SUM(G20:G27*Produccion!$G$8:$G$15)</f>
        <v>0</v>
      </c>
      <c r="M79" s="592">
        <f t="array" aca="1" ref="M79" ca="1">SUM(H20:H27*Produccion!$G$8:$G$15)</f>
        <v>0</v>
      </c>
      <c r="N79" s="592">
        <f t="array" aca="1" ref="N79" ca="1">SUM(I20:I27*Produccion!$G$8:$G$15)</f>
        <v>0</v>
      </c>
      <c r="O79" s="592">
        <f t="array" aca="1" ref="O79" ca="1">SUM(J20:J27*Produccion!$G$8:$G$15)</f>
        <v>0</v>
      </c>
      <c r="P79" s="592">
        <f t="array" aca="1" ref="P79" ca="1">SUM(K20:K27*Produccion!$G$8:$G$15)</f>
        <v>0</v>
      </c>
      <c r="Q79" s="592">
        <f t="array" aca="1" ref="Q79" ca="1">SUM(L20:L27*Produccion!$G$8:$G$15)</f>
        <v>0</v>
      </c>
      <c r="R79" s="592">
        <f t="array" aca="1" ref="R79" ca="1">SUM(M20:M27*Produccion!$G$8:$G$15)</f>
        <v>0</v>
      </c>
      <c r="S79" s="1968">
        <f t="array" aca="1" ref="S79:S84" ca="1">'Distr CV 4'!G79:G84</f>
        <v>0</v>
      </c>
      <c r="T79" s="1968">
        <f ca="1"/>
        <v>0</v>
      </c>
      <c r="U79" s="1968">
        <f ca="1"/>
        <v>0</v>
      </c>
      <c r="V79" s="1968">
        <f ca="1"/>
        <v>0</v>
      </c>
      <c r="W79" s="1968">
        <f ca="1"/>
        <v>0</v>
      </c>
      <c r="X79" s="1968">
        <f ca="1"/>
        <v>0</v>
      </c>
      <c r="Y79" s="1986">
        <f ca="1"/>
        <v>0</v>
      </c>
    </row>
    <row r="80" spans="1:26" ht="15.75" customHeight="1">
      <c r="A80" s="1971" t="s">
        <v>871</v>
      </c>
      <c r="B80" s="1967"/>
      <c r="C80" s="1967"/>
      <c r="D80" s="1967"/>
      <c r="E80" s="1967"/>
      <c r="F80" s="592">
        <f t="array" aca="1" ref="F80" ca="1">SUM(B20:B27*Produccion!$F$8:$F$15)</f>
        <v>0</v>
      </c>
      <c r="G80" s="592">
        <f t="array" aca="1" ref="G80" ca="1">SUM(C20:C27*Produccion!$F$8:$F$15)</f>
        <v>0</v>
      </c>
      <c r="H80" s="592">
        <f t="array" aca="1" ref="H80" ca="1">SUM(D20:D27*Produccion!$F$8:$F$15)</f>
        <v>0</v>
      </c>
      <c r="I80" s="592">
        <f t="array" aca="1" ref="I80" ca="1">SUM(E20:E27*Produccion!$F$8:$F$15)</f>
        <v>0</v>
      </c>
      <c r="J80" s="592">
        <f t="array" aca="1" ref="J80" ca="1">SUM(F20:F27*Produccion!$F$8:$F$15)</f>
        <v>0</v>
      </c>
      <c r="K80" s="592">
        <f t="array" aca="1" ref="K80" ca="1">SUM(G20:G27*Produccion!$F$8:$F$15)</f>
        <v>0</v>
      </c>
      <c r="L80" s="592">
        <f t="array" aca="1" ref="L80" ca="1">SUM(H20:H27*Produccion!$F$8:$F$15)</f>
        <v>0</v>
      </c>
      <c r="M80" s="592">
        <f t="array" aca="1" ref="M80" ca="1">SUM(I20:I27*Produccion!$F$8:$F$15)</f>
        <v>0</v>
      </c>
      <c r="N80" s="592">
        <f t="array" aca="1" ref="N80" ca="1">SUM(J20:J27*Produccion!$F$8:$F$15)</f>
        <v>0</v>
      </c>
      <c r="O80" s="592">
        <f t="array" aca="1" ref="O80" ca="1">SUM(K20:K27*Produccion!$F$8:$F$15)</f>
        <v>0</v>
      </c>
      <c r="P80" s="592">
        <f t="array" aca="1" ref="P80" ca="1">SUM(L20:L27*Produccion!$F$8:$F$15)</f>
        <v>0</v>
      </c>
      <c r="Q80" s="592">
        <f t="array" aca="1" ref="Q80" ca="1">SUM(M20:M27*Produccion!$F$8:$F$15)</f>
        <v>0</v>
      </c>
      <c r="R80" s="1968">
        <f t="array" aca="1" ref="R80:R84" ca="1">'Distr CV 4'!F80:F84</f>
        <v>0</v>
      </c>
      <c r="S80" s="1968">
        <f ca="1"/>
        <v>0</v>
      </c>
      <c r="T80" s="1968">
        <f ca="1"/>
        <v>0</v>
      </c>
      <c r="U80" s="1968">
        <f ca="1"/>
        <v>0</v>
      </c>
      <c r="V80" s="1968">
        <f ca="1"/>
        <v>0</v>
      </c>
      <c r="W80" s="1968">
        <f ca="1"/>
        <v>0</v>
      </c>
      <c r="X80" s="1968">
        <f ca="1"/>
        <v>0</v>
      </c>
      <c r="Y80" s="1986">
        <f ca="1"/>
        <v>0</v>
      </c>
    </row>
    <row r="81" spans="1:26" ht="15.75" customHeight="1">
      <c r="A81" s="1971" t="s">
        <v>872</v>
      </c>
      <c r="B81" s="1967"/>
      <c r="C81" s="1967"/>
      <c r="D81" s="1967"/>
      <c r="E81" s="592">
        <f t="array" aca="1" ref="E81" ca="1">SUM(B20:B27*Produccion!$E$8:$E$15)</f>
        <v>0</v>
      </c>
      <c r="F81" s="592">
        <f t="array" aca="1" ref="F81" ca="1">SUM(C20:C27*Produccion!$E$8:$E$15)</f>
        <v>0</v>
      </c>
      <c r="G81" s="592">
        <f t="array" aca="1" ref="G81" ca="1">SUM(D20:D27*Produccion!$E$8:$E$15)</f>
        <v>0</v>
      </c>
      <c r="H81" s="592">
        <f t="array" aca="1" ref="H81" ca="1">SUM(E20:E27*Produccion!$E$8:$E$15)</f>
        <v>0</v>
      </c>
      <c r="I81" s="592">
        <f t="array" aca="1" ref="I81" ca="1">SUM(F20:F27*Produccion!$E$8:$E$15)</f>
        <v>0</v>
      </c>
      <c r="J81" s="592">
        <f t="array" aca="1" ref="J81" ca="1">SUM(G20:G27*Produccion!$E$8:$E$15)</f>
        <v>0</v>
      </c>
      <c r="K81" s="592">
        <f t="array" aca="1" ref="K81" ca="1">SUM(H20:H27*Produccion!$E$8:$E$15)</f>
        <v>0</v>
      </c>
      <c r="L81" s="592">
        <f t="array" aca="1" ref="L81" ca="1">SUM(I20:I27*Produccion!$E$8:$E$15)</f>
        <v>0</v>
      </c>
      <c r="M81" s="592">
        <f t="array" aca="1" ref="M81" ca="1">SUM(J20:J27*Produccion!$E$8:$E$15)</f>
        <v>0</v>
      </c>
      <c r="N81" s="592">
        <f t="array" aca="1" ref="N81" ca="1">SUM(K20:K27*Produccion!$E$8:$E$15)</f>
        <v>0</v>
      </c>
      <c r="O81" s="592">
        <f t="array" aca="1" ref="O81" ca="1">SUM(L20:L27*Produccion!$E$8:$E$15)</f>
        <v>0</v>
      </c>
      <c r="P81" s="592">
        <f t="array" aca="1" ref="P81" ca="1">SUM(M20:M27*Produccion!$E$8:$E$15)</f>
        <v>0</v>
      </c>
      <c r="Q81" s="1968">
        <f t="array" aca="1" ref="Q81:Q84" ca="1">'Distr CV 4'!E81:E84</f>
        <v>0</v>
      </c>
      <c r="R81" s="1968">
        <f ca="1"/>
        <v>0</v>
      </c>
      <c r="S81" s="1968">
        <f ca="1"/>
        <v>0</v>
      </c>
      <c r="T81" s="1968">
        <f ca="1"/>
        <v>0</v>
      </c>
      <c r="U81" s="1968">
        <f ca="1"/>
        <v>0</v>
      </c>
      <c r="V81" s="1968">
        <f ca="1"/>
        <v>0</v>
      </c>
      <c r="W81" s="1968">
        <f ca="1"/>
        <v>0</v>
      </c>
      <c r="X81" s="1968">
        <f ca="1"/>
        <v>0</v>
      </c>
      <c r="Y81" s="1986">
        <f ca="1"/>
        <v>0</v>
      </c>
    </row>
    <row r="82" spans="1:26" ht="15.75" customHeight="1">
      <c r="A82" s="1971" t="s">
        <v>873</v>
      </c>
      <c r="B82" s="1967"/>
      <c r="C82" s="1967"/>
      <c r="D82" s="591">
        <f t="array" aca="1" ref="D82" ca="1">SUM(B20:B27*Produccion!$D$8:$D$15)</f>
        <v>0</v>
      </c>
      <c r="E82" s="591">
        <f t="array" aca="1" ref="E82" ca="1">SUM(C20:C27*Produccion!$D$8:$D$15)</f>
        <v>0</v>
      </c>
      <c r="F82" s="591">
        <f t="array" aca="1" ref="F82" ca="1">SUM(D20:D27*Produccion!$D$8:$D$15)</f>
        <v>0</v>
      </c>
      <c r="G82" s="591">
        <f t="array" aca="1" ref="G82" ca="1">SUM(E20:E27*Produccion!$D$8:$D$15)</f>
        <v>0</v>
      </c>
      <c r="H82" s="591">
        <f t="array" aca="1" ref="H82" ca="1">SUM(F20:F27*Produccion!$D$8:$D$15)</f>
        <v>0</v>
      </c>
      <c r="I82" s="591">
        <f t="array" aca="1" ref="I82" ca="1">SUM(G20:G27*Produccion!$D$8:$D$15)</f>
        <v>0</v>
      </c>
      <c r="J82" s="591">
        <f t="array" aca="1" ref="J82" ca="1">SUM(H20:H27*Produccion!$D$8:$D$15)</f>
        <v>0</v>
      </c>
      <c r="K82" s="591">
        <f t="array" aca="1" ref="K82" ca="1">SUM(I20:I27*Produccion!$D$8:$D$15)</f>
        <v>0</v>
      </c>
      <c r="L82" s="591">
        <f t="array" aca="1" ref="L82" ca="1">SUM(J20:J27*Produccion!$D$8:$D$15)</f>
        <v>0</v>
      </c>
      <c r="M82" s="591">
        <f t="array" aca="1" ref="M82" ca="1">SUM(K20:K27*Produccion!$D$8:$D$15)</f>
        <v>0</v>
      </c>
      <c r="N82" s="591">
        <f t="array" aca="1" ref="N82" ca="1">SUM(L20:L27*Produccion!$D$8:$D$15)</f>
        <v>0</v>
      </c>
      <c r="O82" s="591">
        <f t="array" aca="1" ref="O82" ca="1">SUM(M20:M27*Produccion!$D$8:$D$15)</f>
        <v>0</v>
      </c>
      <c r="P82" s="1968">
        <f t="array" aca="1" ref="P82:P84" ca="1">'Distr CV 4'!D82:D84</f>
        <v>0</v>
      </c>
      <c r="Q82" s="1968">
        <f ca="1"/>
        <v>0</v>
      </c>
      <c r="R82" s="1968">
        <f ca="1"/>
        <v>0</v>
      </c>
      <c r="S82" s="1968">
        <f ca="1"/>
        <v>0</v>
      </c>
      <c r="T82" s="1968">
        <f ca="1"/>
        <v>0</v>
      </c>
      <c r="U82" s="1968">
        <f ca="1"/>
        <v>0</v>
      </c>
      <c r="V82" s="1968">
        <f ca="1"/>
        <v>0</v>
      </c>
      <c r="W82" s="1968">
        <f ca="1"/>
        <v>0</v>
      </c>
      <c r="X82" s="1968">
        <f ca="1"/>
        <v>0</v>
      </c>
      <c r="Y82" s="1986">
        <f ca="1"/>
        <v>0</v>
      </c>
    </row>
    <row r="83" spans="1:26" ht="15.75" customHeight="1">
      <c r="A83" s="1971" t="s">
        <v>874</v>
      </c>
      <c r="B83" s="1967"/>
      <c r="C83" s="592">
        <f t="array" aca="1" ref="C83" ca="1">SUM(B20:B27*Produccion!$C$8:$C$15)</f>
        <v>0</v>
      </c>
      <c r="D83" s="592">
        <f t="array" aca="1" ref="D83" ca="1">SUM(C20:C27*Produccion!$C$8:$C$15)</f>
        <v>0</v>
      </c>
      <c r="E83" s="592">
        <f t="array" aca="1" ref="E83" ca="1">SUM(D20:D27*Produccion!$C$8:$C$15)</f>
        <v>0</v>
      </c>
      <c r="F83" s="592">
        <f t="array" aca="1" ref="F83" ca="1">SUM(E20:E27*Produccion!$C$8:$C$15)</f>
        <v>0</v>
      </c>
      <c r="G83" s="592">
        <f t="array" aca="1" ref="G83" ca="1">SUM(F20:F27*Produccion!$C$8:$C$15)</f>
        <v>0</v>
      </c>
      <c r="H83" s="592">
        <f t="array" aca="1" ref="H83" ca="1">SUM(G20:G27*Produccion!$C$8:$C$15)</f>
        <v>0</v>
      </c>
      <c r="I83" s="592">
        <f t="array" aca="1" ref="I83" ca="1">SUM(H20:H27*Produccion!$C$8:$C$15)</f>
        <v>0</v>
      </c>
      <c r="J83" s="592">
        <f t="array" aca="1" ref="J83" ca="1">SUM(I20:I27*Produccion!$C$8:$C$15)</f>
        <v>0</v>
      </c>
      <c r="K83" s="592">
        <f t="array" aca="1" ref="K83" ca="1">SUM(J20:J27*Produccion!$C$8:$C$15)</f>
        <v>0</v>
      </c>
      <c r="L83" s="592">
        <f t="array" aca="1" ref="L83" ca="1">SUM(K20:K27*Produccion!$C$8:$C$15)</f>
        <v>0</v>
      </c>
      <c r="M83" s="592">
        <f t="array" aca="1" ref="M83" ca="1">SUM(L20:L27*Produccion!$C$8:$C$15)</f>
        <v>0</v>
      </c>
      <c r="N83" s="592">
        <f t="array" aca="1" ref="N83" ca="1">SUM(M20:M27*Produccion!$C$8:$C$15)</f>
        <v>0</v>
      </c>
      <c r="O83" s="1968">
        <f t="array" aca="1" ref="O83:O84" ca="1">'Distr CV 4'!C83:C84</f>
        <v>0</v>
      </c>
      <c r="P83" s="1968">
        <f ca="1"/>
        <v>0</v>
      </c>
      <c r="Q83" s="1968">
        <f ca="1"/>
        <v>0</v>
      </c>
      <c r="R83" s="1968">
        <f ca="1"/>
        <v>0</v>
      </c>
      <c r="S83" s="1968">
        <f ca="1"/>
        <v>0</v>
      </c>
      <c r="T83" s="1968">
        <f ca="1"/>
        <v>0</v>
      </c>
      <c r="U83" s="1968">
        <f ca="1"/>
        <v>0</v>
      </c>
      <c r="V83" s="1968">
        <f ca="1"/>
        <v>0</v>
      </c>
      <c r="W83" s="1968">
        <f ca="1"/>
        <v>0</v>
      </c>
      <c r="X83" s="1968">
        <f ca="1"/>
        <v>0</v>
      </c>
      <c r="Y83" s="1986">
        <f ca="1"/>
        <v>0</v>
      </c>
    </row>
    <row r="84" spans="1:26" ht="15.75" customHeight="1" thickBot="1">
      <c r="A84" s="1971" t="s">
        <v>875</v>
      </c>
      <c r="B84" s="592">
        <f t="array" aca="1" ref="B84" ca="1">SUM(B20:B27*Produccion!$B$8:$B$15)</f>
        <v>0</v>
      </c>
      <c r="C84" s="592">
        <f t="array" aca="1" ref="C84" ca="1">SUM(C20:C27*Produccion!$B$8:$B$15)</f>
        <v>0</v>
      </c>
      <c r="D84" s="592">
        <f t="array" aca="1" ref="D84" ca="1">SUM(D20:D27*Produccion!$B$8:$B$15)</f>
        <v>0</v>
      </c>
      <c r="E84" s="592">
        <f t="array" aca="1" ref="E84" ca="1">SUM(E20:E27*Produccion!$B$8:$B$15)</f>
        <v>0</v>
      </c>
      <c r="F84" s="592">
        <f t="array" aca="1" ref="F84" ca="1">SUM(F20:F27*Produccion!$B$8:$B$15)</f>
        <v>0</v>
      </c>
      <c r="G84" s="592">
        <f t="array" aca="1" ref="G84" ca="1">SUM(G20:G27*Produccion!$B$8:$B$15)</f>
        <v>0</v>
      </c>
      <c r="H84" s="592">
        <f t="array" aca="1" ref="H84" ca="1">SUM(H20:H27*Produccion!$B$8:$B$15)</f>
        <v>0</v>
      </c>
      <c r="I84" s="592">
        <f t="array" aca="1" ref="I84" ca="1">SUM(I20:I27*Produccion!$B$8:$B$15)</f>
        <v>0</v>
      </c>
      <c r="J84" s="592">
        <f t="array" aca="1" ref="J84" ca="1">SUM(J20:J27*Produccion!$B$8:$B$15)</f>
        <v>0</v>
      </c>
      <c r="K84" s="592">
        <f t="array" aca="1" ref="K84" ca="1">SUM(K20:K27*Produccion!$B$8:$B$15)</f>
        <v>0</v>
      </c>
      <c r="L84" s="592">
        <f t="array" aca="1" ref="L84" ca="1">SUM(L20:L27*Produccion!$B$8:$B$15)</f>
        <v>0</v>
      </c>
      <c r="M84" s="592">
        <f t="array" aca="1" ref="M84" ca="1">SUM(M20:M27*Produccion!$B$8:$B$15)</f>
        <v>0</v>
      </c>
      <c r="N84" s="1968">
        <f ca="1">'Distr CV 4'!B84</f>
        <v>0</v>
      </c>
      <c r="O84" s="1968">
        <f ca="1"/>
        <v>0</v>
      </c>
      <c r="P84" s="1968">
        <f ca="1"/>
        <v>0</v>
      </c>
      <c r="Q84" s="1968">
        <f ca="1"/>
        <v>0</v>
      </c>
      <c r="R84" s="1968">
        <f ca="1"/>
        <v>0</v>
      </c>
      <c r="S84" s="1968">
        <f ca="1"/>
        <v>0</v>
      </c>
      <c r="T84" s="1968">
        <f ca="1"/>
        <v>0</v>
      </c>
      <c r="U84" s="1968">
        <f ca="1"/>
        <v>0</v>
      </c>
      <c r="V84" s="1968">
        <f ca="1"/>
        <v>0</v>
      </c>
      <c r="W84" s="1968">
        <f ca="1"/>
        <v>0</v>
      </c>
      <c r="X84" s="1968">
        <f ca="1"/>
        <v>0</v>
      </c>
      <c r="Y84" s="1986">
        <f ca="1"/>
        <v>0</v>
      </c>
    </row>
    <row r="85" spans="1:26" ht="15.75" customHeight="1" thickBot="1">
      <c r="A85" s="103" t="str">
        <f>A$28</f>
        <v>Totales</v>
      </c>
      <c r="B85" s="596">
        <f t="shared" ref="B85:Y85" ca="1" si="8">SUM(B72:B84)</f>
        <v>0</v>
      </c>
      <c r="C85" s="596">
        <f t="shared" ca="1" si="8"/>
        <v>0</v>
      </c>
      <c r="D85" s="596">
        <f t="shared" ca="1" si="8"/>
        <v>0</v>
      </c>
      <c r="E85" s="596">
        <f t="shared" ca="1" si="8"/>
        <v>0</v>
      </c>
      <c r="F85" s="596">
        <f t="shared" ca="1" si="8"/>
        <v>0</v>
      </c>
      <c r="G85" s="596">
        <f t="shared" ca="1" si="8"/>
        <v>0</v>
      </c>
      <c r="H85" s="596">
        <f t="shared" ca="1" si="8"/>
        <v>0</v>
      </c>
      <c r="I85" s="596">
        <f t="shared" ca="1" si="8"/>
        <v>0</v>
      </c>
      <c r="J85" s="596">
        <f t="shared" ca="1" si="8"/>
        <v>0</v>
      </c>
      <c r="K85" s="596">
        <f t="shared" ca="1" si="8"/>
        <v>0</v>
      </c>
      <c r="L85" s="596">
        <f t="shared" ca="1" si="8"/>
        <v>0</v>
      </c>
      <c r="M85" s="596">
        <f t="shared" ca="1" si="8"/>
        <v>0</v>
      </c>
      <c r="N85" s="596">
        <f t="shared" ca="1" si="8"/>
        <v>297.05200000000002</v>
      </c>
      <c r="O85" s="596">
        <f t="shared" ca="1" si="8"/>
        <v>371.31500000000005</v>
      </c>
      <c r="P85" s="596">
        <f t="shared" ca="1" si="8"/>
        <v>408.44650000000001</v>
      </c>
      <c r="Q85" s="596">
        <f t="shared" ca="1" si="8"/>
        <v>389.88075000000003</v>
      </c>
      <c r="R85" s="596">
        <f t="shared" ca="1" si="8"/>
        <v>334.18350000000004</v>
      </c>
      <c r="S85" s="596">
        <f t="shared" ca="1" si="8"/>
        <v>315.61775</v>
      </c>
      <c r="T85" s="596">
        <f t="shared" ca="1" si="8"/>
        <v>297.05200000000002</v>
      </c>
      <c r="U85" s="596">
        <f t="shared" ca="1" si="8"/>
        <v>222.78900000000002</v>
      </c>
      <c r="V85" s="596">
        <f t="shared" ca="1" si="8"/>
        <v>297.05200000000002</v>
      </c>
      <c r="W85" s="596">
        <f t="shared" ca="1" si="8"/>
        <v>352.74925000000002</v>
      </c>
      <c r="X85" s="596">
        <f t="shared" ca="1" si="8"/>
        <v>371.31500000000005</v>
      </c>
      <c r="Y85" s="1984">
        <f t="shared" ca="1" si="8"/>
        <v>445.57800000000003</v>
      </c>
    </row>
    <row r="86" spans="1:26">
      <c r="B86" s="61"/>
    </row>
    <row r="87" spans="1:26">
      <c r="B87" s="61">
        <f ca="1">SUM(B85:M85)</f>
        <v>0</v>
      </c>
    </row>
    <row r="88" spans="1:26">
      <c r="B88" s="61"/>
    </row>
    <row r="89" spans="1:26" ht="18.75" thickBot="1">
      <c r="A89" s="1969" t="str">
        <f>'Distr CV 0'!A89</f>
        <v>IVA de los costes de producción por meses de compra</v>
      </c>
      <c r="I89" s="1969"/>
    </row>
    <row r="90" spans="1:26" s="445" customFormat="1" ht="35.25" customHeight="1" thickBot="1">
      <c r="A90" s="446" t="str">
        <f>A$19</f>
        <v>Costes producción</v>
      </c>
      <c r="B90" s="1987" t="str">
        <f t="array" ref="B90:Y90">B$71:Y$71</f>
        <v>enero 
2028</v>
      </c>
      <c r="C90" s="1987" t="str">
        <v>febrero 
2028</v>
      </c>
      <c r="D90" s="1987" t="str">
        <v>marzo 
2028</v>
      </c>
      <c r="E90" s="1987" t="str">
        <v>abril 
2028</v>
      </c>
      <c r="F90" s="1987" t="str">
        <v>mayo 
2028</v>
      </c>
      <c r="G90" s="1987" t="str">
        <v>junio 
2028</v>
      </c>
      <c r="H90" s="1987" t="str">
        <v>julio 
2028</v>
      </c>
      <c r="I90" s="1987" t="str">
        <v>agosto 
2028</v>
      </c>
      <c r="J90" s="1987" t="str">
        <v>septiembre 
2028</v>
      </c>
      <c r="K90" s="1987" t="str">
        <v>octubre 
2028</v>
      </c>
      <c r="L90" s="1987" t="str">
        <v>noviembre 
2028</v>
      </c>
      <c r="M90" s="1987" t="str">
        <v>diciembre 
2028</v>
      </c>
      <c r="N90" s="2703" t="str">
        <v>enero 
2029</v>
      </c>
      <c r="O90" s="2704" t="str">
        <v>febrero 
2029</v>
      </c>
      <c r="P90" s="2704" t="str">
        <v>marzo 
2029</v>
      </c>
      <c r="Q90" s="2704" t="str">
        <v>abril 
2029</v>
      </c>
      <c r="R90" s="2704" t="str">
        <v>mayo 
2029</v>
      </c>
      <c r="S90" s="2704" t="str">
        <v>junio 
2029</v>
      </c>
      <c r="T90" s="2704" t="str">
        <v>julio 
2029</v>
      </c>
      <c r="U90" s="2704" t="str">
        <v>agosto 
2029</v>
      </c>
      <c r="V90" s="2704" t="str">
        <v>septiembre 
2029</v>
      </c>
      <c r="W90" s="2704" t="str">
        <v>octubre 
2029</v>
      </c>
      <c r="X90" s="2704" t="str">
        <v>noviembre 
2029</v>
      </c>
      <c r="Y90" s="2705" t="str">
        <v>diciembre 
2029</v>
      </c>
      <c r="Z90" s="61"/>
    </row>
    <row r="91" spans="1:26" ht="15.75" customHeight="1">
      <c r="A91" s="1970" t="str">
        <f t="array" ref="A91:A104">A$72:A$85</f>
        <v>mismo mes</v>
      </c>
      <c r="B91" s="1967"/>
      <c r="C91" s="1967"/>
      <c r="D91" s="1967"/>
      <c r="E91" s="1967"/>
      <c r="F91" s="1967"/>
      <c r="G91" s="1967"/>
      <c r="H91" s="1965">
        <v>0</v>
      </c>
      <c r="I91" s="1966">
        <v>0</v>
      </c>
      <c r="J91" s="1966">
        <v>0</v>
      </c>
      <c r="K91" s="1966">
        <v>0</v>
      </c>
      <c r="L91" s="1966">
        <v>0</v>
      </c>
      <c r="M91" s="1966">
        <v>0</v>
      </c>
      <c r="N91" s="588">
        <f t="array" aca="1" ref="N91" ca="1">SUM(B32:B39*Produccion!$N$8:$N$15)</f>
        <v>62.380920000000003</v>
      </c>
      <c r="O91" s="588">
        <f t="array" aca="1" ref="O91" ca="1">SUM(C32:C39*Produccion!$N$8:$N$15)</f>
        <v>77.976150000000004</v>
      </c>
      <c r="P91" s="588">
        <f t="array" aca="1" ref="P91" ca="1">SUM(D32:D39*Produccion!$N$8:$N$15)</f>
        <v>85.773764999999997</v>
      </c>
      <c r="Q91" s="588">
        <f t="array" aca="1" ref="Q91" ca="1">SUM(E32:E39*Produccion!$N$8:$N$15)</f>
        <v>81.874957500000008</v>
      </c>
      <c r="R91" s="588">
        <f t="array" aca="1" ref="R91" ca="1">SUM(F32:F39*Produccion!$N$8:$N$15)</f>
        <v>70.178535000000011</v>
      </c>
      <c r="S91" s="588">
        <f t="array" aca="1" ref="S91" ca="1">SUM(G32:G39*Produccion!$N$8:$N$15)</f>
        <v>66.279727499999993</v>
      </c>
      <c r="T91" s="588">
        <f t="array" aca="1" ref="T91" ca="1">SUM(H32:H39*Produccion!$N$8:$N$15)</f>
        <v>62.380920000000003</v>
      </c>
      <c r="U91" s="588">
        <f t="array" aca="1" ref="U91" ca="1">SUM(I32:I39*Produccion!$N$8:$N$15)</f>
        <v>46.785690000000002</v>
      </c>
      <c r="V91" s="588">
        <f t="array" aca="1" ref="V91" ca="1">SUM(J32:J39*Produccion!$N$8:$N$15)</f>
        <v>62.380920000000003</v>
      </c>
      <c r="W91" s="588">
        <f t="array" aca="1" ref="W91" ca="1">SUM(K32:K39*Produccion!$N$8:$N$15)</f>
        <v>74.0773425</v>
      </c>
      <c r="X91" s="588">
        <f t="array" aca="1" ref="X91" ca="1">SUM(L32:L39*Produccion!$N$8:$N$15)</f>
        <v>77.976150000000004</v>
      </c>
      <c r="Y91" s="1985">
        <f t="array" aca="1" ref="Y91" ca="1">SUM(M32:M39*Produccion!$N$8:$N$15)</f>
        <v>93.571380000000005</v>
      </c>
    </row>
    <row r="92" spans="1:26" ht="15.75" customHeight="1">
      <c r="A92" s="1971" t="str">
        <v>1 mes antes</v>
      </c>
      <c r="B92" s="1967"/>
      <c r="C92" s="1967"/>
      <c r="D92" s="1967"/>
      <c r="E92" s="1967"/>
      <c r="F92" s="1967"/>
      <c r="G92" s="1967"/>
      <c r="H92" s="1967"/>
      <c r="I92" s="1964"/>
      <c r="J92" s="1964"/>
      <c r="K92" s="1964"/>
      <c r="L92" s="1964"/>
      <c r="M92" s="590">
        <f t="array" aca="1" ref="M92" ca="1">SUM(B32:B39*Produccion!$M$8:$M$15)</f>
        <v>0</v>
      </c>
      <c r="N92" s="590">
        <f t="array" aca="1" ref="N92" ca="1">SUM(C32:C39*Produccion!$M$8:$M$15)</f>
        <v>0</v>
      </c>
      <c r="O92" s="590">
        <f t="array" aca="1" ref="O92" ca="1">SUM(D32:D39*Produccion!$M$8:$M$15)</f>
        <v>0</v>
      </c>
      <c r="P92" s="590">
        <f t="array" aca="1" ref="P92" ca="1">SUM(E32:E39*Produccion!$M$8:$M$15)</f>
        <v>0</v>
      </c>
      <c r="Q92" s="590">
        <f t="array" aca="1" ref="Q92" ca="1">SUM(F32:F39*Produccion!$M$8:$M$15)</f>
        <v>0</v>
      </c>
      <c r="R92" s="590">
        <f t="array" aca="1" ref="R92" ca="1">SUM(G32:G39*Produccion!$M$8:$M$15)</f>
        <v>0</v>
      </c>
      <c r="S92" s="590">
        <f t="array" aca="1" ref="S92" ca="1">SUM(H32:H39*Produccion!$M$8:$M$15)</f>
        <v>0</v>
      </c>
      <c r="T92" s="590">
        <f t="array" aca="1" ref="T92" ca="1">SUM(I32:I39*Produccion!$M$8:$M$15)</f>
        <v>0</v>
      </c>
      <c r="U92" s="590">
        <f t="array" aca="1" ref="U92" ca="1">SUM(J32:J39*Produccion!$M$8:$M$15)</f>
        <v>0</v>
      </c>
      <c r="V92" s="590">
        <f t="array" aca="1" ref="V92" ca="1">SUM(K32:K39*Produccion!$M$8:$M$15)</f>
        <v>0</v>
      </c>
      <c r="W92" s="590">
        <f t="array" aca="1" ref="W92" ca="1">SUM(L32:L39*Produccion!$M$8:$M$15)</f>
        <v>0</v>
      </c>
      <c r="X92" s="590">
        <f t="array" aca="1" ref="X92" ca="1">SUM(M32:M39*Produccion!$M$8:$M$15)</f>
        <v>0</v>
      </c>
      <c r="Y92" s="1983">
        <f t="array" aca="1" ref="Y92:Y103" ca="1">'Distr CV 4'!M92:M103</f>
        <v>0</v>
      </c>
    </row>
    <row r="93" spans="1:26" ht="15.75" customHeight="1">
      <c r="A93" s="1971" t="str">
        <v>2 meses antes</v>
      </c>
      <c r="B93" s="1967"/>
      <c r="C93" s="1967"/>
      <c r="D93" s="1967"/>
      <c r="E93" s="1967"/>
      <c r="F93" s="1967"/>
      <c r="G93" s="1967"/>
      <c r="H93" s="1967"/>
      <c r="I93" s="1964"/>
      <c r="J93" s="1964"/>
      <c r="K93" s="1964"/>
      <c r="L93" s="590">
        <f t="array" aca="1" ref="L93" ca="1">SUM(B32:B39*Produccion!$L$8:$L$15)</f>
        <v>0</v>
      </c>
      <c r="M93" s="590">
        <f t="array" aca="1" ref="M93" ca="1">SUM(C32:C39*Produccion!$L$8:$L$15)</f>
        <v>0</v>
      </c>
      <c r="N93" s="590">
        <f t="array" aca="1" ref="N93" ca="1">SUM(D32:D39*Produccion!$L$8:$L$15)</f>
        <v>0</v>
      </c>
      <c r="O93" s="590">
        <f t="array" aca="1" ref="O93" ca="1">SUM(E32:E39*Produccion!$L$8:$L$15)</f>
        <v>0</v>
      </c>
      <c r="P93" s="590">
        <f t="array" aca="1" ref="P93" ca="1">SUM(F32:F39*Produccion!$L$8:$L$15)</f>
        <v>0</v>
      </c>
      <c r="Q93" s="590">
        <f t="array" aca="1" ref="Q93" ca="1">SUM(G32:G39*Produccion!$L$8:$L$15)</f>
        <v>0</v>
      </c>
      <c r="R93" s="590">
        <f t="array" aca="1" ref="R93" ca="1">SUM(H32:H39*Produccion!$L$8:$L$15)</f>
        <v>0</v>
      </c>
      <c r="S93" s="590">
        <f t="array" aca="1" ref="S93" ca="1">SUM(I32:I39*Produccion!$L$8:$L$15)</f>
        <v>0</v>
      </c>
      <c r="T93" s="590">
        <f t="array" aca="1" ref="T93" ca="1">SUM(J32:J39*Produccion!$L$8:$L$15)</f>
        <v>0</v>
      </c>
      <c r="U93" s="590">
        <f t="array" aca="1" ref="U93" ca="1">SUM(K32:K39*Produccion!$L$8:$L$15)</f>
        <v>0</v>
      </c>
      <c r="V93" s="590">
        <f t="array" aca="1" ref="V93" ca="1">SUM(L32:L39*Produccion!$L$8:$L$15)</f>
        <v>0</v>
      </c>
      <c r="W93" s="590">
        <f t="array" aca="1" ref="W93" ca="1">SUM(M32:M39*Produccion!$L$8:$L$15)</f>
        <v>0</v>
      </c>
      <c r="X93" s="1964">
        <f t="array" aca="1" ref="X93:X103" ca="1">'Distr CV 4'!L93:L103</f>
        <v>0</v>
      </c>
      <c r="Y93" s="1983">
        <f ca="1"/>
        <v>0</v>
      </c>
    </row>
    <row r="94" spans="1:26" ht="15.75" customHeight="1">
      <c r="A94" s="1971" t="str">
        <v>3 meses antes</v>
      </c>
      <c r="B94" s="1967"/>
      <c r="C94" s="1967"/>
      <c r="D94" s="1967"/>
      <c r="E94" s="1967"/>
      <c r="F94" s="1967"/>
      <c r="G94" s="1967"/>
      <c r="H94" s="1967"/>
      <c r="I94" s="1964"/>
      <c r="J94" s="1964"/>
      <c r="K94" s="590">
        <f t="array" aca="1" ref="K94" ca="1">SUM(B32:B39*Produccion!$K$8:$K$15)</f>
        <v>0</v>
      </c>
      <c r="L94" s="590">
        <f t="array" aca="1" ref="L94" ca="1">SUM(C32:C39*Produccion!$K$8:$K$15)</f>
        <v>0</v>
      </c>
      <c r="M94" s="590">
        <f t="array" aca="1" ref="M94" ca="1">SUM(D32:D39*Produccion!$K$8:$K$15)</f>
        <v>0</v>
      </c>
      <c r="N94" s="590">
        <f t="array" aca="1" ref="N94" ca="1">SUM(E32:E39*Produccion!$K$8:$K$15)</f>
        <v>0</v>
      </c>
      <c r="O94" s="590">
        <f t="array" aca="1" ref="O94" ca="1">SUM(F32:F39*Produccion!$K$8:$K$15)</f>
        <v>0</v>
      </c>
      <c r="P94" s="590">
        <f t="array" aca="1" ref="P94" ca="1">SUM(G32:G39*Produccion!$K$8:$K$15)</f>
        <v>0</v>
      </c>
      <c r="Q94" s="590">
        <f t="array" aca="1" ref="Q94" ca="1">SUM(H32:H39*Produccion!$K$8:$K$15)</f>
        <v>0</v>
      </c>
      <c r="R94" s="590">
        <f t="array" aca="1" ref="R94" ca="1">SUM(I32:I39*Produccion!$K$8:$K$15)</f>
        <v>0</v>
      </c>
      <c r="S94" s="590">
        <f t="array" aca="1" ref="S94" ca="1">SUM(J32:J39*Produccion!$K$8:$K$15)</f>
        <v>0</v>
      </c>
      <c r="T94" s="590">
        <f t="array" aca="1" ref="T94" ca="1">SUM(K32:K39*Produccion!$K$8:$K$15)</f>
        <v>0</v>
      </c>
      <c r="U94" s="590">
        <f t="array" aca="1" ref="U94" ca="1">SUM(L32:L39*Produccion!$K$8:$K$15)</f>
        <v>0</v>
      </c>
      <c r="V94" s="590">
        <f t="array" aca="1" ref="V94" ca="1">SUM(M32:M39*Produccion!$K$8:$K$15)</f>
        <v>0</v>
      </c>
      <c r="W94" s="1964">
        <f t="array" aca="1" ref="W94:W103" ca="1">'Distr CV 4'!K94:K103</f>
        <v>0</v>
      </c>
      <c r="X94" s="1964">
        <f ca="1"/>
        <v>0</v>
      </c>
      <c r="Y94" s="1983">
        <f ca="1"/>
        <v>0</v>
      </c>
    </row>
    <row r="95" spans="1:26" ht="15.75" customHeight="1">
      <c r="A95" s="1971" t="str">
        <v>4 meses antes</v>
      </c>
      <c r="B95" s="1967"/>
      <c r="C95" s="1967"/>
      <c r="D95" s="1967"/>
      <c r="E95" s="1967"/>
      <c r="F95" s="1967"/>
      <c r="G95" s="1967"/>
      <c r="H95" s="1967"/>
      <c r="I95" s="1964"/>
      <c r="J95" s="590">
        <f t="array" aca="1" ref="J95" ca="1">SUM(B32:B39*Produccion!$J$8:$J$15)</f>
        <v>0</v>
      </c>
      <c r="K95" s="590">
        <f t="array" aca="1" ref="K95" ca="1">SUM(C32:C39*Produccion!$J$8:$J$15)</f>
        <v>0</v>
      </c>
      <c r="L95" s="590">
        <f t="array" aca="1" ref="L95" ca="1">SUM(D32:D39*Produccion!$J$8:$J$15)</f>
        <v>0</v>
      </c>
      <c r="M95" s="590">
        <f t="array" aca="1" ref="M95" ca="1">SUM(E32:E39*Produccion!$J$8:$J$15)</f>
        <v>0</v>
      </c>
      <c r="N95" s="590">
        <f t="array" aca="1" ref="N95" ca="1">SUM(F32:F39*Produccion!$J$8:$J$15)</f>
        <v>0</v>
      </c>
      <c r="O95" s="590">
        <f t="array" aca="1" ref="O95" ca="1">SUM(G32:G39*Produccion!$J$8:$J$15)</f>
        <v>0</v>
      </c>
      <c r="P95" s="590">
        <f t="array" aca="1" ref="P95" ca="1">SUM(H32:H39*Produccion!$J$8:$J$15)</f>
        <v>0</v>
      </c>
      <c r="Q95" s="590">
        <f t="array" aca="1" ref="Q95" ca="1">SUM(I32:I39*Produccion!$J$8:$J$15)</f>
        <v>0</v>
      </c>
      <c r="R95" s="590">
        <f t="array" aca="1" ref="R95" ca="1">SUM(J32:J39*Produccion!$J$8:$J$15)</f>
        <v>0</v>
      </c>
      <c r="S95" s="590">
        <f t="array" aca="1" ref="S95" ca="1">SUM(K32:K39*Produccion!$J$8:$J$15)</f>
        <v>0</v>
      </c>
      <c r="T95" s="590">
        <f t="array" aca="1" ref="T95" ca="1">SUM(L32:L39*Produccion!$J$8:$J$15)</f>
        <v>0</v>
      </c>
      <c r="U95" s="590">
        <f t="array" aca="1" ref="U95" ca="1">SUM(M32:M39*Produccion!$J$8:$J$15)</f>
        <v>0</v>
      </c>
      <c r="V95" s="1964">
        <f t="array" aca="1" ref="V95:V103" ca="1">'Distr CV 4'!J95:J103</f>
        <v>0</v>
      </c>
      <c r="W95" s="1964">
        <f ca="1"/>
        <v>0</v>
      </c>
      <c r="X95" s="1964">
        <f ca="1"/>
        <v>0</v>
      </c>
      <c r="Y95" s="1983">
        <f ca="1"/>
        <v>0</v>
      </c>
    </row>
    <row r="96" spans="1:26" ht="15.75" customHeight="1">
      <c r="A96" s="1971" t="str">
        <v>5 meses antes</v>
      </c>
      <c r="B96" s="1967"/>
      <c r="C96" s="1967"/>
      <c r="D96" s="1967"/>
      <c r="E96" s="1967"/>
      <c r="F96" s="1967"/>
      <c r="G96" s="1967"/>
      <c r="H96" s="1967"/>
      <c r="I96" s="590">
        <f t="array" aca="1" ref="I96" ca="1">SUM(B32:B39*Produccion!$I$8:$I$15)</f>
        <v>0</v>
      </c>
      <c r="J96" s="590">
        <f t="array" aca="1" ref="J96" ca="1">SUM(C32:C39*Produccion!$I$8:$I$15)</f>
        <v>0</v>
      </c>
      <c r="K96" s="590">
        <f t="array" aca="1" ref="K96" ca="1">SUM(D32:D39*Produccion!$I$8:$I$15)</f>
        <v>0</v>
      </c>
      <c r="L96" s="590">
        <f t="array" aca="1" ref="L96" ca="1">SUM(E32:E39*Produccion!$I$8:$I$15)</f>
        <v>0</v>
      </c>
      <c r="M96" s="590">
        <f t="array" aca="1" ref="M96" ca="1">SUM(F32:F39*Produccion!$I$8:$I$15)</f>
        <v>0</v>
      </c>
      <c r="N96" s="590">
        <f t="array" aca="1" ref="N96" ca="1">SUM(G32:G39*Produccion!$I$8:$I$15)</f>
        <v>0</v>
      </c>
      <c r="O96" s="590">
        <f t="array" aca="1" ref="O96" ca="1">SUM(H32:H39*Produccion!$I$8:$I$15)</f>
        <v>0</v>
      </c>
      <c r="P96" s="590">
        <f t="array" aca="1" ref="P96" ca="1">SUM(I32:I39*Produccion!$I$8:$I$15)</f>
        <v>0</v>
      </c>
      <c r="Q96" s="590">
        <f t="array" aca="1" ref="Q96" ca="1">SUM(J32:J39*Produccion!$I$8:$I$15)</f>
        <v>0</v>
      </c>
      <c r="R96" s="590">
        <f t="array" aca="1" ref="R96" ca="1">SUM(K32:K39*Produccion!$I$8:$I$15)</f>
        <v>0</v>
      </c>
      <c r="S96" s="590">
        <f t="array" aca="1" ref="S96" ca="1">SUM(L32:L39*Produccion!$I$8:$I$15)</f>
        <v>0</v>
      </c>
      <c r="T96" s="590">
        <f t="array" aca="1" ref="T96" ca="1">SUM(M32:M39*Produccion!$I$8:$I$15)</f>
        <v>0</v>
      </c>
      <c r="U96" s="1964">
        <f t="array" aca="1" ref="U96:U103" ca="1">'Distr CV 4'!I96:I103</f>
        <v>0</v>
      </c>
      <c r="V96" s="1964">
        <f ca="1"/>
        <v>0</v>
      </c>
      <c r="W96" s="1964">
        <f ca="1"/>
        <v>0</v>
      </c>
      <c r="X96" s="1964">
        <f ca="1"/>
        <v>0</v>
      </c>
      <c r="Y96" s="1983">
        <f ca="1"/>
        <v>0</v>
      </c>
    </row>
    <row r="97" spans="1:26" ht="15.75" customHeight="1">
      <c r="A97" s="1971" t="str">
        <v>6 meses antes</v>
      </c>
      <c r="B97" s="1967"/>
      <c r="C97" s="1967"/>
      <c r="D97" s="1967"/>
      <c r="E97" s="1967"/>
      <c r="F97" s="1967"/>
      <c r="G97" s="1967"/>
      <c r="H97" s="590">
        <f t="array" aca="1" ref="H97" ca="1">SUM(B32:B39*Produccion!$H$8:$H$15)</f>
        <v>0</v>
      </c>
      <c r="I97" s="590">
        <f t="array" aca="1" ref="I97" ca="1">SUM(C32:C39*Produccion!$H$8:$H$15)</f>
        <v>0</v>
      </c>
      <c r="J97" s="590">
        <f t="array" aca="1" ref="J97" ca="1">SUM(D32:D39*Produccion!$H$8:$H$15)</f>
        <v>0</v>
      </c>
      <c r="K97" s="590">
        <f t="array" aca="1" ref="K97" ca="1">SUM(E32:E39*Produccion!$H$8:$H$15)</f>
        <v>0</v>
      </c>
      <c r="L97" s="590">
        <f t="array" aca="1" ref="L97" ca="1">SUM(F32:F39*Produccion!$H$8:$H$15)</f>
        <v>0</v>
      </c>
      <c r="M97" s="590">
        <f t="array" aca="1" ref="M97" ca="1">SUM(G32:G39*Produccion!$H$8:$H$15)</f>
        <v>0</v>
      </c>
      <c r="N97" s="590">
        <f t="array" aca="1" ref="N97" ca="1">SUM(H32:H39*Produccion!$H$8:$H$15)</f>
        <v>0</v>
      </c>
      <c r="O97" s="590">
        <f t="array" aca="1" ref="O97" ca="1">SUM(I32:I39*Produccion!$H$8:$H$15)</f>
        <v>0</v>
      </c>
      <c r="P97" s="590">
        <f t="array" aca="1" ref="P97" ca="1">SUM(J32:J39*Produccion!$H$8:$H$15)</f>
        <v>0</v>
      </c>
      <c r="Q97" s="590">
        <f t="array" aca="1" ref="Q97" ca="1">SUM(K32:K39*Produccion!$H$8:$H$15)</f>
        <v>0</v>
      </c>
      <c r="R97" s="590">
        <f t="array" aca="1" ref="R97" ca="1">SUM(L32:L39*Produccion!$H$8:$H$15)</f>
        <v>0</v>
      </c>
      <c r="S97" s="590">
        <f t="array" aca="1" ref="S97" ca="1">SUM(M32:M39*Produccion!$H$8:$H$15)</f>
        <v>0</v>
      </c>
      <c r="T97" s="1964">
        <f t="array" aca="1" ref="T97:T103" ca="1">'Distr CV 4'!H97:H103</f>
        <v>0</v>
      </c>
      <c r="U97" s="1964">
        <f ca="1"/>
        <v>0</v>
      </c>
      <c r="V97" s="1964">
        <f ca="1"/>
        <v>0</v>
      </c>
      <c r="W97" s="1964">
        <f ca="1"/>
        <v>0</v>
      </c>
      <c r="X97" s="1964">
        <f ca="1"/>
        <v>0</v>
      </c>
      <c r="Y97" s="1983">
        <f ca="1"/>
        <v>0</v>
      </c>
    </row>
    <row r="98" spans="1:26" ht="15.75" customHeight="1">
      <c r="A98" s="1971" t="str">
        <v>7 meses antes</v>
      </c>
      <c r="B98" s="1967"/>
      <c r="C98" s="1967"/>
      <c r="D98" s="1967"/>
      <c r="E98" s="1967"/>
      <c r="F98" s="1967"/>
      <c r="G98" s="592">
        <f t="array" aca="1" ref="G98" ca="1">SUM(B32:B39*Produccion!$G$8:$G$15)</f>
        <v>0</v>
      </c>
      <c r="H98" s="592">
        <f t="array" aca="1" ref="H98" ca="1">SUM(C32:C39*Produccion!$G$8:$G$15)</f>
        <v>0</v>
      </c>
      <c r="I98" s="592">
        <f t="array" aca="1" ref="I98" ca="1">SUM(D32:D39*Produccion!$G$8:$G$15)</f>
        <v>0</v>
      </c>
      <c r="J98" s="592">
        <f t="array" aca="1" ref="J98" ca="1">SUM(E32:E39*Produccion!$G$8:$G$15)</f>
        <v>0</v>
      </c>
      <c r="K98" s="592">
        <f t="array" aca="1" ref="K98" ca="1">SUM(F32:F39*Produccion!$G$8:$G$15)</f>
        <v>0</v>
      </c>
      <c r="L98" s="592">
        <f t="array" aca="1" ref="L98" ca="1">SUM(G32:G39*Produccion!$G$8:$G$15)</f>
        <v>0</v>
      </c>
      <c r="M98" s="592">
        <f t="array" aca="1" ref="M98" ca="1">SUM(H32:H39*Produccion!$G$8:$G$15)</f>
        <v>0</v>
      </c>
      <c r="N98" s="592">
        <f t="array" aca="1" ref="N98" ca="1">SUM(I32:I39*Produccion!$G$8:$G$15)</f>
        <v>0</v>
      </c>
      <c r="O98" s="592">
        <f t="array" aca="1" ref="O98" ca="1">SUM(J32:J39*Produccion!$G$8:$G$15)</f>
        <v>0</v>
      </c>
      <c r="P98" s="592">
        <f t="array" aca="1" ref="P98" ca="1">SUM(K32:K39*Produccion!$G$8:$G$15)</f>
        <v>0</v>
      </c>
      <c r="Q98" s="592">
        <f t="array" aca="1" ref="Q98" ca="1">SUM(L32:L39*Produccion!$G$8:$G$15)</f>
        <v>0</v>
      </c>
      <c r="R98" s="592">
        <f t="array" aca="1" ref="R98" ca="1">SUM(M32:M39*Produccion!$G$8:$G$15)</f>
        <v>0</v>
      </c>
      <c r="S98" s="1968">
        <f t="array" aca="1" ref="S98:S103" ca="1">'Distr CV 4'!G98:G103</f>
        <v>0</v>
      </c>
      <c r="T98" s="1968">
        <f ca="1"/>
        <v>0</v>
      </c>
      <c r="U98" s="1968">
        <f ca="1"/>
        <v>0</v>
      </c>
      <c r="V98" s="1968">
        <f ca="1"/>
        <v>0</v>
      </c>
      <c r="W98" s="1968">
        <f ca="1"/>
        <v>0</v>
      </c>
      <c r="X98" s="1968">
        <f ca="1"/>
        <v>0</v>
      </c>
      <c r="Y98" s="1986">
        <f ca="1"/>
        <v>0</v>
      </c>
    </row>
    <row r="99" spans="1:26" ht="15.75" customHeight="1">
      <c r="A99" s="1971" t="str">
        <v>8 meses antes</v>
      </c>
      <c r="B99" s="1967"/>
      <c r="C99" s="1967"/>
      <c r="D99" s="1967"/>
      <c r="E99" s="1967"/>
      <c r="F99" s="592">
        <f t="array" aca="1" ref="F99" ca="1">SUM(B32:B39*Produccion!$F$8:$F$15)</f>
        <v>0</v>
      </c>
      <c r="G99" s="592">
        <f t="array" aca="1" ref="G99" ca="1">SUM(C32:C39*Produccion!$F$8:$F$15)</f>
        <v>0</v>
      </c>
      <c r="H99" s="592">
        <f t="array" aca="1" ref="H99" ca="1">SUM(D32:D39*Produccion!$F$8:$F$15)</f>
        <v>0</v>
      </c>
      <c r="I99" s="592">
        <f t="array" aca="1" ref="I99" ca="1">SUM(E32:E39*Produccion!$F$8:$F$15)</f>
        <v>0</v>
      </c>
      <c r="J99" s="592">
        <f t="array" aca="1" ref="J99" ca="1">SUM(F32:F39*Produccion!$F$8:$F$15)</f>
        <v>0</v>
      </c>
      <c r="K99" s="592">
        <f t="array" aca="1" ref="K99" ca="1">SUM(G32:G39*Produccion!$F$8:$F$15)</f>
        <v>0</v>
      </c>
      <c r="L99" s="592">
        <f t="array" aca="1" ref="L99" ca="1">SUM(H32:H39*Produccion!$F$8:$F$15)</f>
        <v>0</v>
      </c>
      <c r="M99" s="592">
        <f t="array" aca="1" ref="M99" ca="1">SUM(I32:I39*Produccion!$F$8:$F$15)</f>
        <v>0</v>
      </c>
      <c r="N99" s="592">
        <f t="array" aca="1" ref="N99" ca="1">SUM(J32:J39*Produccion!$F$8:$F$15)</f>
        <v>0</v>
      </c>
      <c r="O99" s="592">
        <f t="array" aca="1" ref="O99" ca="1">SUM(K32:K39*Produccion!$F$8:$F$15)</f>
        <v>0</v>
      </c>
      <c r="P99" s="592">
        <f t="array" aca="1" ref="P99" ca="1">SUM(L32:L39*Produccion!$F$8:$F$15)</f>
        <v>0</v>
      </c>
      <c r="Q99" s="592">
        <f t="array" aca="1" ref="Q99" ca="1">SUM(M32:M39*Produccion!$F$8:$F$15)</f>
        <v>0</v>
      </c>
      <c r="R99" s="1968">
        <f t="array" aca="1" ref="R99:R103" ca="1">'Distr CV 4'!F99:F103</f>
        <v>0</v>
      </c>
      <c r="S99" s="1968">
        <f ca="1"/>
        <v>0</v>
      </c>
      <c r="T99" s="1968">
        <f ca="1"/>
        <v>0</v>
      </c>
      <c r="U99" s="1968">
        <f ca="1"/>
        <v>0</v>
      </c>
      <c r="V99" s="1968">
        <f ca="1"/>
        <v>0</v>
      </c>
      <c r="W99" s="1968">
        <f ca="1"/>
        <v>0</v>
      </c>
      <c r="X99" s="1968">
        <f ca="1"/>
        <v>0</v>
      </c>
      <c r="Y99" s="1986">
        <f ca="1"/>
        <v>0</v>
      </c>
    </row>
    <row r="100" spans="1:26" ht="15.75" customHeight="1">
      <c r="A100" s="1971" t="str">
        <v>9 meses antes</v>
      </c>
      <c r="B100" s="1967"/>
      <c r="C100" s="1967"/>
      <c r="D100" s="1967"/>
      <c r="E100" s="592">
        <f t="array" aca="1" ref="E100" ca="1">SUM(B32:B39*Produccion!$E$8:$E$15)</f>
        <v>0</v>
      </c>
      <c r="F100" s="592">
        <f t="array" aca="1" ref="F100" ca="1">SUM(C32:C39*Produccion!$E$8:$E$15)</f>
        <v>0</v>
      </c>
      <c r="G100" s="592">
        <f t="array" aca="1" ref="G100" ca="1">SUM(D32:D39*Produccion!$E$8:$E$15)</f>
        <v>0</v>
      </c>
      <c r="H100" s="592">
        <f t="array" aca="1" ref="H100" ca="1">SUM(E32:E39*Produccion!$E$8:$E$15)</f>
        <v>0</v>
      </c>
      <c r="I100" s="592">
        <f t="array" aca="1" ref="I100" ca="1">SUM(F32:F39*Produccion!$E$8:$E$15)</f>
        <v>0</v>
      </c>
      <c r="J100" s="592">
        <f t="array" aca="1" ref="J100" ca="1">SUM(G32:G39*Produccion!$E$8:$E$15)</f>
        <v>0</v>
      </c>
      <c r="K100" s="592">
        <f t="array" aca="1" ref="K100" ca="1">SUM(H32:H39*Produccion!$E$8:$E$15)</f>
        <v>0</v>
      </c>
      <c r="L100" s="592">
        <f t="array" aca="1" ref="L100" ca="1">SUM(I32:I39*Produccion!$E$8:$E$15)</f>
        <v>0</v>
      </c>
      <c r="M100" s="592">
        <f t="array" aca="1" ref="M100" ca="1">SUM(J32:J39*Produccion!$E$8:$E$15)</f>
        <v>0</v>
      </c>
      <c r="N100" s="592">
        <f t="array" aca="1" ref="N100" ca="1">SUM(K32:K39*Produccion!$E$8:$E$15)</f>
        <v>0</v>
      </c>
      <c r="O100" s="592">
        <f t="array" aca="1" ref="O100" ca="1">SUM(L32:L39*Produccion!$E$8:$E$15)</f>
        <v>0</v>
      </c>
      <c r="P100" s="592">
        <f t="array" aca="1" ref="P100" ca="1">SUM(M32:M39*Produccion!$E$8:$E$15)</f>
        <v>0</v>
      </c>
      <c r="Q100" s="1968">
        <f t="array" aca="1" ref="Q100:Q103" ca="1">'Distr CV 4'!E100:E103</f>
        <v>0</v>
      </c>
      <c r="R100" s="1968">
        <f ca="1"/>
        <v>0</v>
      </c>
      <c r="S100" s="1968">
        <f ca="1"/>
        <v>0</v>
      </c>
      <c r="T100" s="1968">
        <f ca="1"/>
        <v>0</v>
      </c>
      <c r="U100" s="1968">
        <f ca="1"/>
        <v>0</v>
      </c>
      <c r="V100" s="1968">
        <f ca="1"/>
        <v>0</v>
      </c>
      <c r="W100" s="1968">
        <f ca="1"/>
        <v>0</v>
      </c>
      <c r="X100" s="1968">
        <f ca="1"/>
        <v>0</v>
      </c>
      <c r="Y100" s="1986">
        <f ca="1"/>
        <v>0</v>
      </c>
    </row>
    <row r="101" spans="1:26" ht="15.75" customHeight="1">
      <c r="A101" s="1971" t="str">
        <v>10 meses antes</v>
      </c>
      <c r="B101" s="1967"/>
      <c r="C101" s="1967"/>
      <c r="D101" s="591">
        <f t="array" aca="1" ref="D101" ca="1">SUM(B32:B39*Produccion!$D$8:$D$15)</f>
        <v>0</v>
      </c>
      <c r="E101" s="591">
        <f t="array" aca="1" ref="E101" ca="1">SUM(C32:C39*Produccion!$D$8:$D$15)</f>
        <v>0</v>
      </c>
      <c r="F101" s="591">
        <f t="array" aca="1" ref="F101" ca="1">SUM(D32:D39*Produccion!$D$8:$D$15)</f>
        <v>0</v>
      </c>
      <c r="G101" s="591">
        <f t="array" aca="1" ref="G101" ca="1">SUM(E32:E39*Produccion!$D$8:$D$15)</f>
        <v>0</v>
      </c>
      <c r="H101" s="591">
        <f t="array" aca="1" ref="H101" ca="1">SUM(F32:F39*Produccion!$D$8:$D$15)</f>
        <v>0</v>
      </c>
      <c r="I101" s="591">
        <f t="array" aca="1" ref="I101" ca="1">SUM(G32:G39*Produccion!$D$8:$D$15)</f>
        <v>0</v>
      </c>
      <c r="J101" s="591">
        <f t="array" aca="1" ref="J101" ca="1">SUM(H32:H39*Produccion!$D$8:$D$15)</f>
        <v>0</v>
      </c>
      <c r="K101" s="591">
        <f t="array" aca="1" ref="K101" ca="1">SUM(I32:I39*Produccion!$D$8:$D$15)</f>
        <v>0</v>
      </c>
      <c r="L101" s="591">
        <f t="array" aca="1" ref="L101" ca="1">SUM(J32:J39*Produccion!$D$8:$D$15)</f>
        <v>0</v>
      </c>
      <c r="M101" s="591">
        <f t="array" aca="1" ref="M101" ca="1">SUM(K32:K39*Produccion!$D$8:$D$15)</f>
        <v>0</v>
      </c>
      <c r="N101" s="591">
        <f t="array" aca="1" ref="N101" ca="1">SUM(L32:L39*Produccion!$D$8:$D$15)</f>
        <v>0</v>
      </c>
      <c r="O101" s="591">
        <f t="array" aca="1" ref="O101" ca="1">SUM(M32:M39*Produccion!$D$8:$D$15)</f>
        <v>0</v>
      </c>
      <c r="P101" s="1968">
        <f t="array" aca="1" ref="P101:P103" ca="1">'Distr CV 4'!D101:D103</f>
        <v>0</v>
      </c>
      <c r="Q101" s="1968">
        <f ca="1"/>
        <v>0</v>
      </c>
      <c r="R101" s="1968">
        <f ca="1"/>
        <v>0</v>
      </c>
      <c r="S101" s="1968">
        <f ca="1"/>
        <v>0</v>
      </c>
      <c r="T101" s="1968">
        <f ca="1"/>
        <v>0</v>
      </c>
      <c r="U101" s="1968">
        <f ca="1"/>
        <v>0</v>
      </c>
      <c r="V101" s="1968">
        <f ca="1"/>
        <v>0</v>
      </c>
      <c r="W101" s="1968">
        <f ca="1"/>
        <v>0</v>
      </c>
      <c r="X101" s="1968">
        <f ca="1"/>
        <v>0</v>
      </c>
      <c r="Y101" s="1986">
        <f ca="1"/>
        <v>0</v>
      </c>
    </row>
    <row r="102" spans="1:26" ht="15.75" customHeight="1">
      <c r="A102" s="1971" t="str">
        <v>11 meses antes</v>
      </c>
      <c r="B102" s="1967"/>
      <c r="C102" s="592">
        <f t="array" aca="1" ref="C102" ca="1">SUM(B32:B39*Produccion!$C$8:$C$15)</f>
        <v>0</v>
      </c>
      <c r="D102" s="592">
        <f t="array" aca="1" ref="D102" ca="1">SUM(C32:C39*Produccion!$C$8:$C$15)</f>
        <v>0</v>
      </c>
      <c r="E102" s="592">
        <f t="array" aca="1" ref="E102" ca="1">SUM(D32:D39*Produccion!$C$8:$C$15)</f>
        <v>0</v>
      </c>
      <c r="F102" s="592">
        <f t="array" aca="1" ref="F102" ca="1">SUM(E32:E39*Produccion!$C$8:$C$15)</f>
        <v>0</v>
      </c>
      <c r="G102" s="592">
        <f t="array" aca="1" ref="G102" ca="1">SUM(F32:F39*Produccion!$C$8:$C$15)</f>
        <v>0</v>
      </c>
      <c r="H102" s="592">
        <f t="array" aca="1" ref="H102" ca="1">SUM(G32:G39*Produccion!$C$8:$C$15)</f>
        <v>0</v>
      </c>
      <c r="I102" s="592">
        <f t="array" aca="1" ref="I102" ca="1">SUM(H32:H39*Produccion!$C$8:$C$15)</f>
        <v>0</v>
      </c>
      <c r="J102" s="592">
        <f t="array" aca="1" ref="J102" ca="1">SUM(I32:I39*Produccion!$C$8:$C$15)</f>
        <v>0</v>
      </c>
      <c r="K102" s="592">
        <f t="array" aca="1" ref="K102" ca="1">SUM(J32:J39*Produccion!$C$8:$C$15)</f>
        <v>0</v>
      </c>
      <c r="L102" s="592">
        <f t="array" aca="1" ref="L102" ca="1">SUM(K32:K39*Produccion!$C$8:$C$15)</f>
        <v>0</v>
      </c>
      <c r="M102" s="592">
        <f t="array" aca="1" ref="M102" ca="1">SUM(L32:L39*Produccion!$C$8:$C$15)</f>
        <v>0</v>
      </c>
      <c r="N102" s="592">
        <f t="array" aca="1" ref="N102" ca="1">SUM(M32:M39*Produccion!$C$8:$C$15)</f>
        <v>0</v>
      </c>
      <c r="O102" s="1968">
        <f ca="1">'Distr CV 4'!C102</f>
        <v>0</v>
      </c>
      <c r="P102" s="1968">
        <f ca="1"/>
        <v>0</v>
      </c>
      <c r="Q102" s="1968">
        <f ca="1"/>
        <v>0</v>
      </c>
      <c r="R102" s="1968">
        <f ca="1"/>
        <v>0</v>
      </c>
      <c r="S102" s="1968">
        <f ca="1"/>
        <v>0</v>
      </c>
      <c r="T102" s="1968">
        <f ca="1"/>
        <v>0</v>
      </c>
      <c r="U102" s="1968">
        <f ca="1"/>
        <v>0</v>
      </c>
      <c r="V102" s="1968">
        <f ca="1"/>
        <v>0</v>
      </c>
      <c r="W102" s="1968">
        <f ca="1"/>
        <v>0</v>
      </c>
      <c r="X102" s="1968">
        <f ca="1"/>
        <v>0</v>
      </c>
      <c r="Y102" s="1986">
        <f ca="1"/>
        <v>0</v>
      </c>
    </row>
    <row r="103" spans="1:26" ht="15.75" customHeight="1" thickBot="1">
      <c r="A103" s="1971" t="str">
        <v>12 meses antes</v>
      </c>
      <c r="B103" s="592">
        <f t="array" aca="1" ref="B103" ca="1">SUM(B32:B39*Produccion!$B$8:$B$15)</f>
        <v>0</v>
      </c>
      <c r="C103" s="592">
        <f t="array" aca="1" ref="C103" ca="1">SUM(C32:C39*Produccion!$B$8:$B$15)</f>
        <v>0</v>
      </c>
      <c r="D103" s="592">
        <f t="array" aca="1" ref="D103" ca="1">SUM(D32:D39*Produccion!$B$8:$B$15)</f>
        <v>0</v>
      </c>
      <c r="E103" s="592">
        <f t="array" aca="1" ref="E103" ca="1">SUM(E32:E39*Produccion!$B$8:$B$15)</f>
        <v>0</v>
      </c>
      <c r="F103" s="592">
        <f t="array" aca="1" ref="F103" ca="1">SUM(F32:F39*Produccion!$B$8:$B$15)</f>
        <v>0</v>
      </c>
      <c r="G103" s="592">
        <f t="array" aca="1" ref="G103" ca="1">SUM(G32:G39*Produccion!$B$8:$B$15)</f>
        <v>0</v>
      </c>
      <c r="H103" s="592">
        <f t="array" aca="1" ref="H103" ca="1">SUM(H32:H39*Produccion!$B$8:$B$15)</f>
        <v>0</v>
      </c>
      <c r="I103" s="592">
        <f t="array" aca="1" ref="I103" ca="1">SUM(I32:I39*Produccion!$B$8:$B$15)</f>
        <v>0</v>
      </c>
      <c r="J103" s="592">
        <f t="array" aca="1" ref="J103" ca="1">SUM(J32:J39*Produccion!$B$8:$B$15)</f>
        <v>0</v>
      </c>
      <c r="K103" s="592">
        <f t="array" aca="1" ref="K103" ca="1">SUM(K32:K39*Produccion!$B$8:$B$15)</f>
        <v>0</v>
      </c>
      <c r="L103" s="592">
        <f t="array" aca="1" ref="L103" ca="1">SUM(L32:L39*Produccion!$B$8:$B$15)</f>
        <v>0</v>
      </c>
      <c r="M103" s="592">
        <f t="array" aca="1" ref="M103" ca="1">SUM(M32:M39*Produccion!$B$8:$B$15)</f>
        <v>0</v>
      </c>
      <c r="N103" s="1968">
        <f ca="1">'Distr CV 4'!B103</f>
        <v>0</v>
      </c>
      <c r="O103" s="1968">
        <f ca="1">'Distr CV 4'!C103</f>
        <v>0</v>
      </c>
      <c r="P103" s="1968">
        <f ca="1"/>
        <v>0</v>
      </c>
      <c r="Q103" s="1968">
        <f ca="1"/>
        <v>0</v>
      </c>
      <c r="R103" s="1968">
        <f ca="1"/>
        <v>0</v>
      </c>
      <c r="S103" s="1968">
        <f ca="1"/>
        <v>0</v>
      </c>
      <c r="T103" s="1968">
        <f ca="1"/>
        <v>0</v>
      </c>
      <c r="U103" s="1968">
        <f ca="1"/>
        <v>0</v>
      </c>
      <c r="V103" s="1968">
        <f ca="1"/>
        <v>0</v>
      </c>
      <c r="W103" s="1968">
        <f ca="1"/>
        <v>0</v>
      </c>
      <c r="X103" s="1968">
        <f ca="1"/>
        <v>0</v>
      </c>
      <c r="Y103" s="1986">
        <f ca="1"/>
        <v>0</v>
      </c>
    </row>
    <row r="104" spans="1:26" ht="15.75" customHeight="1" thickBot="1">
      <c r="A104" s="103" t="str">
        <v>Totales</v>
      </c>
      <c r="B104" s="596">
        <f t="shared" ref="B104:Y104" ca="1" si="9">SUM(B91:B103)</f>
        <v>0</v>
      </c>
      <c r="C104" s="596">
        <f t="shared" ca="1" si="9"/>
        <v>0</v>
      </c>
      <c r="D104" s="596">
        <f t="shared" ca="1" si="9"/>
        <v>0</v>
      </c>
      <c r="E104" s="596">
        <f t="shared" ca="1" si="9"/>
        <v>0</v>
      </c>
      <c r="F104" s="596">
        <f t="shared" ca="1" si="9"/>
        <v>0</v>
      </c>
      <c r="G104" s="596">
        <f t="shared" ca="1" si="9"/>
        <v>0</v>
      </c>
      <c r="H104" s="596">
        <f t="shared" ca="1" si="9"/>
        <v>0</v>
      </c>
      <c r="I104" s="596">
        <f t="shared" ca="1" si="9"/>
        <v>0</v>
      </c>
      <c r="J104" s="596">
        <f t="shared" ca="1" si="9"/>
        <v>0</v>
      </c>
      <c r="K104" s="596">
        <f t="shared" ca="1" si="9"/>
        <v>0</v>
      </c>
      <c r="L104" s="596">
        <f t="shared" ca="1" si="9"/>
        <v>0</v>
      </c>
      <c r="M104" s="596">
        <f t="shared" ca="1" si="9"/>
        <v>0</v>
      </c>
      <c r="N104" s="596">
        <f t="shared" ca="1" si="9"/>
        <v>62.380920000000003</v>
      </c>
      <c r="O104" s="596">
        <f t="shared" ca="1" si="9"/>
        <v>77.976150000000004</v>
      </c>
      <c r="P104" s="596">
        <f t="shared" ca="1" si="9"/>
        <v>85.773764999999997</v>
      </c>
      <c r="Q104" s="596">
        <f t="shared" ca="1" si="9"/>
        <v>81.874957500000008</v>
      </c>
      <c r="R104" s="596">
        <f t="shared" ca="1" si="9"/>
        <v>70.178535000000011</v>
      </c>
      <c r="S104" s="596">
        <f t="shared" ca="1" si="9"/>
        <v>66.279727499999993</v>
      </c>
      <c r="T104" s="596">
        <f t="shared" ca="1" si="9"/>
        <v>62.380920000000003</v>
      </c>
      <c r="U104" s="596">
        <f t="shared" ca="1" si="9"/>
        <v>46.785690000000002</v>
      </c>
      <c r="V104" s="596">
        <f t="shared" ca="1" si="9"/>
        <v>62.380920000000003</v>
      </c>
      <c r="W104" s="596">
        <f t="shared" ca="1" si="9"/>
        <v>74.0773425</v>
      </c>
      <c r="X104" s="596">
        <f t="shared" ca="1" si="9"/>
        <v>77.976150000000004</v>
      </c>
      <c r="Y104" s="1984">
        <f t="shared" ca="1" si="9"/>
        <v>93.571380000000005</v>
      </c>
    </row>
    <row r="106" spans="1:26">
      <c r="A106" s="232" t="str">
        <f>'Datos Básicos'!A28&amp;" del pendiente anterior"</f>
        <v>IVA del pendiente anterior</v>
      </c>
      <c r="B106" s="61">
        <f ca="1">SUM(B104:M104)</f>
        <v>0</v>
      </c>
    </row>
    <row r="108" spans="1:26">
      <c r="F108" s="61" t="s">
        <v>885</v>
      </c>
      <c r="K108" s="61" t="s">
        <v>887</v>
      </c>
    </row>
    <row r="109" spans="1:26" ht="18.75" thickBot="1">
      <c r="A109" s="1969" t="str">
        <f>'Distr CV 0'!A109</f>
        <v>Compras / costes de producción por meses de producto o servicio</v>
      </c>
      <c r="I109" s="1969" t="str">
        <f>I$18</f>
        <v>IVA NO incluido</v>
      </c>
      <c r="K109" s="1981">
        <f>Parametros!$F$24</f>
        <v>0.21</v>
      </c>
    </row>
    <row r="110" spans="1:26" s="445" customFormat="1" ht="30" customHeight="1" thickBot="1">
      <c r="A110" s="446" t="s">
        <v>886</v>
      </c>
      <c r="B110" s="1987" t="str">
        <f t="array" ref="B110:Y110">B$71:Y$71</f>
        <v>enero 
2028</v>
      </c>
      <c r="C110" s="1987" t="str">
        <v>febrero 
2028</v>
      </c>
      <c r="D110" s="1987" t="str">
        <v>marzo 
2028</v>
      </c>
      <c r="E110" s="1987" t="str">
        <v>abril 
2028</v>
      </c>
      <c r="F110" s="1987" t="str">
        <v>mayo 
2028</v>
      </c>
      <c r="G110" s="1987" t="str">
        <v>junio 
2028</v>
      </c>
      <c r="H110" s="1987" t="str">
        <v>julio 
2028</v>
      </c>
      <c r="I110" s="1987" t="str">
        <v>agosto 
2028</v>
      </c>
      <c r="J110" s="1987" t="str">
        <v>septiembre 
2028</v>
      </c>
      <c r="K110" s="1987" t="str">
        <v>octubre 
2028</v>
      </c>
      <c r="L110" s="1987" t="str">
        <v>noviembre 
2028</v>
      </c>
      <c r="M110" s="1987" t="str">
        <v>diciembre 
2028</v>
      </c>
      <c r="N110" s="2703" t="str">
        <v>enero 
2029</v>
      </c>
      <c r="O110" s="2704" t="str">
        <v>febrero 
2029</v>
      </c>
      <c r="P110" s="2704" t="str">
        <v>marzo 
2029</v>
      </c>
      <c r="Q110" s="2704" t="str">
        <v>abril 
2029</v>
      </c>
      <c r="R110" s="2704" t="str">
        <v>mayo 
2029</v>
      </c>
      <c r="S110" s="2704" t="str">
        <v>junio 
2029</v>
      </c>
      <c r="T110" s="2704" t="str">
        <v>julio 
2029</v>
      </c>
      <c r="U110" s="2704" t="str">
        <v>agosto 
2029</v>
      </c>
      <c r="V110" s="2704" t="str">
        <v>septiembre 
2029</v>
      </c>
      <c r="W110" s="2704" t="str">
        <v>octubre 
2029</v>
      </c>
      <c r="X110" s="2704" t="str">
        <v>noviembre 
2029</v>
      </c>
      <c r="Y110" s="2705" t="str">
        <v>diciembre 
2029</v>
      </c>
      <c r="Z110" s="61"/>
    </row>
    <row r="111" spans="1:26">
      <c r="A111" s="1970" t="str">
        <f t="array" ref="A111:A123">A$72:A$84</f>
        <v>mismo mes</v>
      </c>
      <c r="B111" s="1967"/>
      <c r="C111" s="1967"/>
      <c r="D111" s="1967"/>
      <c r="E111" s="1967"/>
      <c r="F111" s="1967"/>
      <c r="G111" s="1967"/>
      <c r="H111" s="1967"/>
      <c r="I111" s="1967"/>
      <c r="J111" s="1967"/>
      <c r="K111" s="1967"/>
      <c r="L111" s="1967"/>
      <c r="M111" s="1967"/>
      <c r="N111" s="592">
        <f t="array" aca="1" ref="N111:Y111" ca="1">B$20:M20*Produccion!$N$8</f>
        <v>297.05200000000002</v>
      </c>
      <c r="O111" s="592">
        <f ca="1"/>
        <v>371.31500000000005</v>
      </c>
      <c r="P111" s="592">
        <f ca="1"/>
        <v>408.44650000000001</v>
      </c>
      <c r="Q111" s="592">
        <f ca="1"/>
        <v>389.88075000000003</v>
      </c>
      <c r="R111" s="592">
        <f ca="1"/>
        <v>334.18350000000004</v>
      </c>
      <c r="S111" s="592">
        <f ca="1"/>
        <v>315.61775</v>
      </c>
      <c r="T111" s="592">
        <f ca="1"/>
        <v>297.05200000000002</v>
      </c>
      <c r="U111" s="592">
        <f ca="1"/>
        <v>222.78900000000002</v>
      </c>
      <c r="V111" s="592">
        <f ca="1"/>
        <v>297.05200000000002</v>
      </c>
      <c r="W111" s="592">
        <f ca="1"/>
        <v>352.74925000000002</v>
      </c>
      <c r="X111" s="592">
        <f ca="1"/>
        <v>371.31500000000005</v>
      </c>
      <c r="Y111" s="1982">
        <f ca="1"/>
        <v>445.57800000000003</v>
      </c>
    </row>
    <row r="112" spans="1:26">
      <c r="A112" s="1971" t="str">
        <v>1 mes antes</v>
      </c>
      <c r="B112" s="1967"/>
      <c r="C112" s="1967"/>
      <c r="D112" s="1967"/>
      <c r="E112" s="1967"/>
      <c r="F112" s="1967"/>
      <c r="G112" s="1967"/>
      <c r="H112" s="1967"/>
      <c r="I112" s="1967"/>
      <c r="J112" s="1967"/>
      <c r="K112" s="1967"/>
      <c r="L112" s="1967"/>
      <c r="M112" s="592">
        <f t="array" aca="1" ref="M112:X112" ca="1">B$20:M20*Produccion!$M$8</f>
        <v>0</v>
      </c>
      <c r="N112" s="592">
        <f ca="1"/>
        <v>0</v>
      </c>
      <c r="O112" s="592">
        <f ca="1"/>
        <v>0</v>
      </c>
      <c r="P112" s="592">
        <f ca="1"/>
        <v>0</v>
      </c>
      <c r="Q112" s="592">
        <f ca="1"/>
        <v>0</v>
      </c>
      <c r="R112" s="592">
        <f ca="1"/>
        <v>0</v>
      </c>
      <c r="S112" s="592">
        <f ca="1"/>
        <v>0</v>
      </c>
      <c r="T112" s="592">
        <f ca="1"/>
        <v>0</v>
      </c>
      <c r="U112" s="592">
        <f ca="1"/>
        <v>0</v>
      </c>
      <c r="V112" s="592">
        <f ca="1"/>
        <v>0</v>
      </c>
      <c r="W112" s="592">
        <f ca="1"/>
        <v>0</v>
      </c>
      <c r="X112" s="592">
        <f ca="1"/>
        <v>0</v>
      </c>
      <c r="Y112" s="1983">
        <f t="array" aca="1" ref="Y112:Y123" ca="1">'Distr CV 4'!M112:M123</f>
        <v>0</v>
      </c>
    </row>
    <row r="113" spans="1:25">
      <c r="A113" s="1971" t="str">
        <v>2 meses antes</v>
      </c>
      <c r="B113" s="1967"/>
      <c r="C113" s="1967"/>
      <c r="D113" s="1967"/>
      <c r="E113" s="1967"/>
      <c r="F113" s="1967"/>
      <c r="G113" s="1967"/>
      <c r="H113" s="1967"/>
      <c r="I113" s="1967"/>
      <c r="J113" s="1967"/>
      <c r="K113" s="1967"/>
      <c r="L113" s="592">
        <f t="array" aca="1" ref="L113:W113" ca="1">B$20:M20*Produccion!$L$8</f>
        <v>0</v>
      </c>
      <c r="M113" s="592">
        <f ca="1"/>
        <v>0</v>
      </c>
      <c r="N113" s="592">
        <f ca="1"/>
        <v>0</v>
      </c>
      <c r="O113" s="592">
        <f ca="1"/>
        <v>0</v>
      </c>
      <c r="P113" s="592">
        <f ca="1"/>
        <v>0</v>
      </c>
      <c r="Q113" s="592">
        <f ca="1"/>
        <v>0</v>
      </c>
      <c r="R113" s="592">
        <f ca="1"/>
        <v>0</v>
      </c>
      <c r="S113" s="592">
        <f ca="1"/>
        <v>0</v>
      </c>
      <c r="T113" s="592">
        <f ca="1"/>
        <v>0</v>
      </c>
      <c r="U113" s="592">
        <f ca="1"/>
        <v>0</v>
      </c>
      <c r="V113" s="592">
        <f ca="1"/>
        <v>0</v>
      </c>
      <c r="W113" s="592">
        <f ca="1"/>
        <v>0</v>
      </c>
      <c r="X113" s="1964">
        <f t="array" aca="1" ref="X113:X123" ca="1">'Distr CV 4'!L113:L123</f>
        <v>0</v>
      </c>
      <c r="Y113" s="1983">
        <f ca="1"/>
        <v>0</v>
      </c>
    </row>
    <row r="114" spans="1:25">
      <c r="A114" s="1971" t="str">
        <v>3 meses antes</v>
      </c>
      <c r="B114" s="1967"/>
      <c r="C114" s="1967"/>
      <c r="D114" s="1967"/>
      <c r="E114" s="1967"/>
      <c r="F114" s="1967"/>
      <c r="G114" s="1967"/>
      <c r="H114" s="1967"/>
      <c r="I114" s="1967"/>
      <c r="J114" s="1967"/>
      <c r="K114" s="592">
        <f t="array" aca="1" ref="K114:V114" ca="1">B$20:M20*Produccion!$K$8</f>
        <v>0</v>
      </c>
      <c r="L114" s="592">
        <f ca="1"/>
        <v>0</v>
      </c>
      <c r="M114" s="592">
        <f ca="1"/>
        <v>0</v>
      </c>
      <c r="N114" s="592">
        <f ca="1"/>
        <v>0</v>
      </c>
      <c r="O114" s="592">
        <f ca="1"/>
        <v>0</v>
      </c>
      <c r="P114" s="592">
        <f ca="1"/>
        <v>0</v>
      </c>
      <c r="Q114" s="592">
        <f ca="1"/>
        <v>0</v>
      </c>
      <c r="R114" s="592">
        <f ca="1"/>
        <v>0</v>
      </c>
      <c r="S114" s="592">
        <f ca="1"/>
        <v>0</v>
      </c>
      <c r="T114" s="592">
        <f ca="1"/>
        <v>0</v>
      </c>
      <c r="U114" s="592">
        <f ca="1"/>
        <v>0</v>
      </c>
      <c r="V114" s="592">
        <f ca="1"/>
        <v>0</v>
      </c>
      <c r="W114" s="1964">
        <f t="array" aca="1" ref="W114:W123" ca="1">'Distr CV 4'!K114:K123</f>
        <v>0</v>
      </c>
      <c r="X114" s="1964">
        <f ca="1"/>
        <v>0</v>
      </c>
      <c r="Y114" s="1983">
        <f ca="1"/>
        <v>0</v>
      </c>
    </row>
    <row r="115" spans="1:25">
      <c r="A115" s="1971" t="str">
        <v>4 meses antes</v>
      </c>
      <c r="B115" s="1967"/>
      <c r="C115" s="1967"/>
      <c r="D115" s="1967"/>
      <c r="E115" s="1967"/>
      <c r="F115" s="1967"/>
      <c r="G115" s="1967"/>
      <c r="H115" s="1967"/>
      <c r="I115" s="1967"/>
      <c r="J115" s="592">
        <f t="array" aca="1" ref="J115:U115" ca="1">B$20:M20*Produccion!$J$8</f>
        <v>0</v>
      </c>
      <c r="K115" s="592">
        <f ca="1"/>
        <v>0</v>
      </c>
      <c r="L115" s="592">
        <f ca="1"/>
        <v>0</v>
      </c>
      <c r="M115" s="592">
        <f ca="1"/>
        <v>0</v>
      </c>
      <c r="N115" s="592">
        <f ca="1"/>
        <v>0</v>
      </c>
      <c r="O115" s="592">
        <f ca="1"/>
        <v>0</v>
      </c>
      <c r="P115" s="592">
        <f ca="1"/>
        <v>0</v>
      </c>
      <c r="Q115" s="592">
        <f ca="1"/>
        <v>0</v>
      </c>
      <c r="R115" s="592">
        <f ca="1"/>
        <v>0</v>
      </c>
      <c r="S115" s="592">
        <f ca="1"/>
        <v>0</v>
      </c>
      <c r="T115" s="592">
        <f ca="1"/>
        <v>0</v>
      </c>
      <c r="U115" s="592">
        <f ca="1"/>
        <v>0</v>
      </c>
      <c r="V115" s="1964">
        <f t="array" aca="1" ref="V115:V123" ca="1">'Distr CV 4'!J115:J123</f>
        <v>0</v>
      </c>
      <c r="W115" s="1964">
        <f ca="1"/>
        <v>0</v>
      </c>
      <c r="X115" s="1964">
        <f ca="1"/>
        <v>0</v>
      </c>
      <c r="Y115" s="1983">
        <f ca="1"/>
        <v>0</v>
      </c>
    </row>
    <row r="116" spans="1:25">
      <c r="A116" s="1971" t="str">
        <v>5 meses antes</v>
      </c>
      <c r="B116" s="1967"/>
      <c r="C116" s="1967"/>
      <c r="D116" s="1967"/>
      <c r="E116" s="1967"/>
      <c r="F116" s="1967"/>
      <c r="G116" s="1967"/>
      <c r="H116" s="1967"/>
      <c r="I116" s="592">
        <f t="array" aca="1" ref="I116:T116" ca="1">B$20:M20*Produccion!$I$8</f>
        <v>0</v>
      </c>
      <c r="J116" s="592">
        <f ca="1"/>
        <v>0</v>
      </c>
      <c r="K116" s="592">
        <f ca="1"/>
        <v>0</v>
      </c>
      <c r="L116" s="592">
        <f ca="1"/>
        <v>0</v>
      </c>
      <c r="M116" s="592">
        <f ca="1"/>
        <v>0</v>
      </c>
      <c r="N116" s="592">
        <f ca="1"/>
        <v>0</v>
      </c>
      <c r="O116" s="592">
        <f ca="1"/>
        <v>0</v>
      </c>
      <c r="P116" s="592">
        <f ca="1"/>
        <v>0</v>
      </c>
      <c r="Q116" s="592">
        <f ca="1"/>
        <v>0</v>
      </c>
      <c r="R116" s="592">
        <f ca="1"/>
        <v>0</v>
      </c>
      <c r="S116" s="592">
        <f ca="1"/>
        <v>0</v>
      </c>
      <c r="T116" s="592">
        <f ca="1"/>
        <v>0</v>
      </c>
      <c r="U116" s="1964">
        <f t="array" aca="1" ref="U116:U123" ca="1">'Distr CV 4'!I116:I123</f>
        <v>0</v>
      </c>
      <c r="V116" s="1964">
        <f ca="1"/>
        <v>0</v>
      </c>
      <c r="W116" s="1964">
        <f ca="1"/>
        <v>0</v>
      </c>
      <c r="X116" s="1964">
        <f ca="1"/>
        <v>0</v>
      </c>
      <c r="Y116" s="1983">
        <f ca="1"/>
        <v>0</v>
      </c>
    </row>
    <row r="117" spans="1:25">
      <c r="A117" s="1971" t="str">
        <v>6 meses antes</v>
      </c>
      <c r="B117" s="1967"/>
      <c r="C117" s="1967"/>
      <c r="D117" s="1967"/>
      <c r="E117" s="1967"/>
      <c r="F117" s="1967"/>
      <c r="G117" s="1967"/>
      <c r="H117" s="592">
        <f t="array" aca="1" ref="H117:S117" ca="1">B$20:M20*Produccion!$H$8</f>
        <v>0</v>
      </c>
      <c r="I117" s="592">
        <f ca="1"/>
        <v>0</v>
      </c>
      <c r="J117" s="592">
        <f ca="1"/>
        <v>0</v>
      </c>
      <c r="K117" s="592">
        <f ca="1"/>
        <v>0</v>
      </c>
      <c r="L117" s="592">
        <f ca="1"/>
        <v>0</v>
      </c>
      <c r="M117" s="592">
        <f ca="1"/>
        <v>0</v>
      </c>
      <c r="N117" s="592">
        <f ca="1"/>
        <v>0</v>
      </c>
      <c r="O117" s="592">
        <f ca="1"/>
        <v>0</v>
      </c>
      <c r="P117" s="592">
        <f ca="1"/>
        <v>0</v>
      </c>
      <c r="Q117" s="592">
        <f ca="1"/>
        <v>0</v>
      </c>
      <c r="R117" s="592">
        <f ca="1"/>
        <v>0</v>
      </c>
      <c r="S117" s="592">
        <f ca="1"/>
        <v>0</v>
      </c>
      <c r="T117" s="1964">
        <f t="array" aca="1" ref="T117:T123" ca="1">'Distr CV 4'!H117:H123</f>
        <v>0</v>
      </c>
      <c r="U117" s="1964">
        <f ca="1"/>
        <v>0</v>
      </c>
      <c r="V117" s="1964">
        <f ca="1"/>
        <v>0</v>
      </c>
      <c r="W117" s="1964">
        <f ca="1"/>
        <v>0</v>
      </c>
      <c r="X117" s="1964">
        <f ca="1"/>
        <v>0</v>
      </c>
      <c r="Y117" s="1983">
        <f ca="1"/>
        <v>0</v>
      </c>
    </row>
    <row r="118" spans="1:25">
      <c r="A118" s="1971" t="str">
        <v>7 meses antes</v>
      </c>
      <c r="B118" s="1967"/>
      <c r="C118" s="1967"/>
      <c r="D118" s="1967"/>
      <c r="E118" s="1967"/>
      <c r="F118" s="1967"/>
      <c r="G118" s="592">
        <f t="array" aca="1" ref="G118:R118" ca="1">B$20:M20*Produccion!$G$8</f>
        <v>0</v>
      </c>
      <c r="H118" s="592">
        <f ca="1"/>
        <v>0</v>
      </c>
      <c r="I118" s="592">
        <f ca="1"/>
        <v>0</v>
      </c>
      <c r="J118" s="592">
        <f ca="1"/>
        <v>0</v>
      </c>
      <c r="K118" s="592">
        <f ca="1"/>
        <v>0</v>
      </c>
      <c r="L118" s="592">
        <f ca="1"/>
        <v>0</v>
      </c>
      <c r="M118" s="592">
        <f ca="1"/>
        <v>0</v>
      </c>
      <c r="N118" s="592">
        <f ca="1"/>
        <v>0</v>
      </c>
      <c r="O118" s="592">
        <f ca="1"/>
        <v>0</v>
      </c>
      <c r="P118" s="592">
        <f ca="1"/>
        <v>0</v>
      </c>
      <c r="Q118" s="592">
        <f ca="1"/>
        <v>0</v>
      </c>
      <c r="R118" s="592">
        <f ca="1"/>
        <v>0</v>
      </c>
      <c r="S118" s="1968">
        <f t="array" aca="1" ref="S118:S123" ca="1">'Distr CV 4'!G118:G123</f>
        <v>0</v>
      </c>
      <c r="T118" s="1968">
        <f ca="1"/>
        <v>0</v>
      </c>
      <c r="U118" s="1968">
        <f ca="1"/>
        <v>0</v>
      </c>
      <c r="V118" s="1968">
        <f ca="1"/>
        <v>0</v>
      </c>
      <c r="W118" s="1968">
        <f ca="1"/>
        <v>0</v>
      </c>
      <c r="X118" s="1968">
        <f ca="1"/>
        <v>0</v>
      </c>
      <c r="Y118" s="1986">
        <f ca="1"/>
        <v>0</v>
      </c>
    </row>
    <row r="119" spans="1:25">
      <c r="A119" s="1971" t="str">
        <v>8 meses antes</v>
      </c>
      <c r="B119" s="1967"/>
      <c r="C119" s="1967"/>
      <c r="D119" s="1967"/>
      <c r="E119" s="1967"/>
      <c r="F119" s="592">
        <f t="array" aca="1" ref="F119:Q119" ca="1">B$20:M20*Produccion!$F$8</f>
        <v>0</v>
      </c>
      <c r="G119" s="592">
        <f ca="1"/>
        <v>0</v>
      </c>
      <c r="H119" s="592">
        <f ca="1"/>
        <v>0</v>
      </c>
      <c r="I119" s="592">
        <f ca="1"/>
        <v>0</v>
      </c>
      <c r="J119" s="592">
        <f ca="1"/>
        <v>0</v>
      </c>
      <c r="K119" s="592">
        <f ca="1"/>
        <v>0</v>
      </c>
      <c r="L119" s="592">
        <f ca="1"/>
        <v>0</v>
      </c>
      <c r="M119" s="592">
        <f ca="1"/>
        <v>0</v>
      </c>
      <c r="N119" s="592">
        <f ca="1"/>
        <v>0</v>
      </c>
      <c r="O119" s="592">
        <f ca="1"/>
        <v>0</v>
      </c>
      <c r="P119" s="592">
        <f ca="1"/>
        <v>0</v>
      </c>
      <c r="Q119" s="592">
        <f ca="1"/>
        <v>0</v>
      </c>
      <c r="R119" s="1968">
        <f t="array" aca="1" ref="R119:R123" ca="1">'Distr CV 4'!F119:F123</f>
        <v>0</v>
      </c>
      <c r="S119" s="1968">
        <f ca="1"/>
        <v>0</v>
      </c>
      <c r="T119" s="1968">
        <f ca="1"/>
        <v>0</v>
      </c>
      <c r="U119" s="1968">
        <f ca="1"/>
        <v>0</v>
      </c>
      <c r="V119" s="1968">
        <f ca="1"/>
        <v>0</v>
      </c>
      <c r="W119" s="1968">
        <f ca="1"/>
        <v>0</v>
      </c>
      <c r="X119" s="1968">
        <f ca="1"/>
        <v>0</v>
      </c>
      <c r="Y119" s="1986">
        <f ca="1"/>
        <v>0</v>
      </c>
    </row>
    <row r="120" spans="1:25">
      <c r="A120" s="1971" t="str">
        <v>9 meses antes</v>
      </c>
      <c r="B120" s="1967"/>
      <c r="C120" s="1967"/>
      <c r="D120" s="1967"/>
      <c r="E120" s="592">
        <f t="array" aca="1" ref="E120:P120" ca="1">B$20:M20*Produccion!$E$8</f>
        <v>0</v>
      </c>
      <c r="F120" s="592">
        <f ca="1"/>
        <v>0</v>
      </c>
      <c r="G120" s="592">
        <f ca="1"/>
        <v>0</v>
      </c>
      <c r="H120" s="592">
        <f ca="1"/>
        <v>0</v>
      </c>
      <c r="I120" s="592">
        <f ca="1"/>
        <v>0</v>
      </c>
      <c r="J120" s="592">
        <f ca="1"/>
        <v>0</v>
      </c>
      <c r="K120" s="592">
        <f ca="1"/>
        <v>0</v>
      </c>
      <c r="L120" s="592">
        <f ca="1"/>
        <v>0</v>
      </c>
      <c r="M120" s="592">
        <f ca="1"/>
        <v>0</v>
      </c>
      <c r="N120" s="592">
        <f ca="1"/>
        <v>0</v>
      </c>
      <c r="O120" s="592">
        <f ca="1"/>
        <v>0</v>
      </c>
      <c r="P120" s="592">
        <f ca="1"/>
        <v>0</v>
      </c>
      <c r="Q120" s="1968">
        <f t="array" aca="1" ref="Q120:Q123" ca="1">'Distr CV 4'!E120:E123</f>
        <v>0</v>
      </c>
      <c r="R120" s="1968">
        <f ca="1"/>
        <v>0</v>
      </c>
      <c r="S120" s="1968">
        <f ca="1"/>
        <v>0</v>
      </c>
      <c r="T120" s="1968">
        <f ca="1"/>
        <v>0</v>
      </c>
      <c r="U120" s="1968">
        <f ca="1"/>
        <v>0</v>
      </c>
      <c r="V120" s="1968">
        <f ca="1"/>
        <v>0</v>
      </c>
      <c r="W120" s="1968">
        <f ca="1"/>
        <v>0</v>
      </c>
      <c r="X120" s="1968">
        <f ca="1"/>
        <v>0</v>
      </c>
      <c r="Y120" s="1986">
        <f ca="1"/>
        <v>0</v>
      </c>
    </row>
    <row r="121" spans="1:25">
      <c r="A121" s="1971" t="str">
        <v>10 meses antes</v>
      </c>
      <c r="B121" s="1967"/>
      <c r="C121" s="1967"/>
      <c r="D121" s="592">
        <f t="array" aca="1" ref="D121:O121" ca="1">B$20:M20*Produccion!$D$8</f>
        <v>0</v>
      </c>
      <c r="E121" s="592">
        <f ca="1"/>
        <v>0</v>
      </c>
      <c r="F121" s="592">
        <f ca="1"/>
        <v>0</v>
      </c>
      <c r="G121" s="592">
        <f ca="1"/>
        <v>0</v>
      </c>
      <c r="H121" s="592">
        <f ca="1"/>
        <v>0</v>
      </c>
      <c r="I121" s="592">
        <f ca="1"/>
        <v>0</v>
      </c>
      <c r="J121" s="592">
        <f ca="1"/>
        <v>0</v>
      </c>
      <c r="K121" s="592">
        <f ca="1"/>
        <v>0</v>
      </c>
      <c r="L121" s="592">
        <f ca="1"/>
        <v>0</v>
      </c>
      <c r="M121" s="592">
        <f ca="1"/>
        <v>0</v>
      </c>
      <c r="N121" s="592">
        <f ca="1"/>
        <v>0</v>
      </c>
      <c r="O121" s="592">
        <f ca="1"/>
        <v>0</v>
      </c>
      <c r="P121" s="1968">
        <f t="array" aca="1" ref="P121:P123" ca="1">'Distr CV 4'!D121:D123</f>
        <v>0</v>
      </c>
      <c r="Q121" s="1968">
        <f ca="1"/>
        <v>0</v>
      </c>
      <c r="R121" s="1968">
        <f ca="1"/>
        <v>0</v>
      </c>
      <c r="S121" s="1968">
        <f ca="1"/>
        <v>0</v>
      </c>
      <c r="T121" s="1968">
        <f ca="1"/>
        <v>0</v>
      </c>
      <c r="U121" s="1968">
        <f ca="1"/>
        <v>0</v>
      </c>
      <c r="V121" s="1968">
        <f ca="1"/>
        <v>0</v>
      </c>
      <c r="W121" s="1968">
        <f ca="1"/>
        <v>0</v>
      </c>
      <c r="X121" s="1968">
        <f ca="1"/>
        <v>0</v>
      </c>
      <c r="Y121" s="1986">
        <f ca="1"/>
        <v>0</v>
      </c>
    </row>
    <row r="122" spans="1:25">
      <c r="A122" s="1971" t="str">
        <v>11 meses antes</v>
      </c>
      <c r="B122" s="1967"/>
      <c r="C122" s="592">
        <f t="array" aca="1" ref="C122:N122" ca="1">B$20:M20*Produccion!$C$8</f>
        <v>0</v>
      </c>
      <c r="D122" s="592">
        <f ca="1"/>
        <v>0</v>
      </c>
      <c r="E122" s="592">
        <f ca="1"/>
        <v>0</v>
      </c>
      <c r="F122" s="592">
        <f ca="1"/>
        <v>0</v>
      </c>
      <c r="G122" s="592">
        <f ca="1"/>
        <v>0</v>
      </c>
      <c r="H122" s="592">
        <f ca="1"/>
        <v>0</v>
      </c>
      <c r="I122" s="592">
        <f ca="1"/>
        <v>0</v>
      </c>
      <c r="J122" s="592">
        <f ca="1"/>
        <v>0</v>
      </c>
      <c r="K122" s="592">
        <f ca="1"/>
        <v>0</v>
      </c>
      <c r="L122" s="592">
        <f ca="1"/>
        <v>0</v>
      </c>
      <c r="M122" s="592">
        <f ca="1"/>
        <v>0</v>
      </c>
      <c r="N122" s="592">
        <f ca="1"/>
        <v>0</v>
      </c>
      <c r="O122" s="1968">
        <f ca="1">'Distr CV 4'!C122</f>
        <v>0</v>
      </c>
      <c r="P122" s="1968">
        <f ca="1"/>
        <v>0</v>
      </c>
      <c r="Q122" s="1968">
        <f ca="1"/>
        <v>0</v>
      </c>
      <c r="R122" s="1968">
        <f ca="1"/>
        <v>0</v>
      </c>
      <c r="S122" s="1968">
        <f ca="1"/>
        <v>0</v>
      </c>
      <c r="T122" s="1968">
        <f ca="1"/>
        <v>0</v>
      </c>
      <c r="U122" s="1968">
        <f ca="1"/>
        <v>0</v>
      </c>
      <c r="V122" s="1968">
        <f ca="1"/>
        <v>0</v>
      </c>
      <c r="W122" s="1968">
        <f ca="1"/>
        <v>0</v>
      </c>
      <c r="X122" s="1968">
        <f ca="1"/>
        <v>0</v>
      </c>
      <c r="Y122" s="1986">
        <f ca="1"/>
        <v>0</v>
      </c>
    </row>
    <row r="123" spans="1:25" ht="13.5" thickBot="1">
      <c r="A123" s="1971" t="str">
        <v>12 meses antes</v>
      </c>
      <c r="B123" s="592">
        <f t="array" aca="1" ref="B123:M123" ca="1">B$20:M20*Produccion!$B$8</f>
        <v>0</v>
      </c>
      <c r="C123" s="592">
        <f ca="1"/>
        <v>0</v>
      </c>
      <c r="D123" s="592">
        <f ca="1"/>
        <v>0</v>
      </c>
      <c r="E123" s="592">
        <f ca="1"/>
        <v>0</v>
      </c>
      <c r="F123" s="592">
        <f ca="1"/>
        <v>0</v>
      </c>
      <c r="G123" s="592">
        <f ca="1"/>
        <v>0</v>
      </c>
      <c r="H123" s="592">
        <f ca="1"/>
        <v>0</v>
      </c>
      <c r="I123" s="592">
        <f ca="1"/>
        <v>0</v>
      </c>
      <c r="J123" s="592">
        <f ca="1"/>
        <v>0</v>
      </c>
      <c r="K123" s="592">
        <f ca="1"/>
        <v>0</v>
      </c>
      <c r="L123" s="592">
        <f ca="1"/>
        <v>0</v>
      </c>
      <c r="M123" s="592">
        <f ca="1"/>
        <v>0</v>
      </c>
      <c r="N123" s="1968">
        <f ca="1">'Distr CV 4'!B123</f>
        <v>0</v>
      </c>
      <c r="O123" s="1968">
        <f ca="1">'Distr CV 4'!C123</f>
        <v>0</v>
      </c>
      <c r="P123" s="1968">
        <f ca="1"/>
        <v>0</v>
      </c>
      <c r="Q123" s="1968">
        <f ca="1"/>
        <v>0</v>
      </c>
      <c r="R123" s="1968">
        <f ca="1"/>
        <v>0</v>
      </c>
      <c r="S123" s="1968">
        <f ca="1"/>
        <v>0</v>
      </c>
      <c r="T123" s="1968">
        <f ca="1"/>
        <v>0</v>
      </c>
      <c r="U123" s="1968">
        <f ca="1"/>
        <v>0</v>
      </c>
      <c r="V123" s="1968">
        <f ca="1"/>
        <v>0</v>
      </c>
      <c r="W123" s="1968">
        <f ca="1"/>
        <v>0</v>
      </c>
      <c r="X123" s="1968">
        <f ca="1"/>
        <v>0</v>
      </c>
      <c r="Y123" s="1986">
        <f ca="1"/>
        <v>0</v>
      </c>
    </row>
    <row r="124" spans="1:25" ht="15.75" customHeight="1" thickBot="1">
      <c r="A124" s="103" t="str">
        <f>"Totales CV "&amp;A$8</f>
        <v>Totales CV producto o servicio</v>
      </c>
      <c r="B124" s="596">
        <f t="shared" ref="B124:Y124" ca="1" si="10">SUM(B111:B123)</f>
        <v>0</v>
      </c>
      <c r="C124" s="596">
        <f t="shared" ca="1" si="10"/>
        <v>0</v>
      </c>
      <c r="D124" s="596">
        <f t="shared" ca="1" si="10"/>
        <v>0</v>
      </c>
      <c r="E124" s="596">
        <f t="shared" ca="1" si="10"/>
        <v>0</v>
      </c>
      <c r="F124" s="596">
        <f t="shared" ca="1" si="10"/>
        <v>0</v>
      </c>
      <c r="G124" s="596">
        <f t="shared" ca="1" si="10"/>
        <v>0</v>
      </c>
      <c r="H124" s="596">
        <f t="shared" ca="1" si="10"/>
        <v>0</v>
      </c>
      <c r="I124" s="596">
        <f t="shared" ca="1" si="10"/>
        <v>0</v>
      </c>
      <c r="J124" s="596">
        <f t="shared" ca="1" si="10"/>
        <v>0</v>
      </c>
      <c r="K124" s="596">
        <f t="shared" ca="1" si="10"/>
        <v>0</v>
      </c>
      <c r="L124" s="596">
        <f t="shared" ca="1" si="10"/>
        <v>0</v>
      </c>
      <c r="M124" s="596">
        <f t="shared" ca="1" si="10"/>
        <v>0</v>
      </c>
      <c r="N124" s="596">
        <f t="shared" ca="1" si="10"/>
        <v>297.05200000000002</v>
      </c>
      <c r="O124" s="596">
        <f t="shared" ca="1" si="10"/>
        <v>371.31500000000005</v>
      </c>
      <c r="P124" s="596">
        <f t="shared" ca="1" si="10"/>
        <v>408.44650000000001</v>
      </c>
      <c r="Q124" s="596">
        <f t="shared" ca="1" si="10"/>
        <v>389.88075000000003</v>
      </c>
      <c r="R124" s="596">
        <f t="shared" ca="1" si="10"/>
        <v>334.18350000000004</v>
      </c>
      <c r="S124" s="596">
        <f t="shared" ca="1" si="10"/>
        <v>315.61775</v>
      </c>
      <c r="T124" s="596">
        <f t="shared" ca="1" si="10"/>
        <v>297.05200000000002</v>
      </c>
      <c r="U124" s="596">
        <f t="shared" ca="1" si="10"/>
        <v>222.78900000000002</v>
      </c>
      <c r="V124" s="596">
        <f t="shared" ca="1" si="10"/>
        <v>297.05200000000002</v>
      </c>
      <c r="W124" s="596">
        <f t="shared" ca="1" si="10"/>
        <v>352.74925000000002</v>
      </c>
      <c r="X124" s="596">
        <f t="shared" ca="1" si="10"/>
        <v>371.31500000000005</v>
      </c>
      <c r="Y124" s="1984">
        <f t="shared" ca="1" si="10"/>
        <v>445.57800000000003</v>
      </c>
    </row>
    <row r="125" spans="1:25" ht="15.75" customHeight="1" thickBot="1">
      <c r="A125" s="103" t="str">
        <f>'Datos Básicos'!A28&amp;" sop. CV "&amp;$A$8</f>
        <v>IVA sop. CV producto o servicio</v>
      </c>
      <c r="B125" s="596">
        <f t="array" aca="1" ref="B125:Y125" ca="1">$K$109*B124:Y124</f>
        <v>0</v>
      </c>
      <c r="C125" s="596">
        <f ca="1"/>
        <v>0</v>
      </c>
      <c r="D125" s="596">
        <f ca="1"/>
        <v>0</v>
      </c>
      <c r="E125" s="596">
        <f ca="1"/>
        <v>0</v>
      </c>
      <c r="F125" s="596">
        <f ca="1"/>
        <v>0</v>
      </c>
      <c r="G125" s="596">
        <f ca="1"/>
        <v>0</v>
      </c>
      <c r="H125" s="596">
        <f ca="1"/>
        <v>0</v>
      </c>
      <c r="I125" s="596">
        <f ca="1"/>
        <v>0</v>
      </c>
      <c r="J125" s="596">
        <f ca="1"/>
        <v>0</v>
      </c>
      <c r="K125" s="596">
        <f ca="1"/>
        <v>0</v>
      </c>
      <c r="L125" s="596">
        <f ca="1"/>
        <v>0</v>
      </c>
      <c r="M125" s="596">
        <f ca="1"/>
        <v>0</v>
      </c>
      <c r="N125" s="596">
        <f ca="1"/>
        <v>62.380920000000003</v>
      </c>
      <c r="O125" s="596">
        <f ca="1"/>
        <v>77.976150000000004</v>
      </c>
      <c r="P125" s="596">
        <f ca="1"/>
        <v>85.773764999999997</v>
      </c>
      <c r="Q125" s="596">
        <f ca="1"/>
        <v>81.874957500000008</v>
      </c>
      <c r="R125" s="596">
        <f ca="1"/>
        <v>70.178535000000011</v>
      </c>
      <c r="S125" s="596">
        <f ca="1"/>
        <v>66.279727499999993</v>
      </c>
      <c r="T125" s="596">
        <f ca="1"/>
        <v>62.380920000000003</v>
      </c>
      <c r="U125" s="596">
        <f ca="1"/>
        <v>46.785690000000002</v>
      </c>
      <c r="V125" s="596">
        <f ca="1"/>
        <v>62.380920000000003</v>
      </c>
      <c r="W125" s="596">
        <f ca="1"/>
        <v>74.0773425</v>
      </c>
      <c r="X125" s="596">
        <f ca="1"/>
        <v>77.976150000000004</v>
      </c>
      <c r="Y125" s="1984">
        <f ca="1"/>
        <v>93.571380000000005</v>
      </c>
    </row>
    <row r="127" spans="1:25" ht="18.75" thickBot="1">
      <c r="A127" s="1969" t="str">
        <f>'Distr CV 0'!A127</f>
        <v xml:space="preserve">Compras / costes de producción por meses de </v>
      </c>
      <c r="I127" s="1969" t="str">
        <f>I$18</f>
        <v>IVA NO incluido</v>
      </c>
      <c r="K127" s="1981">
        <f>Parametros!$F$25</f>
        <v>0.21</v>
      </c>
    </row>
    <row r="128" spans="1:25" ht="30" customHeight="1" thickBot="1">
      <c r="A128" s="446" t="str">
        <f>A$110</f>
        <v>mes de compra / coste</v>
      </c>
      <c r="B128" s="1987" t="str">
        <f t="array" ref="B128:Y128">B$71:Y$71</f>
        <v>enero 
2028</v>
      </c>
      <c r="C128" s="1987" t="str">
        <v>febrero 
2028</v>
      </c>
      <c r="D128" s="1987" t="str">
        <v>marzo 
2028</v>
      </c>
      <c r="E128" s="1987" t="str">
        <v>abril 
2028</v>
      </c>
      <c r="F128" s="1987" t="str">
        <v>mayo 
2028</v>
      </c>
      <c r="G128" s="1987" t="str">
        <v>junio 
2028</v>
      </c>
      <c r="H128" s="1987" t="str">
        <v>julio 
2028</v>
      </c>
      <c r="I128" s="1987" t="str">
        <v>agosto 
2028</v>
      </c>
      <c r="J128" s="1987" t="str">
        <v>septiembre 
2028</v>
      </c>
      <c r="K128" s="1987" t="str">
        <v>octubre 
2028</v>
      </c>
      <c r="L128" s="1987" t="str">
        <v>noviembre 
2028</v>
      </c>
      <c r="M128" s="1987" t="str">
        <v>diciembre 
2028</v>
      </c>
      <c r="N128" s="2703" t="str">
        <v>enero 
2029</v>
      </c>
      <c r="O128" s="2704" t="str">
        <v>febrero 
2029</v>
      </c>
      <c r="P128" s="2704" t="str">
        <v>marzo 
2029</v>
      </c>
      <c r="Q128" s="2704" t="str">
        <v>abril 
2029</v>
      </c>
      <c r="R128" s="2704" t="str">
        <v>mayo 
2029</v>
      </c>
      <c r="S128" s="2704" t="str">
        <v>junio 
2029</v>
      </c>
      <c r="T128" s="2704" t="str">
        <v>julio 
2029</v>
      </c>
      <c r="U128" s="2704" t="str">
        <v>agosto 
2029</v>
      </c>
      <c r="V128" s="2704" t="str">
        <v>septiembre 
2029</v>
      </c>
      <c r="W128" s="2704" t="str">
        <v>octubre 
2029</v>
      </c>
      <c r="X128" s="2704" t="str">
        <v>noviembre 
2029</v>
      </c>
      <c r="Y128" s="2705" t="str">
        <v>diciembre 
2029</v>
      </c>
    </row>
    <row r="129" spans="1:25">
      <c r="A129" s="1970" t="str">
        <f t="array" ref="A129:A141">A$72:A$84</f>
        <v>mismo mes</v>
      </c>
      <c r="B129" s="1967"/>
      <c r="C129" s="1967"/>
      <c r="D129" s="1967"/>
      <c r="E129" s="1967"/>
      <c r="F129" s="1967"/>
      <c r="G129" s="1967"/>
      <c r="H129" s="1967"/>
      <c r="I129" s="1967"/>
      <c r="J129" s="1967"/>
      <c r="K129" s="1967"/>
      <c r="L129" s="1967"/>
      <c r="M129" s="1967"/>
      <c r="N129" s="592">
        <f t="array" aca="1" ref="N129:Y129" ca="1">B21:M21*Produccion!$N$9</f>
        <v>0</v>
      </c>
      <c r="O129" s="592">
        <f ca="1"/>
        <v>0</v>
      </c>
      <c r="P129" s="592">
        <f ca="1"/>
        <v>0</v>
      </c>
      <c r="Q129" s="592">
        <f ca="1"/>
        <v>0</v>
      </c>
      <c r="R129" s="592">
        <f ca="1"/>
        <v>0</v>
      </c>
      <c r="S129" s="592">
        <f ca="1"/>
        <v>0</v>
      </c>
      <c r="T129" s="592">
        <f ca="1"/>
        <v>0</v>
      </c>
      <c r="U129" s="592">
        <f ca="1"/>
        <v>0</v>
      </c>
      <c r="V129" s="592">
        <f ca="1"/>
        <v>0</v>
      </c>
      <c r="W129" s="592">
        <f ca="1"/>
        <v>0</v>
      </c>
      <c r="X129" s="592">
        <f ca="1"/>
        <v>0</v>
      </c>
      <c r="Y129" s="1982">
        <f ca="1"/>
        <v>0</v>
      </c>
    </row>
    <row r="130" spans="1:25">
      <c r="A130" s="1971" t="str">
        <v>1 mes antes</v>
      </c>
      <c r="B130" s="1967"/>
      <c r="C130" s="1967"/>
      <c r="D130" s="1967"/>
      <c r="E130" s="1967"/>
      <c r="F130" s="1967"/>
      <c r="G130" s="1967"/>
      <c r="H130" s="1967"/>
      <c r="I130" s="1967"/>
      <c r="J130" s="1967"/>
      <c r="K130" s="1967"/>
      <c r="L130" s="1967"/>
      <c r="M130" s="592">
        <f t="array" aca="1" ref="M130:X130" ca="1">B21:M21*Produccion!$M$9</f>
        <v>0</v>
      </c>
      <c r="N130" s="592">
        <f ca="1"/>
        <v>0</v>
      </c>
      <c r="O130" s="592">
        <f ca="1"/>
        <v>0</v>
      </c>
      <c r="P130" s="592">
        <f ca="1"/>
        <v>0</v>
      </c>
      <c r="Q130" s="592">
        <f ca="1"/>
        <v>0</v>
      </c>
      <c r="R130" s="592">
        <f ca="1"/>
        <v>0</v>
      </c>
      <c r="S130" s="592">
        <f ca="1"/>
        <v>0</v>
      </c>
      <c r="T130" s="592">
        <f ca="1"/>
        <v>0</v>
      </c>
      <c r="U130" s="592">
        <f ca="1"/>
        <v>0</v>
      </c>
      <c r="V130" s="592">
        <f ca="1"/>
        <v>0</v>
      </c>
      <c r="W130" s="592">
        <f ca="1"/>
        <v>0</v>
      </c>
      <c r="X130" s="592">
        <f ca="1"/>
        <v>0</v>
      </c>
      <c r="Y130" s="1983">
        <f t="array" aca="1" ref="Y130:Y141" ca="1">'Distr CV 4'!M130:M141</f>
        <v>0</v>
      </c>
    </row>
    <row r="131" spans="1:25">
      <c r="A131" s="1971" t="str">
        <v>2 meses antes</v>
      </c>
      <c r="B131" s="1967"/>
      <c r="C131" s="1967"/>
      <c r="D131" s="1967"/>
      <c r="E131" s="1967"/>
      <c r="F131" s="1967"/>
      <c r="G131" s="1967"/>
      <c r="H131" s="1967"/>
      <c r="I131" s="1967"/>
      <c r="J131" s="1967"/>
      <c r="K131" s="1967"/>
      <c r="L131" s="592">
        <f t="array" aca="1" ref="L131:W131" ca="1">B21:M21*Produccion!$L$9</f>
        <v>0</v>
      </c>
      <c r="M131" s="592">
        <f ca="1"/>
        <v>0</v>
      </c>
      <c r="N131" s="592">
        <f ca="1"/>
        <v>0</v>
      </c>
      <c r="O131" s="592">
        <f ca="1"/>
        <v>0</v>
      </c>
      <c r="P131" s="592">
        <f ca="1"/>
        <v>0</v>
      </c>
      <c r="Q131" s="592">
        <f ca="1"/>
        <v>0</v>
      </c>
      <c r="R131" s="592">
        <f ca="1"/>
        <v>0</v>
      </c>
      <c r="S131" s="592">
        <f ca="1"/>
        <v>0</v>
      </c>
      <c r="T131" s="592">
        <f ca="1"/>
        <v>0</v>
      </c>
      <c r="U131" s="592">
        <f ca="1"/>
        <v>0</v>
      </c>
      <c r="V131" s="592">
        <f ca="1"/>
        <v>0</v>
      </c>
      <c r="W131" s="592">
        <f ca="1"/>
        <v>0</v>
      </c>
      <c r="X131" s="1964">
        <f t="array" aca="1" ref="X131:X141" ca="1">'Distr CV 4'!L131:L141</f>
        <v>0</v>
      </c>
      <c r="Y131" s="1983">
        <f ca="1"/>
        <v>0</v>
      </c>
    </row>
    <row r="132" spans="1:25">
      <c r="A132" s="1971" t="str">
        <v>3 meses antes</v>
      </c>
      <c r="B132" s="1967"/>
      <c r="C132" s="1967"/>
      <c r="D132" s="1967"/>
      <c r="E132" s="1967"/>
      <c r="F132" s="1967"/>
      <c r="G132" s="1967"/>
      <c r="H132" s="1967"/>
      <c r="I132" s="1967"/>
      <c r="J132" s="1967"/>
      <c r="K132" s="592">
        <f t="array" aca="1" ref="K132:V132" ca="1">B21:M21*Produccion!$K$9</f>
        <v>0</v>
      </c>
      <c r="L132" s="592">
        <f ca="1"/>
        <v>0</v>
      </c>
      <c r="M132" s="592">
        <f ca="1"/>
        <v>0</v>
      </c>
      <c r="N132" s="592">
        <f ca="1"/>
        <v>0</v>
      </c>
      <c r="O132" s="592">
        <f ca="1"/>
        <v>0</v>
      </c>
      <c r="P132" s="592">
        <f ca="1"/>
        <v>0</v>
      </c>
      <c r="Q132" s="592">
        <f ca="1"/>
        <v>0</v>
      </c>
      <c r="R132" s="592">
        <f ca="1"/>
        <v>0</v>
      </c>
      <c r="S132" s="592">
        <f ca="1"/>
        <v>0</v>
      </c>
      <c r="T132" s="592">
        <f ca="1"/>
        <v>0</v>
      </c>
      <c r="U132" s="592">
        <f ca="1"/>
        <v>0</v>
      </c>
      <c r="V132" s="592">
        <f ca="1"/>
        <v>0</v>
      </c>
      <c r="W132" s="1964">
        <f t="array" aca="1" ref="W132:W141" ca="1">'Distr CV 4'!K132:K141</f>
        <v>0</v>
      </c>
      <c r="X132" s="1964">
        <f ca="1"/>
        <v>0</v>
      </c>
      <c r="Y132" s="1983">
        <f ca="1"/>
        <v>0</v>
      </c>
    </row>
    <row r="133" spans="1:25">
      <c r="A133" s="1971" t="str">
        <v>4 meses antes</v>
      </c>
      <c r="B133" s="1967"/>
      <c r="C133" s="1967"/>
      <c r="D133" s="1967"/>
      <c r="E133" s="1967"/>
      <c r="F133" s="1967"/>
      <c r="G133" s="1967"/>
      <c r="H133" s="1967"/>
      <c r="I133" s="1967"/>
      <c r="J133" s="592">
        <f t="array" aca="1" ref="J133:U133" ca="1">B21:M21*Produccion!$J$9</f>
        <v>0</v>
      </c>
      <c r="K133" s="592">
        <f ca="1"/>
        <v>0</v>
      </c>
      <c r="L133" s="592">
        <f ca="1"/>
        <v>0</v>
      </c>
      <c r="M133" s="592">
        <f ca="1"/>
        <v>0</v>
      </c>
      <c r="N133" s="592">
        <f ca="1"/>
        <v>0</v>
      </c>
      <c r="O133" s="592">
        <f ca="1"/>
        <v>0</v>
      </c>
      <c r="P133" s="592">
        <f ca="1"/>
        <v>0</v>
      </c>
      <c r="Q133" s="592">
        <f ca="1"/>
        <v>0</v>
      </c>
      <c r="R133" s="592">
        <f ca="1"/>
        <v>0</v>
      </c>
      <c r="S133" s="592">
        <f ca="1"/>
        <v>0</v>
      </c>
      <c r="T133" s="592">
        <f ca="1"/>
        <v>0</v>
      </c>
      <c r="U133" s="592">
        <f ca="1"/>
        <v>0</v>
      </c>
      <c r="V133" s="1964">
        <f t="array" aca="1" ref="V133:V141" ca="1">'Distr CV 4'!J133:J141</f>
        <v>0</v>
      </c>
      <c r="W133" s="1964">
        <f ca="1"/>
        <v>0</v>
      </c>
      <c r="X133" s="1964">
        <f ca="1"/>
        <v>0</v>
      </c>
      <c r="Y133" s="1983">
        <f ca="1"/>
        <v>0</v>
      </c>
    </row>
    <row r="134" spans="1:25">
      <c r="A134" s="1971" t="str">
        <v>5 meses antes</v>
      </c>
      <c r="B134" s="1967"/>
      <c r="C134" s="1967"/>
      <c r="D134" s="1967"/>
      <c r="E134" s="1967"/>
      <c r="F134" s="1967"/>
      <c r="G134" s="1967"/>
      <c r="H134" s="1967"/>
      <c r="I134" s="592">
        <f t="array" aca="1" ref="I134:T134" ca="1">B21:M21*Produccion!$I$9</f>
        <v>0</v>
      </c>
      <c r="J134" s="592">
        <f ca="1"/>
        <v>0</v>
      </c>
      <c r="K134" s="592">
        <f ca="1"/>
        <v>0</v>
      </c>
      <c r="L134" s="592">
        <f ca="1"/>
        <v>0</v>
      </c>
      <c r="M134" s="592">
        <f ca="1"/>
        <v>0</v>
      </c>
      <c r="N134" s="592">
        <f ca="1"/>
        <v>0</v>
      </c>
      <c r="O134" s="592">
        <f ca="1"/>
        <v>0</v>
      </c>
      <c r="P134" s="592">
        <f ca="1"/>
        <v>0</v>
      </c>
      <c r="Q134" s="592">
        <f ca="1"/>
        <v>0</v>
      </c>
      <c r="R134" s="592">
        <f ca="1"/>
        <v>0</v>
      </c>
      <c r="S134" s="592">
        <f ca="1"/>
        <v>0</v>
      </c>
      <c r="T134" s="592">
        <f ca="1"/>
        <v>0</v>
      </c>
      <c r="U134" s="1964">
        <f t="array" aca="1" ref="U134:U141" ca="1">'Distr CV 4'!I134:I141</f>
        <v>0</v>
      </c>
      <c r="V134" s="1964">
        <f ca="1"/>
        <v>0</v>
      </c>
      <c r="W134" s="1964">
        <f ca="1"/>
        <v>0</v>
      </c>
      <c r="X134" s="1964">
        <f ca="1"/>
        <v>0</v>
      </c>
      <c r="Y134" s="1983">
        <f ca="1"/>
        <v>0</v>
      </c>
    </row>
    <row r="135" spans="1:25">
      <c r="A135" s="1971" t="str">
        <v>6 meses antes</v>
      </c>
      <c r="B135" s="1967"/>
      <c r="C135" s="1967"/>
      <c r="D135" s="1967"/>
      <c r="E135" s="1967"/>
      <c r="F135" s="1967"/>
      <c r="G135" s="1967"/>
      <c r="H135" s="592">
        <f t="array" aca="1" ref="H135:S135" ca="1">B21:M21*Produccion!$H$9</f>
        <v>0</v>
      </c>
      <c r="I135" s="592">
        <f ca="1"/>
        <v>0</v>
      </c>
      <c r="J135" s="592">
        <f ca="1"/>
        <v>0</v>
      </c>
      <c r="K135" s="592">
        <f ca="1"/>
        <v>0</v>
      </c>
      <c r="L135" s="592">
        <f ca="1"/>
        <v>0</v>
      </c>
      <c r="M135" s="592">
        <f ca="1"/>
        <v>0</v>
      </c>
      <c r="N135" s="592">
        <f ca="1"/>
        <v>0</v>
      </c>
      <c r="O135" s="592">
        <f ca="1"/>
        <v>0</v>
      </c>
      <c r="P135" s="592">
        <f ca="1"/>
        <v>0</v>
      </c>
      <c r="Q135" s="592">
        <f ca="1"/>
        <v>0</v>
      </c>
      <c r="R135" s="592">
        <f ca="1"/>
        <v>0</v>
      </c>
      <c r="S135" s="592">
        <f ca="1"/>
        <v>0</v>
      </c>
      <c r="T135" s="1964">
        <f t="array" aca="1" ref="T135:T141" ca="1">'Distr CV 4'!H135:H141</f>
        <v>0</v>
      </c>
      <c r="U135" s="1964">
        <f ca="1"/>
        <v>0</v>
      </c>
      <c r="V135" s="1964">
        <f ca="1"/>
        <v>0</v>
      </c>
      <c r="W135" s="1964">
        <f ca="1"/>
        <v>0</v>
      </c>
      <c r="X135" s="1964">
        <f ca="1"/>
        <v>0</v>
      </c>
      <c r="Y135" s="1983">
        <f ca="1"/>
        <v>0</v>
      </c>
    </row>
    <row r="136" spans="1:25">
      <c r="A136" s="1971" t="str">
        <v>7 meses antes</v>
      </c>
      <c r="B136" s="1967"/>
      <c r="C136" s="1967"/>
      <c r="D136" s="1967"/>
      <c r="E136" s="1967"/>
      <c r="F136" s="1967"/>
      <c r="G136" s="592">
        <f t="array" aca="1" ref="G136:R136" ca="1">B21:M21*Produccion!$G$9</f>
        <v>0</v>
      </c>
      <c r="H136" s="592">
        <f ca="1"/>
        <v>0</v>
      </c>
      <c r="I136" s="592">
        <f ca="1"/>
        <v>0</v>
      </c>
      <c r="J136" s="592">
        <f ca="1"/>
        <v>0</v>
      </c>
      <c r="K136" s="592">
        <f ca="1"/>
        <v>0</v>
      </c>
      <c r="L136" s="592">
        <f ca="1"/>
        <v>0</v>
      </c>
      <c r="M136" s="592">
        <f ca="1"/>
        <v>0</v>
      </c>
      <c r="N136" s="592">
        <f ca="1"/>
        <v>0</v>
      </c>
      <c r="O136" s="592">
        <f ca="1"/>
        <v>0</v>
      </c>
      <c r="P136" s="592">
        <f ca="1"/>
        <v>0</v>
      </c>
      <c r="Q136" s="592">
        <f ca="1"/>
        <v>0</v>
      </c>
      <c r="R136" s="592">
        <f ca="1"/>
        <v>0</v>
      </c>
      <c r="S136" s="1968">
        <f t="array" aca="1" ref="S136:S141" ca="1">'Distr CV 4'!G136:G141</f>
        <v>0</v>
      </c>
      <c r="T136" s="1968">
        <f ca="1"/>
        <v>0</v>
      </c>
      <c r="U136" s="1968">
        <f ca="1"/>
        <v>0</v>
      </c>
      <c r="V136" s="1968">
        <f ca="1"/>
        <v>0</v>
      </c>
      <c r="W136" s="1968">
        <f ca="1"/>
        <v>0</v>
      </c>
      <c r="X136" s="1968">
        <f ca="1"/>
        <v>0</v>
      </c>
      <c r="Y136" s="1986">
        <f ca="1"/>
        <v>0</v>
      </c>
    </row>
    <row r="137" spans="1:25">
      <c r="A137" s="1971" t="str">
        <v>8 meses antes</v>
      </c>
      <c r="B137" s="1967"/>
      <c r="C137" s="1967"/>
      <c r="D137" s="1967"/>
      <c r="E137" s="1967"/>
      <c r="F137" s="592">
        <f t="array" aca="1" ref="F137:Q137" ca="1">B21:M21*Produccion!$F$9</f>
        <v>0</v>
      </c>
      <c r="G137" s="592">
        <f ca="1"/>
        <v>0</v>
      </c>
      <c r="H137" s="592">
        <f ca="1"/>
        <v>0</v>
      </c>
      <c r="I137" s="592">
        <f ca="1"/>
        <v>0</v>
      </c>
      <c r="J137" s="592">
        <f ca="1"/>
        <v>0</v>
      </c>
      <c r="K137" s="592">
        <f ca="1"/>
        <v>0</v>
      </c>
      <c r="L137" s="592">
        <f ca="1"/>
        <v>0</v>
      </c>
      <c r="M137" s="592">
        <f ca="1"/>
        <v>0</v>
      </c>
      <c r="N137" s="592">
        <f ca="1"/>
        <v>0</v>
      </c>
      <c r="O137" s="592">
        <f ca="1"/>
        <v>0</v>
      </c>
      <c r="P137" s="592">
        <f ca="1"/>
        <v>0</v>
      </c>
      <c r="Q137" s="592">
        <f ca="1"/>
        <v>0</v>
      </c>
      <c r="R137" s="1968">
        <f t="array" aca="1" ref="R137:R141" ca="1">'Distr CV 4'!F137:F141</f>
        <v>0</v>
      </c>
      <c r="S137" s="1968">
        <f ca="1"/>
        <v>0</v>
      </c>
      <c r="T137" s="1968">
        <f ca="1"/>
        <v>0</v>
      </c>
      <c r="U137" s="1968">
        <f ca="1"/>
        <v>0</v>
      </c>
      <c r="V137" s="1968">
        <f ca="1"/>
        <v>0</v>
      </c>
      <c r="W137" s="1968">
        <f ca="1"/>
        <v>0</v>
      </c>
      <c r="X137" s="1968">
        <f ca="1"/>
        <v>0</v>
      </c>
      <c r="Y137" s="1986">
        <f ca="1"/>
        <v>0</v>
      </c>
    </row>
    <row r="138" spans="1:25">
      <c r="A138" s="1971" t="str">
        <v>9 meses antes</v>
      </c>
      <c r="B138" s="1967"/>
      <c r="C138" s="1967"/>
      <c r="D138" s="1967"/>
      <c r="E138" s="592">
        <f t="array" aca="1" ref="E138:P138" ca="1">B21:M21*Produccion!$E$9</f>
        <v>0</v>
      </c>
      <c r="F138" s="592">
        <f ca="1"/>
        <v>0</v>
      </c>
      <c r="G138" s="592">
        <f ca="1"/>
        <v>0</v>
      </c>
      <c r="H138" s="592">
        <f ca="1"/>
        <v>0</v>
      </c>
      <c r="I138" s="592">
        <f ca="1"/>
        <v>0</v>
      </c>
      <c r="J138" s="592">
        <f ca="1"/>
        <v>0</v>
      </c>
      <c r="K138" s="592">
        <f ca="1"/>
        <v>0</v>
      </c>
      <c r="L138" s="592">
        <f ca="1"/>
        <v>0</v>
      </c>
      <c r="M138" s="592">
        <f ca="1"/>
        <v>0</v>
      </c>
      <c r="N138" s="592">
        <f ca="1"/>
        <v>0</v>
      </c>
      <c r="O138" s="592">
        <f ca="1"/>
        <v>0</v>
      </c>
      <c r="P138" s="592">
        <f ca="1"/>
        <v>0</v>
      </c>
      <c r="Q138" s="1968">
        <f t="array" aca="1" ref="Q138:Q141" ca="1">'Distr CV 4'!E138:E141</f>
        <v>0</v>
      </c>
      <c r="R138" s="1968">
        <f ca="1"/>
        <v>0</v>
      </c>
      <c r="S138" s="1968">
        <f ca="1"/>
        <v>0</v>
      </c>
      <c r="T138" s="1968">
        <f ca="1"/>
        <v>0</v>
      </c>
      <c r="U138" s="1968">
        <f ca="1"/>
        <v>0</v>
      </c>
      <c r="V138" s="1968">
        <f ca="1"/>
        <v>0</v>
      </c>
      <c r="W138" s="1968">
        <f ca="1"/>
        <v>0</v>
      </c>
      <c r="X138" s="1968">
        <f ca="1"/>
        <v>0</v>
      </c>
      <c r="Y138" s="1986">
        <f ca="1"/>
        <v>0</v>
      </c>
    </row>
    <row r="139" spans="1:25">
      <c r="A139" s="1971" t="str">
        <v>10 meses antes</v>
      </c>
      <c r="B139" s="1967"/>
      <c r="C139" s="1967"/>
      <c r="D139" s="592">
        <f t="array" aca="1" ref="D139:O139" ca="1">B21:M21*Produccion!$D$9</f>
        <v>0</v>
      </c>
      <c r="E139" s="592">
        <f ca="1"/>
        <v>0</v>
      </c>
      <c r="F139" s="592">
        <f ca="1"/>
        <v>0</v>
      </c>
      <c r="G139" s="592">
        <f ca="1"/>
        <v>0</v>
      </c>
      <c r="H139" s="592">
        <f ca="1"/>
        <v>0</v>
      </c>
      <c r="I139" s="592">
        <f ca="1"/>
        <v>0</v>
      </c>
      <c r="J139" s="592">
        <f ca="1"/>
        <v>0</v>
      </c>
      <c r="K139" s="592">
        <f ca="1"/>
        <v>0</v>
      </c>
      <c r="L139" s="592">
        <f ca="1"/>
        <v>0</v>
      </c>
      <c r="M139" s="592">
        <f ca="1"/>
        <v>0</v>
      </c>
      <c r="N139" s="592">
        <f ca="1"/>
        <v>0</v>
      </c>
      <c r="O139" s="592">
        <f ca="1"/>
        <v>0</v>
      </c>
      <c r="P139" s="1968">
        <f t="array" aca="1" ref="P139:P141" ca="1">'Distr CV 4'!D139:D141</f>
        <v>0</v>
      </c>
      <c r="Q139" s="1968">
        <f ca="1"/>
        <v>0</v>
      </c>
      <c r="R139" s="1968">
        <f ca="1"/>
        <v>0</v>
      </c>
      <c r="S139" s="1968">
        <f ca="1"/>
        <v>0</v>
      </c>
      <c r="T139" s="1968">
        <f ca="1"/>
        <v>0</v>
      </c>
      <c r="U139" s="1968">
        <f ca="1"/>
        <v>0</v>
      </c>
      <c r="V139" s="1968">
        <f ca="1"/>
        <v>0</v>
      </c>
      <c r="W139" s="1968">
        <f ca="1"/>
        <v>0</v>
      </c>
      <c r="X139" s="1968">
        <f ca="1"/>
        <v>0</v>
      </c>
      <c r="Y139" s="1986">
        <f ca="1"/>
        <v>0</v>
      </c>
    </row>
    <row r="140" spans="1:25">
      <c r="A140" s="1971" t="str">
        <v>11 meses antes</v>
      </c>
      <c r="B140" s="1967"/>
      <c r="C140" s="592">
        <f t="array" aca="1" ref="C140:N140" ca="1">B21:M21*Produccion!$C$9</f>
        <v>0</v>
      </c>
      <c r="D140" s="592">
        <f ca="1"/>
        <v>0</v>
      </c>
      <c r="E140" s="592">
        <f ca="1"/>
        <v>0</v>
      </c>
      <c r="F140" s="592">
        <f ca="1"/>
        <v>0</v>
      </c>
      <c r="G140" s="592">
        <f ca="1"/>
        <v>0</v>
      </c>
      <c r="H140" s="592">
        <f ca="1"/>
        <v>0</v>
      </c>
      <c r="I140" s="592">
        <f ca="1"/>
        <v>0</v>
      </c>
      <c r="J140" s="592">
        <f ca="1"/>
        <v>0</v>
      </c>
      <c r="K140" s="592">
        <f ca="1"/>
        <v>0</v>
      </c>
      <c r="L140" s="592">
        <f ca="1"/>
        <v>0</v>
      </c>
      <c r="M140" s="592">
        <f ca="1"/>
        <v>0</v>
      </c>
      <c r="N140" s="592">
        <f ca="1"/>
        <v>0</v>
      </c>
      <c r="O140" s="1968">
        <f ca="1">'Distr CV 4'!C140</f>
        <v>0</v>
      </c>
      <c r="P140" s="1968">
        <f ca="1"/>
        <v>0</v>
      </c>
      <c r="Q140" s="1968">
        <f ca="1"/>
        <v>0</v>
      </c>
      <c r="R140" s="1968">
        <f ca="1"/>
        <v>0</v>
      </c>
      <c r="S140" s="1968">
        <f ca="1"/>
        <v>0</v>
      </c>
      <c r="T140" s="1968">
        <f ca="1"/>
        <v>0</v>
      </c>
      <c r="U140" s="1968">
        <f ca="1"/>
        <v>0</v>
      </c>
      <c r="V140" s="1968">
        <f ca="1"/>
        <v>0</v>
      </c>
      <c r="W140" s="1968">
        <f ca="1"/>
        <v>0</v>
      </c>
      <c r="X140" s="1968">
        <f ca="1"/>
        <v>0</v>
      </c>
      <c r="Y140" s="1986">
        <f ca="1"/>
        <v>0</v>
      </c>
    </row>
    <row r="141" spans="1:25" ht="13.5" thickBot="1">
      <c r="A141" s="1971" t="str">
        <v>12 meses antes</v>
      </c>
      <c r="B141" s="592">
        <f t="array" aca="1" ref="B141:M141" ca="1">B21:M21*Produccion!$B$9</f>
        <v>0</v>
      </c>
      <c r="C141" s="592">
        <f ca="1"/>
        <v>0</v>
      </c>
      <c r="D141" s="592">
        <f ca="1"/>
        <v>0</v>
      </c>
      <c r="E141" s="592">
        <f ca="1"/>
        <v>0</v>
      </c>
      <c r="F141" s="592">
        <f ca="1"/>
        <v>0</v>
      </c>
      <c r="G141" s="592">
        <f ca="1"/>
        <v>0</v>
      </c>
      <c r="H141" s="592">
        <f ca="1"/>
        <v>0</v>
      </c>
      <c r="I141" s="592">
        <f ca="1"/>
        <v>0</v>
      </c>
      <c r="J141" s="592">
        <f ca="1"/>
        <v>0</v>
      </c>
      <c r="K141" s="592">
        <f ca="1"/>
        <v>0</v>
      </c>
      <c r="L141" s="592">
        <f ca="1"/>
        <v>0</v>
      </c>
      <c r="M141" s="592">
        <f ca="1"/>
        <v>0</v>
      </c>
      <c r="N141" s="1967">
        <f ca="1">'Distr CV 4'!B141</f>
        <v>0</v>
      </c>
      <c r="O141" s="1968">
        <f ca="1">'Distr CV 4'!C141</f>
        <v>0</v>
      </c>
      <c r="P141" s="1968">
        <f ca="1"/>
        <v>0</v>
      </c>
      <c r="Q141" s="1968">
        <f ca="1"/>
        <v>0</v>
      </c>
      <c r="R141" s="1968">
        <f ca="1"/>
        <v>0</v>
      </c>
      <c r="S141" s="1968">
        <f ca="1"/>
        <v>0</v>
      </c>
      <c r="T141" s="1968">
        <f ca="1"/>
        <v>0</v>
      </c>
      <c r="U141" s="1968">
        <f ca="1"/>
        <v>0</v>
      </c>
      <c r="V141" s="1968">
        <f ca="1"/>
        <v>0</v>
      </c>
      <c r="W141" s="1968">
        <f ca="1"/>
        <v>0</v>
      </c>
      <c r="X141" s="1968">
        <f ca="1"/>
        <v>0</v>
      </c>
      <c r="Y141" s="1986">
        <f ca="1"/>
        <v>0</v>
      </c>
    </row>
    <row r="142" spans="1:25" ht="13.5" thickBot="1">
      <c r="A142" s="103" t="str">
        <f>"Totales CV "&amp;A$9</f>
        <v xml:space="preserve">Totales CV </v>
      </c>
      <c r="B142" s="596">
        <f t="shared" ref="B142:Y142" ca="1" si="11">SUM(B129:B141)</f>
        <v>0</v>
      </c>
      <c r="C142" s="596">
        <f t="shared" ca="1" si="11"/>
        <v>0</v>
      </c>
      <c r="D142" s="596">
        <f t="shared" ca="1" si="11"/>
        <v>0</v>
      </c>
      <c r="E142" s="596">
        <f t="shared" ca="1" si="11"/>
        <v>0</v>
      </c>
      <c r="F142" s="596">
        <f t="shared" ca="1" si="11"/>
        <v>0</v>
      </c>
      <c r="G142" s="596">
        <f t="shared" ca="1" si="11"/>
        <v>0</v>
      </c>
      <c r="H142" s="596">
        <f t="shared" ca="1" si="11"/>
        <v>0</v>
      </c>
      <c r="I142" s="596">
        <f t="shared" ca="1" si="11"/>
        <v>0</v>
      </c>
      <c r="J142" s="596">
        <f t="shared" ca="1" si="11"/>
        <v>0</v>
      </c>
      <c r="K142" s="596">
        <f t="shared" ca="1" si="11"/>
        <v>0</v>
      </c>
      <c r="L142" s="596">
        <f t="shared" ca="1" si="11"/>
        <v>0</v>
      </c>
      <c r="M142" s="596">
        <f t="shared" ca="1" si="11"/>
        <v>0</v>
      </c>
      <c r="N142" s="596">
        <f t="shared" ca="1" si="11"/>
        <v>0</v>
      </c>
      <c r="O142" s="596">
        <f t="shared" ca="1" si="11"/>
        <v>0</v>
      </c>
      <c r="P142" s="596">
        <f t="shared" ca="1" si="11"/>
        <v>0</v>
      </c>
      <c r="Q142" s="596">
        <f t="shared" ca="1" si="11"/>
        <v>0</v>
      </c>
      <c r="R142" s="596">
        <f t="shared" ca="1" si="11"/>
        <v>0</v>
      </c>
      <c r="S142" s="596">
        <f t="shared" ca="1" si="11"/>
        <v>0</v>
      </c>
      <c r="T142" s="596">
        <f t="shared" ca="1" si="11"/>
        <v>0</v>
      </c>
      <c r="U142" s="596">
        <f t="shared" ca="1" si="11"/>
        <v>0</v>
      </c>
      <c r="V142" s="596">
        <f t="shared" ca="1" si="11"/>
        <v>0</v>
      </c>
      <c r="W142" s="596">
        <f t="shared" ca="1" si="11"/>
        <v>0</v>
      </c>
      <c r="X142" s="596">
        <f t="shared" ca="1" si="11"/>
        <v>0</v>
      </c>
      <c r="Y142" s="1984">
        <f t="shared" ca="1" si="11"/>
        <v>0</v>
      </c>
    </row>
    <row r="143" spans="1:25" ht="13.5" thickBot="1">
      <c r="A143" s="103" t="str">
        <f>'Datos Básicos'!A28&amp;" sop. CV "&amp;$A$9</f>
        <v xml:space="preserve">IVA sop. CV </v>
      </c>
      <c r="B143" s="596">
        <f t="array" aca="1" ref="B143:Y143" ca="1">$K$127*B142:Y142</f>
        <v>0</v>
      </c>
      <c r="C143" s="596">
        <f ca="1"/>
        <v>0</v>
      </c>
      <c r="D143" s="596">
        <f ca="1"/>
        <v>0</v>
      </c>
      <c r="E143" s="596">
        <f ca="1"/>
        <v>0</v>
      </c>
      <c r="F143" s="596">
        <f ca="1"/>
        <v>0</v>
      </c>
      <c r="G143" s="596">
        <f ca="1"/>
        <v>0</v>
      </c>
      <c r="H143" s="596">
        <f ca="1"/>
        <v>0</v>
      </c>
      <c r="I143" s="596">
        <f ca="1"/>
        <v>0</v>
      </c>
      <c r="J143" s="596">
        <f ca="1"/>
        <v>0</v>
      </c>
      <c r="K143" s="596">
        <f ca="1"/>
        <v>0</v>
      </c>
      <c r="L143" s="596">
        <f ca="1"/>
        <v>0</v>
      </c>
      <c r="M143" s="596">
        <f ca="1"/>
        <v>0</v>
      </c>
      <c r="N143" s="596">
        <f ca="1"/>
        <v>0</v>
      </c>
      <c r="O143" s="596">
        <f ca="1"/>
        <v>0</v>
      </c>
      <c r="P143" s="596">
        <f ca="1"/>
        <v>0</v>
      </c>
      <c r="Q143" s="596">
        <f ca="1"/>
        <v>0</v>
      </c>
      <c r="R143" s="596">
        <f ca="1"/>
        <v>0</v>
      </c>
      <c r="S143" s="596">
        <f ca="1"/>
        <v>0</v>
      </c>
      <c r="T143" s="596">
        <f ca="1"/>
        <v>0</v>
      </c>
      <c r="U143" s="596">
        <f ca="1"/>
        <v>0</v>
      </c>
      <c r="V143" s="596">
        <f ca="1"/>
        <v>0</v>
      </c>
      <c r="W143" s="596">
        <f ca="1"/>
        <v>0</v>
      </c>
      <c r="X143" s="596">
        <f ca="1"/>
        <v>0</v>
      </c>
      <c r="Y143" s="1984">
        <f ca="1"/>
        <v>0</v>
      </c>
    </row>
    <row r="145" spans="1:25" ht="18.75" thickBot="1">
      <c r="A145" s="1969" t="str">
        <f>'Distr CV 0'!A145</f>
        <v xml:space="preserve">Compras / costes de producción por meses de </v>
      </c>
      <c r="I145" s="1969" t="str">
        <f>I$18</f>
        <v>IVA NO incluido</v>
      </c>
      <c r="K145" s="1981">
        <f>Parametros!$F$26</f>
        <v>0.21</v>
      </c>
    </row>
    <row r="146" spans="1:25" ht="30" customHeight="1" thickBot="1">
      <c r="A146" s="446" t="str">
        <f>A$110</f>
        <v>mes de compra / coste</v>
      </c>
      <c r="B146" s="1987" t="str">
        <f t="array" ref="B146:Y146">B$71:Y$71</f>
        <v>enero 
2028</v>
      </c>
      <c r="C146" s="1987" t="str">
        <v>febrero 
2028</v>
      </c>
      <c r="D146" s="1987" t="str">
        <v>marzo 
2028</v>
      </c>
      <c r="E146" s="1987" t="str">
        <v>abril 
2028</v>
      </c>
      <c r="F146" s="1987" t="str">
        <v>mayo 
2028</v>
      </c>
      <c r="G146" s="1987" t="str">
        <v>junio 
2028</v>
      </c>
      <c r="H146" s="1987" t="str">
        <v>julio 
2028</v>
      </c>
      <c r="I146" s="1987" t="str">
        <v>agosto 
2028</v>
      </c>
      <c r="J146" s="1987" t="str">
        <v>septiembre 
2028</v>
      </c>
      <c r="K146" s="1987" t="str">
        <v>octubre 
2028</v>
      </c>
      <c r="L146" s="1987" t="str">
        <v>noviembre 
2028</v>
      </c>
      <c r="M146" s="1987" t="str">
        <v>diciembre 
2028</v>
      </c>
      <c r="N146" s="2703" t="str">
        <v>enero 
2029</v>
      </c>
      <c r="O146" s="2704" t="str">
        <v>febrero 
2029</v>
      </c>
      <c r="P146" s="2704" t="str">
        <v>marzo 
2029</v>
      </c>
      <c r="Q146" s="2704" t="str">
        <v>abril 
2029</v>
      </c>
      <c r="R146" s="2704" t="str">
        <v>mayo 
2029</v>
      </c>
      <c r="S146" s="2704" t="str">
        <v>junio 
2029</v>
      </c>
      <c r="T146" s="2704" t="str">
        <v>julio 
2029</v>
      </c>
      <c r="U146" s="2704" t="str">
        <v>agosto 
2029</v>
      </c>
      <c r="V146" s="2704" t="str">
        <v>septiembre 
2029</v>
      </c>
      <c r="W146" s="2704" t="str">
        <v>octubre 
2029</v>
      </c>
      <c r="X146" s="2704" t="str">
        <v>noviembre 
2029</v>
      </c>
      <c r="Y146" s="2705" t="str">
        <v>diciembre 
2029</v>
      </c>
    </row>
    <row r="147" spans="1:25">
      <c r="A147" s="1970" t="str">
        <f t="array" ref="A147:A159">A$72:A$84</f>
        <v>mismo mes</v>
      </c>
      <c r="B147" s="1967"/>
      <c r="C147" s="1967"/>
      <c r="D147" s="1967"/>
      <c r="E147" s="1967"/>
      <c r="F147" s="1967"/>
      <c r="G147" s="1967"/>
      <c r="H147" s="1967"/>
      <c r="I147" s="1967"/>
      <c r="J147" s="1967"/>
      <c r="K147" s="1967"/>
      <c r="L147" s="1967"/>
      <c r="M147" s="1967"/>
      <c r="N147" s="592">
        <f t="array" aca="1" ref="N147:Y147" ca="1">B22:M22*Produccion!$N$10</f>
        <v>0</v>
      </c>
      <c r="O147" s="592">
        <f ca="1"/>
        <v>0</v>
      </c>
      <c r="P147" s="592">
        <f ca="1"/>
        <v>0</v>
      </c>
      <c r="Q147" s="592">
        <f ca="1"/>
        <v>0</v>
      </c>
      <c r="R147" s="592">
        <f ca="1"/>
        <v>0</v>
      </c>
      <c r="S147" s="592">
        <f ca="1"/>
        <v>0</v>
      </c>
      <c r="T147" s="592">
        <f ca="1"/>
        <v>0</v>
      </c>
      <c r="U147" s="592">
        <f ca="1"/>
        <v>0</v>
      </c>
      <c r="V147" s="592">
        <f ca="1"/>
        <v>0</v>
      </c>
      <c r="W147" s="592">
        <f ca="1"/>
        <v>0</v>
      </c>
      <c r="X147" s="592">
        <f ca="1"/>
        <v>0</v>
      </c>
      <c r="Y147" s="1982">
        <f ca="1"/>
        <v>0</v>
      </c>
    </row>
    <row r="148" spans="1:25">
      <c r="A148" s="1971" t="str">
        <v>1 mes antes</v>
      </c>
      <c r="B148" s="1967"/>
      <c r="C148" s="1967"/>
      <c r="D148" s="1967"/>
      <c r="E148" s="1967"/>
      <c r="F148" s="1967"/>
      <c r="G148" s="1967"/>
      <c r="H148" s="1967"/>
      <c r="I148" s="1967"/>
      <c r="J148" s="1967"/>
      <c r="K148" s="1967"/>
      <c r="L148" s="1967"/>
      <c r="M148" s="592">
        <f t="array" aca="1" ref="M148:X148" ca="1">B22:M22*Produccion!$M$10</f>
        <v>0</v>
      </c>
      <c r="N148" s="592">
        <f ca="1"/>
        <v>0</v>
      </c>
      <c r="O148" s="592">
        <f ca="1"/>
        <v>0</v>
      </c>
      <c r="P148" s="592">
        <f ca="1"/>
        <v>0</v>
      </c>
      <c r="Q148" s="592">
        <f ca="1"/>
        <v>0</v>
      </c>
      <c r="R148" s="592">
        <f ca="1"/>
        <v>0</v>
      </c>
      <c r="S148" s="592">
        <f ca="1"/>
        <v>0</v>
      </c>
      <c r="T148" s="592">
        <f ca="1"/>
        <v>0</v>
      </c>
      <c r="U148" s="592">
        <f ca="1"/>
        <v>0</v>
      </c>
      <c r="V148" s="592">
        <f ca="1"/>
        <v>0</v>
      </c>
      <c r="W148" s="592">
        <f ca="1"/>
        <v>0</v>
      </c>
      <c r="X148" s="592">
        <f ca="1"/>
        <v>0</v>
      </c>
      <c r="Y148" s="1983">
        <f t="array" aca="1" ref="Y148:Y159" ca="1">'Distr CV 4'!M148:M159</f>
        <v>0</v>
      </c>
    </row>
    <row r="149" spans="1:25">
      <c r="A149" s="1971" t="str">
        <v>2 meses antes</v>
      </c>
      <c r="B149" s="1967"/>
      <c r="C149" s="1967"/>
      <c r="D149" s="1967"/>
      <c r="E149" s="1967"/>
      <c r="F149" s="1967"/>
      <c r="G149" s="1967"/>
      <c r="H149" s="1967"/>
      <c r="I149" s="1967"/>
      <c r="J149" s="1967"/>
      <c r="K149" s="1967"/>
      <c r="L149" s="592">
        <f t="array" aca="1" ref="L149:W149" ca="1">B22:M22*Produccion!$L$10</f>
        <v>0</v>
      </c>
      <c r="M149" s="592">
        <f ca="1"/>
        <v>0</v>
      </c>
      <c r="N149" s="592">
        <f ca="1"/>
        <v>0</v>
      </c>
      <c r="O149" s="592">
        <f ca="1"/>
        <v>0</v>
      </c>
      <c r="P149" s="592">
        <f ca="1"/>
        <v>0</v>
      </c>
      <c r="Q149" s="592">
        <f ca="1"/>
        <v>0</v>
      </c>
      <c r="R149" s="592">
        <f ca="1"/>
        <v>0</v>
      </c>
      <c r="S149" s="592">
        <f ca="1"/>
        <v>0</v>
      </c>
      <c r="T149" s="592">
        <f ca="1"/>
        <v>0</v>
      </c>
      <c r="U149" s="592">
        <f ca="1"/>
        <v>0</v>
      </c>
      <c r="V149" s="592">
        <f ca="1"/>
        <v>0</v>
      </c>
      <c r="W149" s="592">
        <f ca="1"/>
        <v>0</v>
      </c>
      <c r="X149" s="1964">
        <f t="array" aca="1" ref="X149:X159" ca="1">'Distr CV 4'!L149:L159</f>
        <v>0</v>
      </c>
      <c r="Y149" s="1983">
        <f ca="1"/>
        <v>0</v>
      </c>
    </row>
    <row r="150" spans="1:25">
      <c r="A150" s="1971" t="str">
        <v>3 meses antes</v>
      </c>
      <c r="B150" s="1967"/>
      <c r="C150" s="1967"/>
      <c r="D150" s="1967"/>
      <c r="E150" s="1967"/>
      <c r="F150" s="1967"/>
      <c r="G150" s="1967"/>
      <c r="H150" s="1967"/>
      <c r="I150" s="1967"/>
      <c r="J150" s="1967"/>
      <c r="K150" s="592">
        <f t="array" aca="1" ref="K150:V150" ca="1">B22:M22*Produccion!$K$10</f>
        <v>0</v>
      </c>
      <c r="L150" s="592">
        <f ca="1"/>
        <v>0</v>
      </c>
      <c r="M150" s="592">
        <f ca="1"/>
        <v>0</v>
      </c>
      <c r="N150" s="592">
        <f ca="1"/>
        <v>0</v>
      </c>
      <c r="O150" s="592">
        <f ca="1"/>
        <v>0</v>
      </c>
      <c r="P150" s="592">
        <f ca="1"/>
        <v>0</v>
      </c>
      <c r="Q150" s="592">
        <f ca="1"/>
        <v>0</v>
      </c>
      <c r="R150" s="592">
        <f ca="1"/>
        <v>0</v>
      </c>
      <c r="S150" s="592">
        <f ca="1"/>
        <v>0</v>
      </c>
      <c r="T150" s="592">
        <f ca="1"/>
        <v>0</v>
      </c>
      <c r="U150" s="592">
        <f ca="1"/>
        <v>0</v>
      </c>
      <c r="V150" s="592">
        <f ca="1"/>
        <v>0</v>
      </c>
      <c r="W150" s="1964">
        <f t="array" aca="1" ref="W150:W159" ca="1">'Distr CV 4'!K150:K159</f>
        <v>0</v>
      </c>
      <c r="X150" s="1964">
        <f ca="1"/>
        <v>0</v>
      </c>
      <c r="Y150" s="1983">
        <f ca="1"/>
        <v>0</v>
      </c>
    </row>
    <row r="151" spans="1:25">
      <c r="A151" s="1971" t="str">
        <v>4 meses antes</v>
      </c>
      <c r="B151" s="1967"/>
      <c r="C151" s="1967"/>
      <c r="D151" s="1967"/>
      <c r="E151" s="1967"/>
      <c r="F151" s="1967"/>
      <c r="G151" s="1967"/>
      <c r="H151" s="1967"/>
      <c r="I151" s="1967"/>
      <c r="J151" s="592">
        <f t="array" aca="1" ref="J151:U151" ca="1">B22:M22*Produccion!$J$10</f>
        <v>0</v>
      </c>
      <c r="K151" s="592">
        <f ca="1"/>
        <v>0</v>
      </c>
      <c r="L151" s="592">
        <f ca="1"/>
        <v>0</v>
      </c>
      <c r="M151" s="592">
        <f ca="1"/>
        <v>0</v>
      </c>
      <c r="N151" s="592">
        <f ca="1"/>
        <v>0</v>
      </c>
      <c r="O151" s="592">
        <f ca="1"/>
        <v>0</v>
      </c>
      <c r="P151" s="592">
        <f ca="1"/>
        <v>0</v>
      </c>
      <c r="Q151" s="592">
        <f ca="1"/>
        <v>0</v>
      </c>
      <c r="R151" s="592">
        <f ca="1"/>
        <v>0</v>
      </c>
      <c r="S151" s="592">
        <f ca="1"/>
        <v>0</v>
      </c>
      <c r="T151" s="592">
        <f ca="1"/>
        <v>0</v>
      </c>
      <c r="U151" s="592">
        <f ca="1"/>
        <v>0</v>
      </c>
      <c r="V151" s="1964">
        <f t="array" aca="1" ref="V151:V159" ca="1">'Distr CV 4'!J151:J159</f>
        <v>0</v>
      </c>
      <c r="W151" s="1964">
        <f ca="1"/>
        <v>0</v>
      </c>
      <c r="X151" s="1964">
        <f ca="1"/>
        <v>0</v>
      </c>
      <c r="Y151" s="1983">
        <f ca="1"/>
        <v>0</v>
      </c>
    </row>
    <row r="152" spans="1:25">
      <c r="A152" s="1971" t="str">
        <v>5 meses antes</v>
      </c>
      <c r="B152" s="1967"/>
      <c r="C152" s="1967"/>
      <c r="D152" s="1967"/>
      <c r="E152" s="1967"/>
      <c r="F152" s="1967"/>
      <c r="G152" s="1967"/>
      <c r="H152" s="1967"/>
      <c r="I152" s="592">
        <f t="array" aca="1" ref="I152:T152" ca="1">B22:M22*Produccion!$I$10</f>
        <v>0</v>
      </c>
      <c r="J152" s="592">
        <f ca="1"/>
        <v>0</v>
      </c>
      <c r="K152" s="592">
        <f ca="1"/>
        <v>0</v>
      </c>
      <c r="L152" s="592">
        <f ca="1"/>
        <v>0</v>
      </c>
      <c r="M152" s="592">
        <f ca="1"/>
        <v>0</v>
      </c>
      <c r="N152" s="592">
        <f ca="1"/>
        <v>0</v>
      </c>
      <c r="O152" s="592">
        <f ca="1"/>
        <v>0</v>
      </c>
      <c r="P152" s="592">
        <f ca="1"/>
        <v>0</v>
      </c>
      <c r="Q152" s="592">
        <f ca="1"/>
        <v>0</v>
      </c>
      <c r="R152" s="592">
        <f ca="1"/>
        <v>0</v>
      </c>
      <c r="S152" s="592">
        <f ca="1"/>
        <v>0</v>
      </c>
      <c r="T152" s="592">
        <f ca="1"/>
        <v>0</v>
      </c>
      <c r="U152" s="1964">
        <f t="array" aca="1" ref="U152:U159" ca="1">'Distr CV 4'!I152:I159</f>
        <v>0</v>
      </c>
      <c r="V152" s="1964">
        <f ca="1"/>
        <v>0</v>
      </c>
      <c r="W152" s="1964">
        <f ca="1"/>
        <v>0</v>
      </c>
      <c r="X152" s="1964">
        <f ca="1"/>
        <v>0</v>
      </c>
      <c r="Y152" s="1983">
        <f ca="1"/>
        <v>0</v>
      </c>
    </row>
    <row r="153" spans="1:25">
      <c r="A153" s="1971" t="str">
        <v>6 meses antes</v>
      </c>
      <c r="B153" s="1967"/>
      <c r="C153" s="1967"/>
      <c r="D153" s="1967"/>
      <c r="E153" s="1967"/>
      <c r="F153" s="1967"/>
      <c r="G153" s="1967"/>
      <c r="H153" s="592">
        <f t="array" aca="1" ref="H153:S153" ca="1">B22:M22*Produccion!$H$10</f>
        <v>0</v>
      </c>
      <c r="I153" s="592">
        <f ca="1"/>
        <v>0</v>
      </c>
      <c r="J153" s="592">
        <f ca="1"/>
        <v>0</v>
      </c>
      <c r="K153" s="592">
        <f ca="1"/>
        <v>0</v>
      </c>
      <c r="L153" s="592">
        <f ca="1"/>
        <v>0</v>
      </c>
      <c r="M153" s="592">
        <f ca="1"/>
        <v>0</v>
      </c>
      <c r="N153" s="592">
        <f ca="1"/>
        <v>0</v>
      </c>
      <c r="O153" s="592">
        <f ca="1"/>
        <v>0</v>
      </c>
      <c r="P153" s="592">
        <f ca="1"/>
        <v>0</v>
      </c>
      <c r="Q153" s="592">
        <f ca="1"/>
        <v>0</v>
      </c>
      <c r="R153" s="592">
        <f ca="1"/>
        <v>0</v>
      </c>
      <c r="S153" s="592">
        <f ca="1"/>
        <v>0</v>
      </c>
      <c r="T153" s="1964">
        <f t="array" aca="1" ref="T153:T159" ca="1">'Distr CV 4'!H153:H159</f>
        <v>0</v>
      </c>
      <c r="U153" s="1964">
        <f ca="1"/>
        <v>0</v>
      </c>
      <c r="V153" s="1964">
        <f ca="1"/>
        <v>0</v>
      </c>
      <c r="W153" s="1964">
        <f ca="1"/>
        <v>0</v>
      </c>
      <c r="X153" s="1964">
        <f ca="1"/>
        <v>0</v>
      </c>
      <c r="Y153" s="1983">
        <f ca="1"/>
        <v>0</v>
      </c>
    </row>
    <row r="154" spans="1:25">
      <c r="A154" s="1971" t="str">
        <v>7 meses antes</v>
      </c>
      <c r="B154" s="1967"/>
      <c r="C154" s="1967"/>
      <c r="D154" s="1967"/>
      <c r="E154" s="1967"/>
      <c r="F154" s="1967"/>
      <c r="G154" s="592">
        <f t="array" aca="1" ref="G154:R154" ca="1">B22:M22*Produccion!$G$10</f>
        <v>0</v>
      </c>
      <c r="H154" s="592">
        <f ca="1"/>
        <v>0</v>
      </c>
      <c r="I154" s="592">
        <f ca="1"/>
        <v>0</v>
      </c>
      <c r="J154" s="592">
        <f ca="1"/>
        <v>0</v>
      </c>
      <c r="K154" s="592">
        <f ca="1"/>
        <v>0</v>
      </c>
      <c r="L154" s="592">
        <f ca="1"/>
        <v>0</v>
      </c>
      <c r="M154" s="592">
        <f ca="1"/>
        <v>0</v>
      </c>
      <c r="N154" s="592">
        <f ca="1"/>
        <v>0</v>
      </c>
      <c r="O154" s="592">
        <f ca="1"/>
        <v>0</v>
      </c>
      <c r="P154" s="592">
        <f ca="1"/>
        <v>0</v>
      </c>
      <c r="Q154" s="592">
        <f ca="1"/>
        <v>0</v>
      </c>
      <c r="R154" s="592">
        <f ca="1"/>
        <v>0</v>
      </c>
      <c r="S154" s="1968">
        <f t="array" aca="1" ref="S154:S159" ca="1">'Distr CV 4'!G154:G159</f>
        <v>0</v>
      </c>
      <c r="T154" s="1968">
        <f ca="1"/>
        <v>0</v>
      </c>
      <c r="U154" s="1968">
        <f ca="1"/>
        <v>0</v>
      </c>
      <c r="V154" s="1968">
        <f ca="1"/>
        <v>0</v>
      </c>
      <c r="W154" s="1968">
        <f ca="1"/>
        <v>0</v>
      </c>
      <c r="X154" s="1968">
        <f ca="1"/>
        <v>0</v>
      </c>
      <c r="Y154" s="1986">
        <f ca="1"/>
        <v>0</v>
      </c>
    </row>
    <row r="155" spans="1:25">
      <c r="A155" s="1971" t="str">
        <v>8 meses antes</v>
      </c>
      <c r="B155" s="1967"/>
      <c r="C155" s="1967"/>
      <c r="D155" s="1967"/>
      <c r="E155" s="1967"/>
      <c r="F155" s="592">
        <f t="array" aca="1" ref="F155:Q155" ca="1">B22:M22*Produccion!$F$10</f>
        <v>0</v>
      </c>
      <c r="G155" s="592">
        <f ca="1"/>
        <v>0</v>
      </c>
      <c r="H155" s="592">
        <f ca="1"/>
        <v>0</v>
      </c>
      <c r="I155" s="592">
        <f ca="1"/>
        <v>0</v>
      </c>
      <c r="J155" s="592">
        <f ca="1"/>
        <v>0</v>
      </c>
      <c r="K155" s="592">
        <f ca="1"/>
        <v>0</v>
      </c>
      <c r="L155" s="592">
        <f ca="1"/>
        <v>0</v>
      </c>
      <c r="M155" s="592">
        <f ca="1"/>
        <v>0</v>
      </c>
      <c r="N155" s="592">
        <f ca="1"/>
        <v>0</v>
      </c>
      <c r="O155" s="592">
        <f ca="1"/>
        <v>0</v>
      </c>
      <c r="P155" s="592">
        <f ca="1"/>
        <v>0</v>
      </c>
      <c r="Q155" s="592">
        <f ca="1"/>
        <v>0</v>
      </c>
      <c r="R155" s="1968">
        <f t="array" aca="1" ref="R155:R159" ca="1">'Distr CV 4'!F155:F159</f>
        <v>0</v>
      </c>
      <c r="S155" s="1968">
        <f ca="1"/>
        <v>0</v>
      </c>
      <c r="T155" s="1968">
        <f ca="1"/>
        <v>0</v>
      </c>
      <c r="U155" s="1968">
        <f ca="1"/>
        <v>0</v>
      </c>
      <c r="V155" s="1968">
        <f ca="1"/>
        <v>0</v>
      </c>
      <c r="W155" s="1968">
        <f ca="1"/>
        <v>0</v>
      </c>
      <c r="X155" s="1968">
        <f ca="1"/>
        <v>0</v>
      </c>
      <c r="Y155" s="1986">
        <f ca="1"/>
        <v>0</v>
      </c>
    </row>
    <row r="156" spans="1:25">
      <c r="A156" s="1971" t="str">
        <v>9 meses antes</v>
      </c>
      <c r="B156" s="1967"/>
      <c r="C156" s="1967"/>
      <c r="D156" s="1967"/>
      <c r="E156" s="592">
        <f t="array" aca="1" ref="E156:P156" ca="1">B22:M22*Produccion!$E$10</f>
        <v>0</v>
      </c>
      <c r="F156" s="592">
        <f ca="1"/>
        <v>0</v>
      </c>
      <c r="G156" s="592">
        <f ca="1"/>
        <v>0</v>
      </c>
      <c r="H156" s="592">
        <f ca="1"/>
        <v>0</v>
      </c>
      <c r="I156" s="592">
        <f ca="1"/>
        <v>0</v>
      </c>
      <c r="J156" s="592">
        <f ca="1"/>
        <v>0</v>
      </c>
      <c r="K156" s="592">
        <f ca="1"/>
        <v>0</v>
      </c>
      <c r="L156" s="592">
        <f ca="1"/>
        <v>0</v>
      </c>
      <c r="M156" s="592">
        <f ca="1"/>
        <v>0</v>
      </c>
      <c r="N156" s="592">
        <f ca="1"/>
        <v>0</v>
      </c>
      <c r="O156" s="592">
        <f ca="1"/>
        <v>0</v>
      </c>
      <c r="P156" s="592">
        <f ca="1"/>
        <v>0</v>
      </c>
      <c r="Q156" s="1968">
        <f t="array" aca="1" ref="Q156:Q159" ca="1">'Distr CV 4'!E156:E159</f>
        <v>0</v>
      </c>
      <c r="R156" s="1968">
        <f ca="1"/>
        <v>0</v>
      </c>
      <c r="S156" s="1968">
        <f ca="1"/>
        <v>0</v>
      </c>
      <c r="T156" s="1968">
        <f ca="1"/>
        <v>0</v>
      </c>
      <c r="U156" s="1968">
        <f ca="1"/>
        <v>0</v>
      </c>
      <c r="V156" s="1968">
        <f ca="1"/>
        <v>0</v>
      </c>
      <c r="W156" s="1968">
        <f ca="1"/>
        <v>0</v>
      </c>
      <c r="X156" s="1968">
        <f ca="1"/>
        <v>0</v>
      </c>
      <c r="Y156" s="1986">
        <f ca="1"/>
        <v>0</v>
      </c>
    </row>
    <row r="157" spans="1:25">
      <c r="A157" s="1971" t="str">
        <v>10 meses antes</v>
      </c>
      <c r="B157" s="1967"/>
      <c r="C157" s="1967"/>
      <c r="D157" s="592">
        <f t="array" aca="1" ref="D157:O157" ca="1">B22:M22*Produccion!$D$10</f>
        <v>0</v>
      </c>
      <c r="E157" s="592">
        <f ca="1"/>
        <v>0</v>
      </c>
      <c r="F157" s="592">
        <f ca="1"/>
        <v>0</v>
      </c>
      <c r="G157" s="592">
        <f ca="1"/>
        <v>0</v>
      </c>
      <c r="H157" s="592">
        <f ca="1"/>
        <v>0</v>
      </c>
      <c r="I157" s="592">
        <f ca="1"/>
        <v>0</v>
      </c>
      <c r="J157" s="592">
        <f ca="1"/>
        <v>0</v>
      </c>
      <c r="K157" s="592">
        <f ca="1"/>
        <v>0</v>
      </c>
      <c r="L157" s="592">
        <f ca="1"/>
        <v>0</v>
      </c>
      <c r="M157" s="592">
        <f ca="1"/>
        <v>0</v>
      </c>
      <c r="N157" s="592">
        <f ca="1"/>
        <v>0</v>
      </c>
      <c r="O157" s="592">
        <f ca="1"/>
        <v>0</v>
      </c>
      <c r="P157" s="1968">
        <f t="array" aca="1" ref="P157:P159" ca="1">'Distr CV 4'!D157:D159</f>
        <v>0</v>
      </c>
      <c r="Q157" s="1968">
        <f ca="1"/>
        <v>0</v>
      </c>
      <c r="R157" s="1968">
        <f ca="1"/>
        <v>0</v>
      </c>
      <c r="S157" s="1968">
        <f ca="1"/>
        <v>0</v>
      </c>
      <c r="T157" s="1968">
        <f ca="1"/>
        <v>0</v>
      </c>
      <c r="U157" s="1968">
        <f ca="1"/>
        <v>0</v>
      </c>
      <c r="V157" s="1968">
        <f ca="1"/>
        <v>0</v>
      </c>
      <c r="W157" s="1968">
        <f ca="1"/>
        <v>0</v>
      </c>
      <c r="X157" s="1968">
        <f ca="1"/>
        <v>0</v>
      </c>
      <c r="Y157" s="1986">
        <f ca="1"/>
        <v>0</v>
      </c>
    </row>
    <row r="158" spans="1:25">
      <c r="A158" s="1971" t="str">
        <v>11 meses antes</v>
      </c>
      <c r="B158" s="1967"/>
      <c r="C158" s="592">
        <f t="array" aca="1" ref="C158:N158" ca="1">B22:M22*Produccion!$C$10</f>
        <v>0</v>
      </c>
      <c r="D158" s="592">
        <f ca="1"/>
        <v>0</v>
      </c>
      <c r="E158" s="592">
        <f ca="1"/>
        <v>0</v>
      </c>
      <c r="F158" s="592">
        <f ca="1"/>
        <v>0</v>
      </c>
      <c r="G158" s="592">
        <f ca="1"/>
        <v>0</v>
      </c>
      <c r="H158" s="592">
        <f ca="1"/>
        <v>0</v>
      </c>
      <c r="I158" s="592">
        <f ca="1"/>
        <v>0</v>
      </c>
      <c r="J158" s="592">
        <f ca="1"/>
        <v>0</v>
      </c>
      <c r="K158" s="592">
        <f ca="1"/>
        <v>0</v>
      </c>
      <c r="L158" s="592">
        <f ca="1"/>
        <v>0</v>
      </c>
      <c r="M158" s="592">
        <f ca="1"/>
        <v>0</v>
      </c>
      <c r="N158" s="592">
        <f ca="1"/>
        <v>0</v>
      </c>
      <c r="O158" s="1968">
        <f ca="1">'Distr CV 4'!C158</f>
        <v>0</v>
      </c>
      <c r="P158" s="1968">
        <f ca="1"/>
        <v>0</v>
      </c>
      <c r="Q158" s="1968">
        <f ca="1"/>
        <v>0</v>
      </c>
      <c r="R158" s="1968">
        <f ca="1"/>
        <v>0</v>
      </c>
      <c r="S158" s="1968">
        <f ca="1"/>
        <v>0</v>
      </c>
      <c r="T158" s="1968">
        <f ca="1"/>
        <v>0</v>
      </c>
      <c r="U158" s="1968">
        <f ca="1"/>
        <v>0</v>
      </c>
      <c r="V158" s="1968">
        <f ca="1"/>
        <v>0</v>
      </c>
      <c r="W158" s="1968">
        <f ca="1"/>
        <v>0</v>
      </c>
      <c r="X158" s="1968">
        <f ca="1"/>
        <v>0</v>
      </c>
      <c r="Y158" s="1986">
        <f ca="1"/>
        <v>0</v>
      </c>
    </row>
    <row r="159" spans="1:25" ht="13.5" thickBot="1">
      <c r="A159" s="1971" t="str">
        <v>12 meses antes</v>
      </c>
      <c r="B159" s="592">
        <f t="array" aca="1" ref="B159:M159" ca="1">B22:M22*Produccion!$B$10</f>
        <v>0</v>
      </c>
      <c r="C159" s="592">
        <f ca="1"/>
        <v>0</v>
      </c>
      <c r="D159" s="592">
        <f ca="1"/>
        <v>0</v>
      </c>
      <c r="E159" s="592">
        <f ca="1"/>
        <v>0</v>
      </c>
      <c r="F159" s="592">
        <f ca="1"/>
        <v>0</v>
      </c>
      <c r="G159" s="592">
        <f ca="1"/>
        <v>0</v>
      </c>
      <c r="H159" s="592">
        <f ca="1"/>
        <v>0</v>
      </c>
      <c r="I159" s="592">
        <f ca="1"/>
        <v>0</v>
      </c>
      <c r="J159" s="592">
        <f ca="1"/>
        <v>0</v>
      </c>
      <c r="K159" s="592">
        <f ca="1"/>
        <v>0</v>
      </c>
      <c r="L159" s="592">
        <f ca="1"/>
        <v>0</v>
      </c>
      <c r="M159" s="592">
        <f ca="1"/>
        <v>0</v>
      </c>
      <c r="N159" s="1967">
        <f ca="1">'Distr CV 4'!B159</f>
        <v>0</v>
      </c>
      <c r="O159" s="1968">
        <f ca="1">'Distr CV 4'!C159</f>
        <v>0</v>
      </c>
      <c r="P159" s="1968">
        <f ca="1"/>
        <v>0</v>
      </c>
      <c r="Q159" s="1968">
        <f ca="1"/>
        <v>0</v>
      </c>
      <c r="R159" s="1968">
        <f ca="1"/>
        <v>0</v>
      </c>
      <c r="S159" s="1968">
        <f ca="1"/>
        <v>0</v>
      </c>
      <c r="T159" s="1968">
        <f ca="1"/>
        <v>0</v>
      </c>
      <c r="U159" s="1968">
        <f ca="1"/>
        <v>0</v>
      </c>
      <c r="V159" s="1968">
        <f ca="1"/>
        <v>0</v>
      </c>
      <c r="W159" s="1968">
        <f ca="1"/>
        <v>0</v>
      </c>
      <c r="X159" s="1968">
        <f ca="1"/>
        <v>0</v>
      </c>
      <c r="Y159" s="1986">
        <f ca="1"/>
        <v>0</v>
      </c>
    </row>
    <row r="160" spans="1:25" ht="13.5" thickBot="1">
      <c r="A160" s="103" t="str">
        <f>"Totales CV "&amp;A$10</f>
        <v xml:space="preserve">Totales CV </v>
      </c>
      <c r="B160" s="596">
        <f t="shared" ref="B160:Y160" ca="1" si="12">SUM(B147:B159)</f>
        <v>0</v>
      </c>
      <c r="C160" s="596">
        <f t="shared" ca="1" si="12"/>
        <v>0</v>
      </c>
      <c r="D160" s="596">
        <f t="shared" ca="1" si="12"/>
        <v>0</v>
      </c>
      <c r="E160" s="596">
        <f t="shared" ca="1" si="12"/>
        <v>0</v>
      </c>
      <c r="F160" s="596">
        <f t="shared" ca="1" si="12"/>
        <v>0</v>
      </c>
      <c r="G160" s="596">
        <f t="shared" ca="1" si="12"/>
        <v>0</v>
      </c>
      <c r="H160" s="596">
        <f t="shared" ca="1" si="12"/>
        <v>0</v>
      </c>
      <c r="I160" s="596">
        <f t="shared" ca="1" si="12"/>
        <v>0</v>
      </c>
      <c r="J160" s="596">
        <f t="shared" ca="1" si="12"/>
        <v>0</v>
      </c>
      <c r="K160" s="596">
        <f t="shared" ca="1" si="12"/>
        <v>0</v>
      </c>
      <c r="L160" s="596">
        <f t="shared" ca="1" si="12"/>
        <v>0</v>
      </c>
      <c r="M160" s="596">
        <f t="shared" ca="1" si="12"/>
        <v>0</v>
      </c>
      <c r="N160" s="596">
        <f t="shared" ca="1" si="12"/>
        <v>0</v>
      </c>
      <c r="O160" s="596">
        <f t="shared" ca="1" si="12"/>
        <v>0</v>
      </c>
      <c r="P160" s="596">
        <f t="shared" ca="1" si="12"/>
        <v>0</v>
      </c>
      <c r="Q160" s="596">
        <f t="shared" ca="1" si="12"/>
        <v>0</v>
      </c>
      <c r="R160" s="596">
        <f t="shared" ca="1" si="12"/>
        <v>0</v>
      </c>
      <c r="S160" s="596">
        <f t="shared" ca="1" si="12"/>
        <v>0</v>
      </c>
      <c r="T160" s="596">
        <f t="shared" ca="1" si="12"/>
        <v>0</v>
      </c>
      <c r="U160" s="596">
        <f t="shared" ca="1" si="12"/>
        <v>0</v>
      </c>
      <c r="V160" s="596">
        <f t="shared" ca="1" si="12"/>
        <v>0</v>
      </c>
      <c r="W160" s="596">
        <f t="shared" ca="1" si="12"/>
        <v>0</v>
      </c>
      <c r="X160" s="596">
        <f t="shared" ca="1" si="12"/>
        <v>0</v>
      </c>
      <c r="Y160" s="1984">
        <f t="shared" ca="1" si="12"/>
        <v>0</v>
      </c>
    </row>
    <row r="161" spans="1:25" ht="13.5" thickBot="1">
      <c r="A161" s="103" t="str">
        <f>'Datos Básicos'!A28&amp;" sop. CV "&amp;$A$10</f>
        <v xml:space="preserve">IVA sop. CV </v>
      </c>
      <c r="B161" s="596">
        <f t="array" aca="1" ref="B161:Y161" ca="1">$K$145*B160:Y160</f>
        <v>0</v>
      </c>
      <c r="C161" s="596">
        <f ca="1"/>
        <v>0</v>
      </c>
      <c r="D161" s="596">
        <f ca="1"/>
        <v>0</v>
      </c>
      <c r="E161" s="596">
        <f ca="1"/>
        <v>0</v>
      </c>
      <c r="F161" s="596">
        <f ca="1"/>
        <v>0</v>
      </c>
      <c r="G161" s="596">
        <f ca="1"/>
        <v>0</v>
      </c>
      <c r="H161" s="596">
        <f ca="1"/>
        <v>0</v>
      </c>
      <c r="I161" s="596">
        <f ca="1"/>
        <v>0</v>
      </c>
      <c r="J161" s="596">
        <f ca="1"/>
        <v>0</v>
      </c>
      <c r="K161" s="596">
        <f ca="1"/>
        <v>0</v>
      </c>
      <c r="L161" s="596">
        <f ca="1"/>
        <v>0</v>
      </c>
      <c r="M161" s="596">
        <f ca="1"/>
        <v>0</v>
      </c>
      <c r="N161" s="596">
        <f ca="1"/>
        <v>0</v>
      </c>
      <c r="O161" s="596">
        <f ca="1"/>
        <v>0</v>
      </c>
      <c r="P161" s="596">
        <f ca="1"/>
        <v>0</v>
      </c>
      <c r="Q161" s="596">
        <f ca="1"/>
        <v>0</v>
      </c>
      <c r="R161" s="596">
        <f ca="1"/>
        <v>0</v>
      </c>
      <c r="S161" s="596">
        <f ca="1"/>
        <v>0</v>
      </c>
      <c r="T161" s="596">
        <f ca="1"/>
        <v>0</v>
      </c>
      <c r="U161" s="596">
        <f ca="1"/>
        <v>0</v>
      </c>
      <c r="V161" s="596">
        <f ca="1"/>
        <v>0</v>
      </c>
      <c r="W161" s="596">
        <f ca="1"/>
        <v>0</v>
      </c>
      <c r="X161" s="596">
        <f ca="1"/>
        <v>0</v>
      </c>
      <c r="Y161" s="1984">
        <f ca="1"/>
        <v>0</v>
      </c>
    </row>
    <row r="163" spans="1:25" ht="18.75" thickBot="1">
      <c r="A163" s="1969" t="str">
        <f>'Distr CV 0'!A163</f>
        <v xml:space="preserve">Compras / costes de producción por meses de </v>
      </c>
      <c r="I163" s="1969" t="str">
        <f>I$18</f>
        <v>IVA NO incluido</v>
      </c>
      <c r="K163" s="1981">
        <f>Parametros!$F$27</f>
        <v>0.21</v>
      </c>
    </row>
    <row r="164" spans="1:25" ht="30" customHeight="1" thickBot="1">
      <c r="A164" s="446" t="str">
        <f>A$110</f>
        <v>mes de compra / coste</v>
      </c>
      <c r="B164" s="1987" t="str">
        <f t="array" ref="B164:Y164">B$71:Y$71</f>
        <v>enero 
2028</v>
      </c>
      <c r="C164" s="1987" t="str">
        <v>febrero 
2028</v>
      </c>
      <c r="D164" s="1987" t="str">
        <v>marzo 
2028</v>
      </c>
      <c r="E164" s="1987" t="str">
        <v>abril 
2028</v>
      </c>
      <c r="F164" s="1987" t="str">
        <v>mayo 
2028</v>
      </c>
      <c r="G164" s="1987" t="str">
        <v>junio 
2028</v>
      </c>
      <c r="H164" s="1987" t="str">
        <v>julio 
2028</v>
      </c>
      <c r="I164" s="1987" t="str">
        <v>agosto 
2028</v>
      </c>
      <c r="J164" s="1987" t="str">
        <v>septiembre 
2028</v>
      </c>
      <c r="K164" s="1987" t="str">
        <v>octubre 
2028</v>
      </c>
      <c r="L164" s="1987" t="str">
        <v>noviembre 
2028</v>
      </c>
      <c r="M164" s="1987" t="str">
        <v>diciembre 
2028</v>
      </c>
      <c r="N164" s="2703" t="str">
        <v>enero 
2029</v>
      </c>
      <c r="O164" s="2704" t="str">
        <v>febrero 
2029</v>
      </c>
      <c r="P164" s="2704" t="str">
        <v>marzo 
2029</v>
      </c>
      <c r="Q164" s="2704" t="str">
        <v>abril 
2029</v>
      </c>
      <c r="R164" s="2704" t="str">
        <v>mayo 
2029</v>
      </c>
      <c r="S164" s="2704" t="str">
        <v>junio 
2029</v>
      </c>
      <c r="T164" s="2704" t="str">
        <v>julio 
2029</v>
      </c>
      <c r="U164" s="2704" t="str">
        <v>agosto 
2029</v>
      </c>
      <c r="V164" s="2704" t="str">
        <v>septiembre 
2029</v>
      </c>
      <c r="W164" s="2704" t="str">
        <v>octubre 
2029</v>
      </c>
      <c r="X164" s="2704" t="str">
        <v>noviembre 
2029</v>
      </c>
      <c r="Y164" s="2705" t="str">
        <v>diciembre 
2029</v>
      </c>
    </row>
    <row r="165" spans="1:25">
      <c r="A165" s="1970" t="str">
        <f t="array" ref="A165:A177">A$72:A$84</f>
        <v>mismo mes</v>
      </c>
      <c r="B165" s="1967"/>
      <c r="C165" s="1967"/>
      <c r="D165" s="1967"/>
      <c r="E165" s="1967"/>
      <c r="F165" s="1967"/>
      <c r="G165" s="1967"/>
      <c r="H165" s="1967"/>
      <c r="I165" s="1967"/>
      <c r="J165" s="1967"/>
      <c r="K165" s="1967"/>
      <c r="L165" s="1967"/>
      <c r="M165" s="1967"/>
      <c r="N165" s="592">
        <f t="array" aca="1" ref="N165:Y165" ca="1">B23:M23*Produccion!$N$11</f>
        <v>0</v>
      </c>
      <c r="O165" s="592">
        <f ca="1"/>
        <v>0</v>
      </c>
      <c r="P165" s="592">
        <f ca="1"/>
        <v>0</v>
      </c>
      <c r="Q165" s="592">
        <f ca="1"/>
        <v>0</v>
      </c>
      <c r="R165" s="592">
        <f ca="1"/>
        <v>0</v>
      </c>
      <c r="S165" s="592">
        <f ca="1"/>
        <v>0</v>
      </c>
      <c r="T165" s="592">
        <f ca="1"/>
        <v>0</v>
      </c>
      <c r="U165" s="592">
        <f ca="1"/>
        <v>0</v>
      </c>
      <c r="V165" s="592">
        <f ca="1"/>
        <v>0</v>
      </c>
      <c r="W165" s="592">
        <f ca="1"/>
        <v>0</v>
      </c>
      <c r="X165" s="592">
        <f ca="1"/>
        <v>0</v>
      </c>
      <c r="Y165" s="1982">
        <f ca="1"/>
        <v>0</v>
      </c>
    </row>
    <row r="166" spans="1:25">
      <c r="A166" s="1971" t="str">
        <v>1 mes antes</v>
      </c>
      <c r="B166" s="1967"/>
      <c r="C166" s="1967"/>
      <c r="D166" s="1967"/>
      <c r="E166" s="1967"/>
      <c r="F166" s="1967"/>
      <c r="G166" s="1967"/>
      <c r="H166" s="1967"/>
      <c r="I166" s="1967"/>
      <c r="J166" s="1967"/>
      <c r="K166" s="1967"/>
      <c r="L166" s="1967"/>
      <c r="M166" s="592">
        <f t="array" aca="1" ref="M166:X166" ca="1">B23:M23*Produccion!$M$11</f>
        <v>0</v>
      </c>
      <c r="N166" s="592">
        <f ca="1"/>
        <v>0</v>
      </c>
      <c r="O166" s="592">
        <f ca="1"/>
        <v>0</v>
      </c>
      <c r="P166" s="592">
        <f ca="1"/>
        <v>0</v>
      </c>
      <c r="Q166" s="592">
        <f ca="1"/>
        <v>0</v>
      </c>
      <c r="R166" s="592">
        <f ca="1"/>
        <v>0</v>
      </c>
      <c r="S166" s="592">
        <f ca="1"/>
        <v>0</v>
      </c>
      <c r="T166" s="592">
        <f ca="1"/>
        <v>0</v>
      </c>
      <c r="U166" s="592">
        <f ca="1"/>
        <v>0</v>
      </c>
      <c r="V166" s="592">
        <f ca="1"/>
        <v>0</v>
      </c>
      <c r="W166" s="592">
        <f ca="1"/>
        <v>0</v>
      </c>
      <c r="X166" s="592">
        <f ca="1"/>
        <v>0</v>
      </c>
      <c r="Y166" s="1983">
        <f t="array" aca="1" ref="Y166:Y177" ca="1">'Distr CV 4'!M166:M177</f>
        <v>0</v>
      </c>
    </row>
    <row r="167" spans="1:25">
      <c r="A167" s="1971" t="str">
        <v>2 meses antes</v>
      </c>
      <c r="B167" s="1967"/>
      <c r="C167" s="1967"/>
      <c r="D167" s="1967"/>
      <c r="E167" s="1967"/>
      <c r="F167" s="1967"/>
      <c r="G167" s="1967"/>
      <c r="H167" s="1967"/>
      <c r="I167" s="1967"/>
      <c r="J167" s="1967"/>
      <c r="K167" s="1967"/>
      <c r="L167" s="592">
        <f t="array" aca="1" ref="L167:W167" ca="1">B23:M23*Produccion!$L$11</f>
        <v>0</v>
      </c>
      <c r="M167" s="592">
        <f ca="1"/>
        <v>0</v>
      </c>
      <c r="N167" s="592">
        <f ca="1"/>
        <v>0</v>
      </c>
      <c r="O167" s="592">
        <f ca="1"/>
        <v>0</v>
      </c>
      <c r="P167" s="592">
        <f ca="1"/>
        <v>0</v>
      </c>
      <c r="Q167" s="592">
        <f ca="1"/>
        <v>0</v>
      </c>
      <c r="R167" s="592">
        <f ca="1"/>
        <v>0</v>
      </c>
      <c r="S167" s="592">
        <f ca="1"/>
        <v>0</v>
      </c>
      <c r="T167" s="592">
        <f ca="1"/>
        <v>0</v>
      </c>
      <c r="U167" s="592">
        <f ca="1"/>
        <v>0</v>
      </c>
      <c r="V167" s="592">
        <f ca="1"/>
        <v>0</v>
      </c>
      <c r="W167" s="592">
        <f ca="1"/>
        <v>0</v>
      </c>
      <c r="X167" s="1964">
        <f t="array" aca="1" ref="X167:X177" ca="1">'Distr CV 4'!L167:L177</f>
        <v>0</v>
      </c>
      <c r="Y167" s="1983">
        <f ca="1"/>
        <v>0</v>
      </c>
    </row>
    <row r="168" spans="1:25">
      <c r="A168" s="1971" t="str">
        <v>3 meses antes</v>
      </c>
      <c r="B168" s="1967"/>
      <c r="C168" s="1967"/>
      <c r="D168" s="1967"/>
      <c r="E168" s="1967"/>
      <c r="F168" s="1967"/>
      <c r="G168" s="1967"/>
      <c r="H168" s="1967"/>
      <c r="I168" s="1967"/>
      <c r="J168" s="1967"/>
      <c r="K168" s="592">
        <f t="array" aca="1" ref="K168:V168" ca="1">B23:M23*Produccion!$K$11</f>
        <v>0</v>
      </c>
      <c r="L168" s="592">
        <f ca="1"/>
        <v>0</v>
      </c>
      <c r="M168" s="592">
        <f ca="1"/>
        <v>0</v>
      </c>
      <c r="N168" s="592">
        <f ca="1"/>
        <v>0</v>
      </c>
      <c r="O168" s="592">
        <f ca="1"/>
        <v>0</v>
      </c>
      <c r="P168" s="592">
        <f ca="1"/>
        <v>0</v>
      </c>
      <c r="Q168" s="592">
        <f ca="1"/>
        <v>0</v>
      </c>
      <c r="R168" s="592">
        <f ca="1"/>
        <v>0</v>
      </c>
      <c r="S168" s="592">
        <f ca="1"/>
        <v>0</v>
      </c>
      <c r="T168" s="592">
        <f ca="1"/>
        <v>0</v>
      </c>
      <c r="U168" s="592">
        <f ca="1"/>
        <v>0</v>
      </c>
      <c r="V168" s="592">
        <f ca="1"/>
        <v>0</v>
      </c>
      <c r="W168" s="1964">
        <f t="array" aca="1" ref="W168:W177" ca="1">'Distr CV 4'!K168:K177</f>
        <v>0</v>
      </c>
      <c r="X168" s="1964">
        <f ca="1"/>
        <v>0</v>
      </c>
      <c r="Y168" s="1983">
        <f ca="1"/>
        <v>0</v>
      </c>
    </row>
    <row r="169" spans="1:25">
      <c r="A169" s="1971" t="str">
        <v>4 meses antes</v>
      </c>
      <c r="B169" s="1967"/>
      <c r="C169" s="1967"/>
      <c r="D169" s="1967"/>
      <c r="E169" s="1967"/>
      <c r="F169" s="1967"/>
      <c r="G169" s="1967"/>
      <c r="H169" s="1967"/>
      <c r="I169" s="1967"/>
      <c r="J169" s="592">
        <f t="array" aca="1" ref="J169:U169" ca="1">B23:M23*Produccion!$J$11</f>
        <v>0</v>
      </c>
      <c r="K169" s="592">
        <f ca="1"/>
        <v>0</v>
      </c>
      <c r="L169" s="592">
        <f ca="1"/>
        <v>0</v>
      </c>
      <c r="M169" s="592">
        <f ca="1"/>
        <v>0</v>
      </c>
      <c r="N169" s="592">
        <f ca="1"/>
        <v>0</v>
      </c>
      <c r="O169" s="592">
        <f ca="1"/>
        <v>0</v>
      </c>
      <c r="P169" s="592">
        <f ca="1"/>
        <v>0</v>
      </c>
      <c r="Q169" s="592">
        <f ca="1"/>
        <v>0</v>
      </c>
      <c r="R169" s="592">
        <f ca="1"/>
        <v>0</v>
      </c>
      <c r="S169" s="592">
        <f ca="1"/>
        <v>0</v>
      </c>
      <c r="T169" s="592">
        <f ca="1"/>
        <v>0</v>
      </c>
      <c r="U169" s="592">
        <f ca="1"/>
        <v>0</v>
      </c>
      <c r="V169" s="1964">
        <f t="array" aca="1" ref="V169:V177" ca="1">'Distr CV 4'!J169:J177</f>
        <v>0</v>
      </c>
      <c r="W169" s="1964">
        <f ca="1"/>
        <v>0</v>
      </c>
      <c r="X169" s="1964">
        <f ca="1"/>
        <v>0</v>
      </c>
      <c r="Y169" s="1983">
        <f ca="1"/>
        <v>0</v>
      </c>
    </row>
    <row r="170" spans="1:25">
      <c r="A170" s="1971" t="str">
        <v>5 meses antes</v>
      </c>
      <c r="B170" s="1967"/>
      <c r="C170" s="1967"/>
      <c r="D170" s="1967"/>
      <c r="E170" s="1967"/>
      <c r="F170" s="1967"/>
      <c r="G170" s="1967"/>
      <c r="H170" s="1967"/>
      <c r="I170" s="592">
        <f t="array" aca="1" ref="I170:T170" ca="1">B23:M23*Produccion!$I$11</f>
        <v>0</v>
      </c>
      <c r="J170" s="592">
        <f ca="1"/>
        <v>0</v>
      </c>
      <c r="K170" s="592">
        <f ca="1"/>
        <v>0</v>
      </c>
      <c r="L170" s="592">
        <f ca="1"/>
        <v>0</v>
      </c>
      <c r="M170" s="592">
        <f ca="1"/>
        <v>0</v>
      </c>
      <c r="N170" s="592">
        <f ca="1"/>
        <v>0</v>
      </c>
      <c r="O170" s="592">
        <f ca="1"/>
        <v>0</v>
      </c>
      <c r="P170" s="592">
        <f ca="1"/>
        <v>0</v>
      </c>
      <c r="Q170" s="592">
        <f ca="1"/>
        <v>0</v>
      </c>
      <c r="R170" s="592">
        <f ca="1"/>
        <v>0</v>
      </c>
      <c r="S170" s="592">
        <f ca="1"/>
        <v>0</v>
      </c>
      <c r="T170" s="592">
        <f ca="1"/>
        <v>0</v>
      </c>
      <c r="U170" s="1964">
        <f t="array" aca="1" ref="U170:U177" ca="1">'Distr CV 4'!I170:I177</f>
        <v>0</v>
      </c>
      <c r="V170" s="1964">
        <f ca="1"/>
        <v>0</v>
      </c>
      <c r="W170" s="1964">
        <f ca="1"/>
        <v>0</v>
      </c>
      <c r="X170" s="1964">
        <f ca="1"/>
        <v>0</v>
      </c>
      <c r="Y170" s="1983">
        <f ca="1"/>
        <v>0</v>
      </c>
    </row>
    <row r="171" spans="1:25">
      <c r="A171" s="1971" t="str">
        <v>6 meses antes</v>
      </c>
      <c r="B171" s="1967"/>
      <c r="C171" s="1967"/>
      <c r="D171" s="1967"/>
      <c r="E171" s="1967"/>
      <c r="F171" s="1967"/>
      <c r="G171" s="1967"/>
      <c r="H171" s="592">
        <f t="array" aca="1" ref="H171:S171" ca="1">B23:M23*Produccion!$H$11</f>
        <v>0</v>
      </c>
      <c r="I171" s="592">
        <f ca="1"/>
        <v>0</v>
      </c>
      <c r="J171" s="592">
        <f ca="1"/>
        <v>0</v>
      </c>
      <c r="K171" s="592">
        <f ca="1"/>
        <v>0</v>
      </c>
      <c r="L171" s="592">
        <f ca="1"/>
        <v>0</v>
      </c>
      <c r="M171" s="592">
        <f ca="1"/>
        <v>0</v>
      </c>
      <c r="N171" s="592">
        <f ca="1"/>
        <v>0</v>
      </c>
      <c r="O171" s="592">
        <f ca="1"/>
        <v>0</v>
      </c>
      <c r="P171" s="592">
        <f ca="1"/>
        <v>0</v>
      </c>
      <c r="Q171" s="592">
        <f ca="1"/>
        <v>0</v>
      </c>
      <c r="R171" s="592">
        <f ca="1"/>
        <v>0</v>
      </c>
      <c r="S171" s="592">
        <f ca="1"/>
        <v>0</v>
      </c>
      <c r="T171" s="1964">
        <f t="array" aca="1" ref="T171:T177" ca="1">'Distr CV 4'!H171:H177</f>
        <v>0</v>
      </c>
      <c r="U171" s="1964">
        <f ca="1"/>
        <v>0</v>
      </c>
      <c r="V171" s="1964">
        <f ca="1"/>
        <v>0</v>
      </c>
      <c r="W171" s="1964">
        <f ca="1"/>
        <v>0</v>
      </c>
      <c r="X171" s="1964">
        <f ca="1"/>
        <v>0</v>
      </c>
      <c r="Y171" s="1983">
        <f ca="1"/>
        <v>0</v>
      </c>
    </row>
    <row r="172" spans="1:25">
      <c r="A172" s="1971" t="str">
        <v>7 meses antes</v>
      </c>
      <c r="B172" s="1967"/>
      <c r="C172" s="1967"/>
      <c r="D172" s="1967"/>
      <c r="E172" s="1967"/>
      <c r="F172" s="1967"/>
      <c r="G172" s="592">
        <f t="array" aca="1" ref="G172:R172" ca="1">B23:M23*Produccion!$G$11</f>
        <v>0</v>
      </c>
      <c r="H172" s="592">
        <f ca="1"/>
        <v>0</v>
      </c>
      <c r="I172" s="592">
        <f ca="1"/>
        <v>0</v>
      </c>
      <c r="J172" s="592">
        <f ca="1"/>
        <v>0</v>
      </c>
      <c r="K172" s="592">
        <f ca="1"/>
        <v>0</v>
      </c>
      <c r="L172" s="592">
        <f ca="1"/>
        <v>0</v>
      </c>
      <c r="M172" s="592">
        <f ca="1"/>
        <v>0</v>
      </c>
      <c r="N172" s="592">
        <f ca="1"/>
        <v>0</v>
      </c>
      <c r="O172" s="592">
        <f ca="1"/>
        <v>0</v>
      </c>
      <c r="P172" s="592">
        <f ca="1"/>
        <v>0</v>
      </c>
      <c r="Q172" s="592">
        <f ca="1"/>
        <v>0</v>
      </c>
      <c r="R172" s="592">
        <f ca="1"/>
        <v>0</v>
      </c>
      <c r="S172" s="1968">
        <f t="array" aca="1" ref="S172:S177" ca="1">'Distr CV 4'!G172:G177</f>
        <v>0</v>
      </c>
      <c r="T172" s="1968">
        <f ca="1"/>
        <v>0</v>
      </c>
      <c r="U172" s="1968">
        <f ca="1"/>
        <v>0</v>
      </c>
      <c r="V172" s="1968">
        <f ca="1"/>
        <v>0</v>
      </c>
      <c r="W172" s="1968">
        <f ca="1"/>
        <v>0</v>
      </c>
      <c r="X172" s="1968">
        <f ca="1"/>
        <v>0</v>
      </c>
      <c r="Y172" s="1986">
        <f ca="1"/>
        <v>0</v>
      </c>
    </row>
    <row r="173" spans="1:25">
      <c r="A173" s="1971" t="str">
        <v>8 meses antes</v>
      </c>
      <c r="B173" s="1967"/>
      <c r="C173" s="1967"/>
      <c r="D173" s="1967"/>
      <c r="E173" s="1967"/>
      <c r="F173" s="592">
        <f t="array" aca="1" ref="F173:Q173" ca="1">B23:M23*Produccion!$F$11</f>
        <v>0</v>
      </c>
      <c r="G173" s="592">
        <f ca="1"/>
        <v>0</v>
      </c>
      <c r="H173" s="592">
        <f ca="1"/>
        <v>0</v>
      </c>
      <c r="I173" s="592">
        <f ca="1"/>
        <v>0</v>
      </c>
      <c r="J173" s="592">
        <f ca="1"/>
        <v>0</v>
      </c>
      <c r="K173" s="592">
        <f ca="1"/>
        <v>0</v>
      </c>
      <c r="L173" s="592">
        <f ca="1"/>
        <v>0</v>
      </c>
      <c r="M173" s="592">
        <f ca="1"/>
        <v>0</v>
      </c>
      <c r="N173" s="592">
        <f ca="1"/>
        <v>0</v>
      </c>
      <c r="O173" s="592">
        <f ca="1"/>
        <v>0</v>
      </c>
      <c r="P173" s="592">
        <f ca="1"/>
        <v>0</v>
      </c>
      <c r="Q173" s="592">
        <f ca="1"/>
        <v>0</v>
      </c>
      <c r="R173" s="1968">
        <f t="array" aca="1" ref="R173:R177" ca="1">'Distr CV 4'!F173:F177</f>
        <v>0</v>
      </c>
      <c r="S173" s="1968">
        <f ca="1"/>
        <v>0</v>
      </c>
      <c r="T173" s="1968">
        <f ca="1"/>
        <v>0</v>
      </c>
      <c r="U173" s="1968">
        <f ca="1"/>
        <v>0</v>
      </c>
      <c r="V173" s="1968">
        <f ca="1"/>
        <v>0</v>
      </c>
      <c r="W173" s="1968">
        <f ca="1"/>
        <v>0</v>
      </c>
      <c r="X173" s="1968">
        <f ca="1"/>
        <v>0</v>
      </c>
      <c r="Y173" s="1986">
        <f ca="1"/>
        <v>0</v>
      </c>
    </row>
    <row r="174" spans="1:25">
      <c r="A174" s="1971" t="str">
        <v>9 meses antes</v>
      </c>
      <c r="B174" s="1967"/>
      <c r="C174" s="1967"/>
      <c r="D174" s="1967"/>
      <c r="E174" s="592">
        <f t="array" aca="1" ref="E174:P174" ca="1">B23:M23*Produccion!$E$11</f>
        <v>0</v>
      </c>
      <c r="F174" s="592">
        <f ca="1"/>
        <v>0</v>
      </c>
      <c r="G174" s="592">
        <f ca="1"/>
        <v>0</v>
      </c>
      <c r="H174" s="592">
        <f ca="1"/>
        <v>0</v>
      </c>
      <c r="I174" s="592">
        <f ca="1"/>
        <v>0</v>
      </c>
      <c r="J174" s="592">
        <f ca="1"/>
        <v>0</v>
      </c>
      <c r="K174" s="592">
        <f ca="1"/>
        <v>0</v>
      </c>
      <c r="L174" s="592">
        <f ca="1"/>
        <v>0</v>
      </c>
      <c r="M174" s="592">
        <f ca="1"/>
        <v>0</v>
      </c>
      <c r="N174" s="592">
        <f ca="1"/>
        <v>0</v>
      </c>
      <c r="O174" s="592">
        <f ca="1"/>
        <v>0</v>
      </c>
      <c r="P174" s="592">
        <f ca="1"/>
        <v>0</v>
      </c>
      <c r="Q174" s="1968">
        <f t="array" aca="1" ref="Q174:Q177" ca="1">'Distr CV 4'!E174:E177</f>
        <v>0</v>
      </c>
      <c r="R174" s="1968">
        <f ca="1"/>
        <v>0</v>
      </c>
      <c r="S174" s="1968">
        <f ca="1"/>
        <v>0</v>
      </c>
      <c r="T174" s="1968">
        <f ca="1"/>
        <v>0</v>
      </c>
      <c r="U174" s="1968">
        <f ca="1"/>
        <v>0</v>
      </c>
      <c r="V174" s="1968">
        <f ca="1"/>
        <v>0</v>
      </c>
      <c r="W174" s="1968">
        <f ca="1"/>
        <v>0</v>
      </c>
      <c r="X174" s="1968">
        <f ca="1"/>
        <v>0</v>
      </c>
      <c r="Y174" s="1986">
        <f ca="1"/>
        <v>0</v>
      </c>
    </row>
    <row r="175" spans="1:25">
      <c r="A175" s="1971" t="str">
        <v>10 meses antes</v>
      </c>
      <c r="B175" s="1967"/>
      <c r="C175" s="1967"/>
      <c r="D175" s="592">
        <f t="array" aca="1" ref="D175:O175" ca="1">B23:M23*Produccion!$D$11</f>
        <v>0</v>
      </c>
      <c r="E175" s="592">
        <f ca="1"/>
        <v>0</v>
      </c>
      <c r="F175" s="592">
        <f ca="1"/>
        <v>0</v>
      </c>
      <c r="G175" s="592">
        <f ca="1"/>
        <v>0</v>
      </c>
      <c r="H175" s="592">
        <f ca="1"/>
        <v>0</v>
      </c>
      <c r="I175" s="592">
        <f ca="1"/>
        <v>0</v>
      </c>
      <c r="J175" s="592">
        <f ca="1"/>
        <v>0</v>
      </c>
      <c r="K175" s="592">
        <f ca="1"/>
        <v>0</v>
      </c>
      <c r="L175" s="592">
        <f ca="1"/>
        <v>0</v>
      </c>
      <c r="M175" s="592">
        <f ca="1"/>
        <v>0</v>
      </c>
      <c r="N175" s="592">
        <f ca="1"/>
        <v>0</v>
      </c>
      <c r="O175" s="592">
        <f ca="1"/>
        <v>0</v>
      </c>
      <c r="P175" s="1968">
        <f t="array" aca="1" ref="P175:P177" ca="1">'Distr CV 4'!D175:D177</f>
        <v>0</v>
      </c>
      <c r="Q175" s="1968">
        <f ca="1"/>
        <v>0</v>
      </c>
      <c r="R175" s="1968">
        <f ca="1"/>
        <v>0</v>
      </c>
      <c r="S175" s="1968">
        <f ca="1"/>
        <v>0</v>
      </c>
      <c r="T175" s="1968">
        <f ca="1"/>
        <v>0</v>
      </c>
      <c r="U175" s="1968">
        <f ca="1"/>
        <v>0</v>
      </c>
      <c r="V175" s="1968">
        <f ca="1"/>
        <v>0</v>
      </c>
      <c r="W175" s="1968">
        <f ca="1"/>
        <v>0</v>
      </c>
      <c r="X175" s="1968">
        <f ca="1"/>
        <v>0</v>
      </c>
      <c r="Y175" s="1986">
        <f ca="1"/>
        <v>0</v>
      </c>
    </row>
    <row r="176" spans="1:25">
      <c r="A176" s="1971" t="str">
        <v>11 meses antes</v>
      </c>
      <c r="B176" s="1967"/>
      <c r="C176" s="592">
        <f t="array" aca="1" ref="C176:N176" ca="1">B23:M23*Produccion!$C$11</f>
        <v>0</v>
      </c>
      <c r="D176" s="592">
        <f ca="1"/>
        <v>0</v>
      </c>
      <c r="E176" s="592">
        <f ca="1"/>
        <v>0</v>
      </c>
      <c r="F176" s="592">
        <f ca="1"/>
        <v>0</v>
      </c>
      <c r="G176" s="592">
        <f ca="1"/>
        <v>0</v>
      </c>
      <c r="H176" s="592">
        <f ca="1"/>
        <v>0</v>
      </c>
      <c r="I176" s="592">
        <f ca="1"/>
        <v>0</v>
      </c>
      <c r="J176" s="592">
        <f ca="1"/>
        <v>0</v>
      </c>
      <c r="K176" s="592">
        <f ca="1"/>
        <v>0</v>
      </c>
      <c r="L176" s="592">
        <f ca="1"/>
        <v>0</v>
      </c>
      <c r="M176" s="592">
        <f ca="1"/>
        <v>0</v>
      </c>
      <c r="N176" s="592">
        <f ca="1"/>
        <v>0</v>
      </c>
      <c r="O176" s="1968">
        <f ca="1">'Distr CV 4'!C176</f>
        <v>0</v>
      </c>
      <c r="P176" s="1968">
        <f ca="1"/>
        <v>0</v>
      </c>
      <c r="Q176" s="1968">
        <f ca="1"/>
        <v>0</v>
      </c>
      <c r="R176" s="1968">
        <f ca="1"/>
        <v>0</v>
      </c>
      <c r="S176" s="1968">
        <f ca="1"/>
        <v>0</v>
      </c>
      <c r="T176" s="1968">
        <f ca="1"/>
        <v>0</v>
      </c>
      <c r="U176" s="1968">
        <f ca="1"/>
        <v>0</v>
      </c>
      <c r="V176" s="1968">
        <f ca="1"/>
        <v>0</v>
      </c>
      <c r="W176" s="1968">
        <f ca="1"/>
        <v>0</v>
      </c>
      <c r="X176" s="1968">
        <f ca="1"/>
        <v>0</v>
      </c>
      <c r="Y176" s="1986">
        <f ca="1"/>
        <v>0</v>
      </c>
    </row>
    <row r="177" spans="1:25" ht="13.5" thickBot="1">
      <c r="A177" s="1971" t="str">
        <v>12 meses antes</v>
      </c>
      <c r="B177" s="592">
        <f t="array" aca="1" ref="B177:M177" ca="1">B23:M23*Produccion!$B$11</f>
        <v>0</v>
      </c>
      <c r="C177" s="592">
        <f ca="1"/>
        <v>0</v>
      </c>
      <c r="D177" s="592">
        <f ca="1"/>
        <v>0</v>
      </c>
      <c r="E177" s="592">
        <f ca="1"/>
        <v>0</v>
      </c>
      <c r="F177" s="592">
        <f ca="1"/>
        <v>0</v>
      </c>
      <c r="G177" s="592">
        <f ca="1"/>
        <v>0</v>
      </c>
      <c r="H177" s="592">
        <f ca="1"/>
        <v>0</v>
      </c>
      <c r="I177" s="592">
        <f ca="1"/>
        <v>0</v>
      </c>
      <c r="J177" s="592">
        <f ca="1"/>
        <v>0</v>
      </c>
      <c r="K177" s="592">
        <f ca="1"/>
        <v>0</v>
      </c>
      <c r="L177" s="592">
        <f ca="1"/>
        <v>0</v>
      </c>
      <c r="M177" s="592">
        <f ca="1"/>
        <v>0</v>
      </c>
      <c r="N177" s="1967">
        <f ca="1">'Distr CV 4'!B177</f>
        <v>0</v>
      </c>
      <c r="O177" s="1968">
        <f ca="1">'Distr CV 4'!C177</f>
        <v>0</v>
      </c>
      <c r="P177" s="1968">
        <f ca="1"/>
        <v>0</v>
      </c>
      <c r="Q177" s="1968">
        <f ca="1"/>
        <v>0</v>
      </c>
      <c r="R177" s="1968">
        <f ca="1"/>
        <v>0</v>
      </c>
      <c r="S177" s="1968">
        <f ca="1"/>
        <v>0</v>
      </c>
      <c r="T177" s="1968">
        <f ca="1"/>
        <v>0</v>
      </c>
      <c r="U177" s="1968">
        <f ca="1"/>
        <v>0</v>
      </c>
      <c r="V177" s="1968">
        <f ca="1"/>
        <v>0</v>
      </c>
      <c r="W177" s="1968">
        <f ca="1"/>
        <v>0</v>
      </c>
      <c r="X177" s="1968">
        <f ca="1"/>
        <v>0</v>
      </c>
      <c r="Y177" s="1986">
        <f ca="1"/>
        <v>0</v>
      </c>
    </row>
    <row r="178" spans="1:25" ht="13.5" thickBot="1">
      <c r="A178" s="103" t="str">
        <f>"Totales CV "&amp;A$11</f>
        <v xml:space="preserve">Totales CV </v>
      </c>
      <c r="B178" s="596">
        <f t="shared" ref="B178:Y178" ca="1" si="13">SUM(B165:B177)</f>
        <v>0</v>
      </c>
      <c r="C178" s="596">
        <f t="shared" ca="1" si="13"/>
        <v>0</v>
      </c>
      <c r="D178" s="596">
        <f t="shared" ca="1" si="13"/>
        <v>0</v>
      </c>
      <c r="E178" s="596">
        <f t="shared" ca="1" si="13"/>
        <v>0</v>
      </c>
      <c r="F178" s="596">
        <f t="shared" ca="1" si="13"/>
        <v>0</v>
      </c>
      <c r="G178" s="596">
        <f t="shared" ca="1" si="13"/>
        <v>0</v>
      </c>
      <c r="H178" s="596">
        <f t="shared" ca="1" si="13"/>
        <v>0</v>
      </c>
      <c r="I178" s="596">
        <f t="shared" ca="1" si="13"/>
        <v>0</v>
      </c>
      <c r="J178" s="596">
        <f t="shared" ca="1" si="13"/>
        <v>0</v>
      </c>
      <c r="K178" s="596">
        <f t="shared" ca="1" si="13"/>
        <v>0</v>
      </c>
      <c r="L178" s="596">
        <f t="shared" ca="1" si="13"/>
        <v>0</v>
      </c>
      <c r="M178" s="596">
        <f t="shared" ca="1" si="13"/>
        <v>0</v>
      </c>
      <c r="N178" s="596">
        <f t="shared" ca="1" si="13"/>
        <v>0</v>
      </c>
      <c r="O178" s="596">
        <f t="shared" ca="1" si="13"/>
        <v>0</v>
      </c>
      <c r="P178" s="596">
        <f t="shared" ca="1" si="13"/>
        <v>0</v>
      </c>
      <c r="Q178" s="596">
        <f t="shared" ca="1" si="13"/>
        <v>0</v>
      </c>
      <c r="R178" s="596">
        <f t="shared" ca="1" si="13"/>
        <v>0</v>
      </c>
      <c r="S178" s="596">
        <f t="shared" ca="1" si="13"/>
        <v>0</v>
      </c>
      <c r="T178" s="596">
        <f t="shared" ca="1" si="13"/>
        <v>0</v>
      </c>
      <c r="U178" s="596">
        <f t="shared" ca="1" si="13"/>
        <v>0</v>
      </c>
      <c r="V178" s="596">
        <f t="shared" ca="1" si="13"/>
        <v>0</v>
      </c>
      <c r="W178" s="596">
        <f t="shared" ca="1" si="13"/>
        <v>0</v>
      </c>
      <c r="X178" s="596">
        <f t="shared" ca="1" si="13"/>
        <v>0</v>
      </c>
      <c r="Y178" s="1984">
        <f t="shared" ca="1" si="13"/>
        <v>0</v>
      </c>
    </row>
    <row r="179" spans="1:25" ht="13.5" thickBot="1">
      <c r="A179" s="103" t="str">
        <f>'Datos Básicos'!A28&amp;" sop. CV "&amp;$A$11</f>
        <v xml:space="preserve">IVA sop. CV </v>
      </c>
      <c r="B179" s="596">
        <f t="array" aca="1" ref="B179:Y179" ca="1">$K$163*B178:Y178</f>
        <v>0</v>
      </c>
      <c r="C179" s="596">
        <f ca="1"/>
        <v>0</v>
      </c>
      <c r="D179" s="596">
        <f ca="1"/>
        <v>0</v>
      </c>
      <c r="E179" s="596">
        <f ca="1"/>
        <v>0</v>
      </c>
      <c r="F179" s="596">
        <f ca="1"/>
        <v>0</v>
      </c>
      <c r="G179" s="596">
        <f ca="1"/>
        <v>0</v>
      </c>
      <c r="H179" s="596">
        <f ca="1"/>
        <v>0</v>
      </c>
      <c r="I179" s="596">
        <f ca="1"/>
        <v>0</v>
      </c>
      <c r="J179" s="596">
        <f ca="1"/>
        <v>0</v>
      </c>
      <c r="K179" s="596">
        <f ca="1"/>
        <v>0</v>
      </c>
      <c r="L179" s="596">
        <f ca="1"/>
        <v>0</v>
      </c>
      <c r="M179" s="596">
        <f ca="1"/>
        <v>0</v>
      </c>
      <c r="N179" s="596">
        <f ca="1"/>
        <v>0</v>
      </c>
      <c r="O179" s="596">
        <f ca="1"/>
        <v>0</v>
      </c>
      <c r="P179" s="596">
        <f ca="1"/>
        <v>0</v>
      </c>
      <c r="Q179" s="596">
        <f ca="1"/>
        <v>0</v>
      </c>
      <c r="R179" s="596">
        <f ca="1"/>
        <v>0</v>
      </c>
      <c r="S179" s="596">
        <f ca="1"/>
        <v>0</v>
      </c>
      <c r="T179" s="596">
        <f ca="1"/>
        <v>0</v>
      </c>
      <c r="U179" s="596">
        <f ca="1"/>
        <v>0</v>
      </c>
      <c r="V179" s="596">
        <f ca="1"/>
        <v>0</v>
      </c>
      <c r="W179" s="596">
        <f ca="1"/>
        <v>0</v>
      </c>
      <c r="X179" s="596">
        <f ca="1"/>
        <v>0</v>
      </c>
      <c r="Y179" s="1984">
        <f ca="1"/>
        <v>0</v>
      </c>
    </row>
    <row r="181" spans="1:25" ht="18.75" thickBot="1">
      <c r="A181" s="1969" t="str">
        <f>'Distr CV 0'!A181</f>
        <v xml:space="preserve">Compras / costes de producción por meses de </v>
      </c>
      <c r="I181" s="1969" t="str">
        <f>I$18</f>
        <v>IVA NO incluido</v>
      </c>
      <c r="K181" s="1981">
        <f>Parametros!$F$28</f>
        <v>0.21</v>
      </c>
    </row>
    <row r="182" spans="1:25" ht="31.5" customHeight="1" thickBot="1">
      <c r="A182" s="446" t="str">
        <f>A$110</f>
        <v>mes de compra / coste</v>
      </c>
      <c r="B182" s="1987" t="str">
        <f t="array" ref="B182:Y182">B$71:Y$71</f>
        <v>enero 
2028</v>
      </c>
      <c r="C182" s="1987" t="str">
        <v>febrero 
2028</v>
      </c>
      <c r="D182" s="1987" t="str">
        <v>marzo 
2028</v>
      </c>
      <c r="E182" s="1987" t="str">
        <v>abril 
2028</v>
      </c>
      <c r="F182" s="1987" t="str">
        <v>mayo 
2028</v>
      </c>
      <c r="G182" s="1987" t="str">
        <v>junio 
2028</v>
      </c>
      <c r="H182" s="1987" t="str">
        <v>julio 
2028</v>
      </c>
      <c r="I182" s="1987" t="str">
        <v>agosto 
2028</v>
      </c>
      <c r="J182" s="1987" t="str">
        <v>septiembre 
2028</v>
      </c>
      <c r="K182" s="1987" t="str">
        <v>octubre 
2028</v>
      </c>
      <c r="L182" s="1987" t="str">
        <v>noviembre 
2028</v>
      </c>
      <c r="M182" s="1987" t="str">
        <v>diciembre 
2028</v>
      </c>
      <c r="N182" s="2703" t="str">
        <v>enero 
2029</v>
      </c>
      <c r="O182" s="2704" t="str">
        <v>febrero 
2029</v>
      </c>
      <c r="P182" s="2704" t="str">
        <v>marzo 
2029</v>
      </c>
      <c r="Q182" s="2704" t="str">
        <v>abril 
2029</v>
      </c>
      <c r="R182" s="2704" t="str">
        <v>mayo 
2029</v>
      </c>
      <c r="S182" s="2704" t="str">
        <v>junio 
2029</v>
      </c>
      <c r="T182" s="2704" t="str">
        <v>julio 
2029</v>
      </c>
      <c r="U182" s="2704" t="str">
        <v>agosto 
2029</v>
      </c>
      <c r="V182" s="2704" t="str">
        <v>septiembre 
2029</v>
      </c>
      <c r="W182" s="2704" t="str">
        <v>octubre 
2029</v>
      </c>
      <c r="X182" s="2704" t="str">
        <v>noviembre 
2029</v>
      </c>
      <c r="Y182" s="2705" t="str">
        <v>diciembre 
2029</v>
      </c>
    </row>
    <row r="183" spans="1:25">
      <c r="A183" s="1970" t="str">
        <f t="array" ref="A183:A195">A$72:A$84</f>
        <v>mismo mes</v>
      </c>
      <c r="B183" s="1967"/>
      <c r="C183" s="1967"/>
      <c r="D183" s="1967"/>
      <c r="E183" s="1967"/>
      <c r="F183" s="1967"/>
      <c r="G183" s="1967"/>
      <c r="H183" s="1967"/>
      <c r="I183" s="1967"/>
      <c r="J183" s="1967"/>
      <c r="K183" s="1967"/>
      <c r="L183" s="1967"/>
      <c r="M183" s="1967"/>
      <c r="N183" s="592">
        <f t="array" aca="1" ref="N183:Y183" ca="1">B24:M24*Produccion!$N$12</f>
        <v>0</v>
      </c>
      <c r="O183" s="592">
        <f ca="1"/>
        <v>0</v>
      </c>
      <c r="P183" s="592">
        <f ca="1"/>
        <v>0</v>
      </c>
      <c r="Q183" s="592">
        <f ca="1"/>
        <v>0</v>
      </c>
      <c r="R183" s="592">
        <f ca="1"/>
        <v>0</v>
      </c>
      <c r="S183" s="592">
        <f ca="1"/>
        <v>0</v>
      </c>
      <c r="T183" s="592">
        <f ca="1"/>
        <v>0</v>
      </c>
      <c r="U183" s="592">
        <f ca="1"/>
        <v>0</v>
      </c>
      <c r="V183" s="592">
        <f ca="1"/>
        <v>0</v>
      </c>
      <c r="W183" s="592">
        <f ca="1"/>
        <v>0</v>
      </c>
      <c r="X183" s="592">
        <f ca="1"/>
        <v>0</v>
      </c>
      <c r="Y183" s="1982">
        <f ca="1"/>
        <v>0</v>
      </c>
    </row>
    <row r="184" spans="1:25">
      <c r="A184" s="1971" t="str">
        <v>1 mes antes</v>
      </c>
      <c r="B184" s="1967"/>
      <c r="C184" s="1967"/>
      <c r="D184" s="1967"/>
      <c r="E184" s="1967"/>
      <c r="F184" s="1967"/>
      <c r="G184" s="1967"/>
      <c r="H184" s="1967"/>
      <c r="I184" s="1967"/>
      <c r="J184" s="1967"/>
      <c r="K184" s="1967"/>
      <c r="L184" s="1967"/>
      <c r="M184" s="592">
        <f t="array" aca="1" ref="M184:X184" ca="1">B24:M24*Produccion!$M$12</f>
        <v>0</v>
      </c>
      <c r="N184" s="592">
        <f ca="1"/>
        <v>0</v>
      </c>
      <c r="O184" s="592">
        <f ca="1"/>
        <v>0</v>
      </c>
      <c r="P184" s="592">
        <f ca="1"/>
        <v>0</v>
      </c>
      <c r="Q184" s="592">
        <f ca="1"/>
        <v>0</v>
      </c>
      <c r="R184" s="592">
        <f ca="1"/>
        <v>0</v>
      </c>
      <c r="S184" s="592">
        <f ca="1"/>
        <v>0</v>
      </c>
      <c r="T184" s="592">
        <f ca="1"/>
        <v>0</v>
      </c>
      <c r="U184" s="592">
        <f ca="1"/>
        <v>0</v>
      </c>
      <c r="V184" s="592">
        <f ca="1"/>
        <v>0</v>
      </c>
      <c r="W184" s="592">
        <f ca="1"/>
        <v>0</v>
      </c>
      <c r="X184" s="592">
        <f ca="1"/>
        <v>0</v>
      </c>
      <c r="Y184" s="1983">
        <f t="array" aca="1" ref="Y184:Y195" ca="1">'Distr CV 4'!M184:M195</f>
        <v>0</v>
      </c>
    </row>
    <row r="185" spans="1:25">
      <c r="A185" s="1971" t="str">
        <v>2 meses antes</v>
      </c>
      <c r="B185" s="1967"/>
      <c r="C185" s="1967"/>
      <c r="D185" s="1967"/>
      <c r="E185" s="1967"/>
      <c r="F185" s="1967"/>
      <c r="G185" s="1967"/>
      <c r="H185" s="1967"/>
      <c r="I185" s="1967"/>
      <c r="J185" s="1967"/>
      <c r="K185" s="1967"/>
      <c r="L185" s="592">
        <f t="array" aca="1" ref="L185:W185" ca="1">B24:M24*Produccion!$L$12</f>
        <v>0</v>
      </c>
      <c r="M185" s="592">
        <f ca="1"/>
        <v>0</v>
      </c>
      <c r="N185" s="592">
        <f ca="1"/>
        <v>0</v>
      </c>
      <c r="O185" s="592">
        <f ca="1"/>
        <v>0</v>
      </c>
      <c r="P185" s="592">
        <f ca="1"/>
        <v>0</v>
      </c>
      <c r="Q185" s="592">
        <f ca="1"/>
        <v>0</v>
      </c>
      <c r="R185" s="592">
        <f ca="1"/>
        <v>0</v>
      </c>
      <c r="S185" s="592">
        <f ca="1"/>
        <v>0</v>
      </c>
      <c r="T185" s="592">
        <f ca="1"/>
        <v>0</v>
      </c>
      <c r="U185" s="592">
        <f ca="1"/>
        <v>0</v>
      </c>
      <c r="V185" s="592">
        <f ca="1"/>
        <v>0</v>
      </c>
      <c r="W185" s="592">
        <f ca="1"/>
        <v>0</v>
      </c>
      <c r="X185" s="1964">
        <f t="array" aca="1" ref="X185:X195" ca="1">'Distr CV 4'!L185:L195</f>
        <v>0</v>
      </c>
      <c r="Y185" s="1983">
        <f ca="1"/>
        <v>0</v>
      </c>
    </row>
    <row r="186" spans="1:25">
      <c r="A186" s="1971" t="str">
        <v>3 meses antes</v>
      </c>
      <c r="B186" s="1967"/>
      <c r="C186" s="1967"/>
      <c r="D186" s="1967"/>
      <c r="E186" s="1967"/>
      <c r="F186" s="1967"/>
      <c r="G186" s="1967"/>
      <c r="H186" s="1967"/>
      <c r="I186" s="1967"/>
      <c r="J186" s="1967"/>
      <c r="K186" s="592">
        <f t="array" aca="1" ref="K186:V186" ca="1">B24:M24*Produccion!$K$12</f>
        <v>0</v>
      </c>
      <c r="L186" s="592">
        <f ca="1"/>
        <v>0</v>
      </c>
      <c r="M186" s="592">
        <f ca="1"/>
        <v>0</v>
      </c>
      <c r="N186" s="592">
        <f ca="1"/>
        <v>0</v>
      </c>
      <c r="O186" s="592">
        <f ca="1"/>
        <v>0</v>
      </c>
      <c r="P186" s="592">
        <f ca="1"/>
        <v>0</v>
      </c>
      <c r="Q186" s="592">
        <f ca="1"/>
        <v>0</v>
      </c>
      <c r="R186" s="592">
        <f ca="1"/>
        <v>0</v>
      </c>
      <c r="S186" s="592">
        <f ca="1"/>
        <v>0</v>
      </c>
      <c r="T186" s="592">
        <f ca="1"/>
        <v>0</v>
      </c>
      <c r="U186" s="592">
        <f ca="1"/>
        <v>0</v>
      </c>
      <c r="V186" s="592">
        <f ca="1"/>
        <v>0</v>
      </c>
      <c r="W186" s="1964">
        <f t="array" aca="1" ref="W186:W195" ca="1">'Distr CV 4'!K186:K195</f>
        <v>0</v>
      </c>
      <c r="X186" s="1964">
        <f ca="1"/>
        <v>0</v>
      </c>
      <c r="Y186" s="1983">
        <f ca="1"/>
        <v>0</v>
      </c>
    </row>
    <row r="187" spans="1:25">
      <c r="A187" s="1971" t="str">
        <v>4 meses antes</v>
      </c>
      <c r="B187" s="1967"/>
      <c r="C187" s="1967"/>
      <c r="D187" s="1967"/>
      <c r="E187" s="1967"/>
      <c r="F187" s="1967"/>
      <c r="G187" s="1967"/>
      <c r="H187" s="1967"/>
      <c r="I187" s="1967"/>
      <c r="J187" s="592">
        <f t="array" aca="1" ref="J187:U187" ca="1">B24:M24*Produccion!$J$12</f>
        <v>0</v>
      </c>
      <c r="K187" s="592">
        <f ca="1"/>
        <v>0</v>
      </c>
      <c r="L187" s="592">
        <f ca="1"/>
        <v>0</v>
      </c>
      <c r="M187" s="592">
        <f ca="1"/>
        <v>0</v>
      </c>
      <c r="N187" s="592">
        <f ca="1"/>
        <v>0</v>
      </c>
      <c r="O187" s="592">
        <f ca="1"/>
        <v>0</v>
      </c>
      <c r="P187" s="592">
        <f ca="1"/>
        <v>0</v>
      </c>
      <c r="Q187" s="592">
        <f ca="1"/>
        <v>0</v>
      </c>
      <c r="R187" s="592">
        <f ca="1"/>
        <v>0</v>
      </c>
      <c r="S187" s="592">
        <f ca="1"/>
        <v>0</v>
      </c>
      <c r="T187" s="592">
        <f ca="1"/>
        <v>0</v>
      </c>
      <c r="U187" s="592">
        <f ca="1"/>
        <v>0</v>
      </c>
      <c r="V187" s="1964">
        <f t="array" aca="1" ref="V187:V195" ca="1">'Distr CV 4'!J187:J195</f>
        <v>0</v>
      </c>
      <c r="W187" s="1964">
        <f ca="1"/>
        <v>0</v>
      </c>
      <c r="X187" s="1964">
        <f ca="1"/>
        <v>0</v>
      </c>
      <c r="Y187" s="1983">
        <f ca="1"/>
        <v>0</v>
      </c>
    </row>
    <row r="188" spans="1:25">
      <c r="A188" s="1971" t="str">
        <v>5 meses antes</v>
      </c>
      <c r="B188" s="1967"/>
      <c r="C188" s="1967"/>
      <c r="D188" s="1967"/>
      <c r="E188" s="1967"/>
      <c r="F188" s="1967"/>
      <c r="G188" s="1967"/>
      <c r="H188" s="1967"/>
      <c r="I188" s="592">
        <f t="array" aca="1" ref="I188:T188" ca="1">B24:M24*Produccion!$I$12</f>
        <v>0</v>
      </c>
      <c r="J188" s="592">
        <f ca="1"/>
        <v>0</v>
      </c>
      <c r="K188" s="592">
        <f ca="1"/>
        <v>0</v>
      </c>
      <c r="L188" s="592">
        <f ca="1"/>
        <v>0</v>
      </c>
      <c r="M188" s="592">
        <f ca="1"/>
        <v>0</v>
      </c>
      <c r="N188" s="592">
        <f ca="1"/>
        <v>0</v>
      </c>
      <c r="O188" s="592">
        <f ca="1"/>
        <v>0</v>
      </c>
      <c r="P188" s="592">
        <f ca="1"/>
        <v>0</v>
      </c>
      <c r="Q188" s="592">
        <f ca="1"/>
        <v>0</v>
      </c>
      <c r="R188" s="592">
        <f ca="1"/>
        <v>0</v>
      </c>
      <c r="S188" s="592">
        <f ca="1"/>
        <v>0</v>
      </c>
      <c r="T188" s="592">
        <f ca="1"/>
        <v>0</v>
      </c>
      <c r="U188" s="1964">
        <f t="array" aca="1" ref="U188:U195" ca="1">'Distr CV 4'!I188:I195</f>
        <v>0</v>
      </c>
      <c r="V188" s="1964">
        <f ca="1"/>
        <v>0</v>
      </c>
      <c r="W188" s="1964">
        <f ca="1"/>
        <v>0</v>
      </c>
      <c r="X188" s="1964">
        <f ca="1"/>
        <v>0</v>
      </c>
      <c r="Y188" s="1983">
        <f ca="1"/>
        <v>0</v>
      </c>
    </row>
    <row r="189" spans="1:25">
      <c r="A189" s="1971" t="str">
        <v>6 meses antes</v>
      </c>
      <c r="B189" s="1967"/>
      <c r="C189" s="1967"/>
      <c r="D189" s="1967"/>
      <c r="E189" s="1967"/>
      <c r="F189" s="1967"/>
      <c r="G189" s="1967"/>
      <c r="H189" s="592">
        <f t="array" aca="1" ref="H189:S189" ca="1">B24:M24*Produccion!$H$12</f>
        <v>0</v>
      </c>
      <c r="I189" s="592">
        <f ca="1"/>
        <v>0</v>
      </c>
      <c r="J189" s="592">
        <f ca="1"/>
        <v>0</v>
      </c>
      <c r="K189" s="592">
        <f ca="1"/>
        <v>0</v>
      </c>
      <c r="L189" s="592">
        <f ca="1"/>
        <v>0</v>
      </c>
      <c r="M189" s="592">
        <f ca="1"/>
        <v>0</v>
      </c>
      <c r="N189" s="592">
        <f ca="1"/>
        <v>0</v>
      </c>
      <c r="O189" s="592">
        <f ca="1"/>
        <v>0</v>
      </c>
      <c r="P189" s="592">
        <f ca="1"/>
        <v>0</v>
      </c>
      <c r="Q189" s="592">
        <f ca="1"/>
        <v>0</v>
      </c>
      <c r="R189" s="592">
        <f ca="1"/>
        <v>0</v>
      </c>
      <c r="S189" s="592">
        <f ca="1"/>
        <v>0</v>
      </c>
      <c r="T189" s="1964">
        <f t="array" aca="1" ref="T189:T195" ca="1">'Distr CV 4'!H189:H195</f>
        <v>0</v>
      </c>
      <c r="U189" s="1964">
        <f ca="1"/>
        <v>0</v>
      </c>
      <c r="V189" s="1964">
        <f ca="1"/>
        <v>0</v>
      </c>
      <c r="W189" s="1964">
        <f ca="1"/>
        <v>0</v>
      </c>
      <c r="X189" s="1964">
        <f ca="1"/>
        <v>0</v>
      </c>
      <c r="Y189" s="1983">
        <f ca="1"/>
        <v>0</v>
      </c>
    </row>
    <row r="190" spans="1:25">
      <c r="A190" s="1971" t="str">
        <v>7 meses antes</v>
      </c>
      <c r="B190" s="1967"/>
      <c r="C190" s="1967"/>
      <c r="D190" s="1967"/>
      <c r="E190" s="1967"/>
      <c r="F190" s="1967"/>
      <c r="G190" s="592">
        <f t="array" aca="1" ref="G190:R190" ca="1">B24:M24*Produccion!$G$12</f>
        <v>0</v>
      </c>
      <c r="H190" s="592">
        <f ca="1"/>
        <v>0</v>
      </c>
      <c r="I190" s="592">
        <f ca="1"/>
        <v>0</v>
      </c>
      <c r="J190" s="592">
        <f ca="1"/>
        <v>0</v>
      </c>
      <c r="K190" s="592">
        <f ca="1"/>
        <v>0</v>
      </c>
      <c r="L190" s="592">
        <f ca="1"/>
        <v>0</v>
      </c>
      <c r="M190" s="592">
        <f ca="1"/>
        <v>0</v>
      </c>
      <c r="N190" s="592">
        <f ca="1"/>
        <v>0</v>
      </c>
      <c r="O190" s="592">
        <f ca="1"/>
        <v>0</v>
      </c>
      <c r="P190" s="592">
        <f ca="1"/>
        <v>0</v>
      </c>
      <c r="Q190" s="592">
        <f ca="1"/>
        <v>0</v>
      </c>
      <c r="R190" s="592">
        <f ca="1"/>
        <v>0</v>
      </c>
      <c r="S190" s="1968">
        <f t="array" aca="1" ref="S190:S195" ca="1">'Distr CV 4'!G190:G195</f>
        <v>0</v>
      </c>
      <c r="T190" s="1968">
        <f ca="1"/>
        <v>0</v>
      </c>
      <c r="U190" s="1968">
        <f ca="1"/>
        <v>0</v>
      </c>
      <c r="V190" s="1968">
        <f ca="1"/>
        <v>0</v>
      </c>
      <c r="W190" s="1968">
        <f ca="1"/>
        <v>0</v>
      </c>
      <c r="X190" s="1968">
        <f ca="1"/>
        <v>0</v>
      </c>
      <c r="Y190" s="1986">
        <f ca="1"/>
        <v>0</v>
      </c>
    </row>
    <row r="191" spans="1:25">
      <c r="A191" s="1971" t="str">
        <v>8 meses antes</v>
      </c>
      <c r="B191" s="1967"/>
      <c r="C191" s="1967"/>
      <c r="D191" s="1967"/>
      <c r="E191" s="1967"/>
      <c r="F191" s="592">
        <f t="array" aca="1" ref="F191:Q191" ca="1">B24:M24*Produccion!$F$12</f>
        <v>0</v>
      </c>
      <c r="G191" s="592">
        <f ca="1"/>
        <v>0</v>
      </c>
      <c r="H191" s="592">
        <f ca="1"/>
        <v>0</v>
      </c>
      <c r="I191" s="592">
        <f ca="1"/>
        <v>0</v>
      </c>
      <c r="J191" s="592">
        <f ca="1"/>
        <v>0</v>
      </c>
      <c r="K191" s="592">
        <f ca="1"/>
        <v>0</v>
      </c>
      <c r="L191" s="592">
        <f ca="1"/>
        <v>0</v>
      </c>
      <c r="M191" s="592">
        <f ca="1"/>
        <v>0</v>
      </c>
      <c r="N191" s="592">
        <f ca="1"/>
        <v>0</v>
      </c>
      <c r="O191" s="592">
        <f ca="1"/>
        <v>0</v>
      </c>
      <c r="P191" s="592">
        <f ca="1"/>
        <v>0</v>
      </c>
      <c r="Q191" s="592">
        <f ca="1"/>
        <v>0</v>
      </c>
      <c r="R191" s="1968">
        <f t="array" aca="1" ref="R191:R195" ca="1">'Distr CV 4'!F191:F195</f>
        <v>0</v>
      </c>
      <c r="S191" s="1968">
        <f ca="1"/>
        <v>0</v>
      </c>
      <c r="T191" s="1968">
        <f ca="1"/>
        <v>0</v>
      </c>
      <c r="U191" s="1968">
        <f ca="1"/>
        <v>0</v>
      </c>
      <c r="V191" s="1968">
        <f ca="1"/>
        <v>0</v>
      </c>
      <c r="W191" s="1968">
        <f ca="1"/>
        <v>0</v>
      </c>
      <c r="X191" s="1968">
        <f ca="1"/>
        <v>0</v>
      </c>
      <c r="Y191" s="1986">
        <f ca="1"/>
        <v>0</v>
      </c>
    </row>
    <row r="192" spans="1:25">
      <c r="A192" s="1971" t="str">
        <v>9 meses antes</v>
      </c>
      <c r="B192" s="1967"/>
      <c r="C192" s="1967"/>
      <c r="D192" s="1967"/>
      <c r="E192" s="592">
        <f t="array" aca="1" ref="E192:P192" ca="1">B24:M24*Produccion!$E$12</f>
        <v>0</v>
      </c>
      <c r="F192" s="592">
        <f ca="1"/>
        <v>0</v>
      </c>
      <c r="G192" s="592">
        <f ca="1"/>
        <v>0</v>
      </c>
      <c r="H192" s="592">
        <f ca="1"/>
        <v>0</v>
      </c>
      <c r="I192" s="592">
        <f ca="1"/>
        <v>0</v>
      </c>
      <c r="J192" s="592">
        <f ca="1"/>
        <v>0</v>
      </c>
      <c r="K192" s="592">
        <f ca="1"/>
        <v>0</v>
      </c>
      <c r="L192" s="592">
        <f ca="1"/>
        <v>0</v>
      </c>
      <c r="M192" s="592">
        <f ca="1"/>
        <v>0</v>
      </c>
      <c r="N192" s="592">
        <f ca="1"/>
        <v>0</v>
      </c>
      <c r="O192" s="592">
        <f ca="1"/>
        <v>0</v>
      </c>
      <c r="P192" s="592">
        <f ca="1"/>
        <v>0</v>
      </c>
      <c r="Q192" s="1968">
        <f t="array" aca="1" ref="Q192:Q195" ca="1">'Distr CV 4'!E192:E195</f>
        <v>0</v>
      </c>
      <c r="R192" s="1968">
        <f ca="1"/>
        <v>0</v>
      </c>
      <c r="S192" s="1968">
        <f ca="1"/>
        <v>0</v>
      </c>
      <c r="T192" s="1968">
        <f ca="1"/>
        <v>0</v>
      </c>
      <c r="U192" s="1968">
        <f ca="1"/>
        <v>0</v>
      </c>
      <c r="V192" s="1968">
        <f ca="1"/>
        <v>0</v>
      </c>
      <c r="W192" s="1968">
        <f ca="1"/>
        <v>0</v>
      </c>
      <c r="X192" s="1968">
        <f ca="1"/>
        <v>0</v>
      </c>
      <c r="Y192" s="1986">
        <f ca="1"/>
        <v>0</v>
      </c>
    </row>
    <row r="193" spans="1:25">
      <c r="A193" s="1971" t="str">
        <v>10 meses antes</v>
      </c>
      <c r="B193" s="1967"/>
      <c r="C193" s="1967"/>
      <c r="D193" s="592">
        <f t="array" aca="1" ref="D193:O193" ca="1">B24:M24*Produccion!$D$12</f>
        <v>0</v>
      </c>
      <c r="E193" s="592">
        <f ca="1"/>
        <v>0</v>
      </c>
      <c r="F193" s="592">
        <f ca="1"/>
        <v>0</v>
      </c>
      <c r="G193" s="592">
        <f ca="1"/>
        <v>0</v>
      </c>
      <c r="H193" s="592">
        <f ca="1"/>
        <v>0</v>
      </c>
      <c r="I193" s="592">
        <f ca="1"/>
        <v>0</v>
      </c>
      <c r="J193" s="592">
        <f ca="1"/>
        <v>0</v>
      </c>
      <c r="K193" s="592">
        <f ca="1"/>
        <v>0</v>
      </c>
      <c r="L193" s="592">
        <f ca="1"/>
        <v>0</v>
      </c>
      <c r="M193" s="592">
        <f ca="1"/>
        <v>0</v>
      </c>
      <c r="N193" s="592">
        <f ca="1"/>
        <v>0</v>
      </c>
      <c r="O193" s="592">
        <f ca="1"/>
        <v>0</v>
      </c>
      <c r="P193" s="1968">
        <f t="array" aca="1" ref="P193:P195" ca="1">'Distr CV 4'!D193:D195</f>
        <v>0</v>
      </c>
      <c r="Q193" s="1968">
        <f ca="1"/>
        <v>0</v>
      </c>
      <c r="R193" s="1968">
        <f ca="1"/>
        <v>0</v>
      </c>
      <c r="S193" s="1968">
        <f ca="1"/>
        <v>0</v>
      </c>
      <c r="T193" s="1968">
        <f ca="1"/>
        <v>0</v>
      </c>
      <c r="U193" s="1968">
        <f ca="1"/>
        <v>0</v>
      </c>
      <c r="V193" s="1968">
        <f ca="1"/>
        <v>0</v>
      </c>
      <c r="W193" s="1968">
        <f ca="1"/>
        <v>0</v>
      </c>
      <c r="X193" s="1968">
        <f ca="1"/>
        <v>0</v>
      </c>
      <c r="Y193" s="1986">
        <f ca="1"/>
        <v>0</v>
      </c>
    </row>
    <row r="194" spans="1:25">
      <c r="A194" s="1971" t="str">
        <v>11 meses antes</v>
      </c>
      <c r="B194" s="1967"/>
      <c r="C194" s="592">
        <f t="array" aca="1" ref="C194:N194" ca="1">B24:M24*Produccion!$C$12</f>
        <v>0</v>
      </c>
      <c r="D194" s="592">
        <f ca="1"/>
        <v>0</v>
      </c>
      <c r="E194" s="592">
        <f ca="1"/>
        <v>0</v>
      </c>
      <c r="F194" s="592">
        <f ca="1"/>
        <v>0</v>
      </c>
      <c r="G194" s="592">
        <f ca="1"/>
        <v>0</v>
      </c>
      <c r="H194" s="592">
        <f ca="1"/>
        <v>0</v>
      </c>
      <c r="I194" s="592">
        <f ca="1"/>
        <v>0</v>
      </c>
      <c r="J194" s="592">
        <f ca="1"/>
        <v>0</v>
      </c>
      <c r="K194" s="592">
        <f ca="1"/>
        <v>0</v>
      </c>
      <c r="L194" s="592">
        <f ca="1"/>
        <v>0</v>
      </c>
      <c r="M194" s="592">
        <f ca="1"/>
        <v>0</v>
      </c>
      <c r="N194" s="592">
        <f ca="1"/>
        <v>0</v>
      </c>
      <c r="O194" s="1968">
        <f ca="1">'Distr CV 4'!C194</f>
        <v>0</v>
      </c>
      <c r="P194" s="1968">
        <f ca="1"/>
        <v>0</v>
      </c>
      <c r="Q194" s="1968">
        <f ca="1"/>
        <v>0</v>
      </c>
      <c r="R194" s="1968">
        <f ca="1"/>
        <v>0</v>
      </c>
      <c r="S194" s="1968">
        <f ca="1"/>
        <v>0</v>
      </c>
      <c r="T194" s="1968">
        <f ca="1"/>
        <v>0</v>
      </c>
      <c r="U194" s="1968">
        <f ca="1"/>
        <v>0</v>
      </c>
      <c r="V194" s="1968">
        <f ca="1"/>
        <v>0</v>
      </c>
      <c r="W194" s="1968">
        <f ca="1"/>
        <v>0</v>
      </c>
      <c r="X194" s="1968">
        <f ca="1"/>
        <v>0</v>
      </c>
      <c r="Y194" s="1986">
        <f ca="1"/>
        <v>0</v>
      </c>
    </row>
    <row r="195" spans="1:25" ht="13.5" thickBot="1">
      <c r="A195" s="1971" t="str">
        <v>12 meses antes</v>
      </c>
      <c r="B195" s="592">
        <f t="array" aca="1" ref="B195:M195" ca="1">B24:M24*Produccion!$B$12</f>
        <v>0</v>
      </c>
      <c r="C195" s="592">
        <f ca="1"/>
        <v>0</v>
      </c>
      <c r="D195" s="592">
        <f ca="1"/>
        <v>0</v>
      </c>
      <c r="E195" s="592">
        <f ca="1"/>
        <v>0</v>
      </c>
      <c r="F195" s="592">
        <f ca="1"/>
        <v>0</v>
      </c>
      <c r="G195" s="592">
        <f ca="1"/>
        <v>0</v>
      </c>
      <c r="H195" s="592">
        <f ca="1"/>
        <v>0</v>
      </c>
      <c r="I195" s="592">
        <f ca="1"/>
        <v>0</v>
      </c>
      <c r="J195" s="592">
        <f ca="1"/>
        <v>0</v>
      </c>
      <c r="K195" s="592">
        <f ca="1"/>
        <v>0</v>
      </c>
      <c r="L195" s="592">
        <f ca="1"/>
        <v>0</v>
      </c>
      <c r="M195" s="592">
        <f ca="1"/>
        <v>0</v>
      </c>
      <c r="N195" s="1967">
        <f ca="1">'Distr CV 4'!B195</f>
        <v>0</v>
      </c>
      <c r="O195" s="1968">
        <f ca="1">'Distr CV 4'!C195</f>
        <v>0</v>
      </c>
      <c r="P195" s="1968">
        <f ca="1"/>
        <v>0</v>
      </c>
      <c r="Q195" s="1968">
        <f ca="1"/>
        <v>0</v>
      </c>
      <c r="R195" s="1968">
        <f ca="1"/>
        <v>0</v>
      </c>
      <c r="S195" s="1968">
        <f ca="1"/>
        <v>0</v>
      </c>
      <c r="T195" s="1968">
        <f ca="1"/>
        <v>0</v>
      </c>
      <c r="U195" s="1968">
        <f ca="1"/>
        <v>0</v>
      </c>
      <c r="V195" s="1968">
        <f ca="1"/>
        <v>0</v>
      </c>
      <c r="W195" s="1968">
        <f ca="1"/>
        <v>0</v>
      </c>
      <c r="X195" s="1968">
        <f ca="1"/>
        <v>0</v>
      </c>
      <c r="Y195" s="1986">
        <f ca="1"/>
        <v>0</v>
      </c>
    </row>
    <row r="196" spans="1:25" ht="13.5" thickBot="1">
      <c r="A196" s="103" t="str">
        <f>"Totales CV "&amp;A$12</f>
        <v xml:space="preserve">Totales CV </v>
      </c>
      <c r="B196" s="596">
        <f t="shared" ref="B196:Y196" ca="1" si="14">SUM(B183:B195)</f>
        <v>0</v>
      </c>
      <c r="C196" s="596">
        <f t="shared" ca="1" si="14"/>
        <v>0</v>
      </c>
      <c r="D196" s="596">
        <f t="shared" ca="1" si="14"/>
        <v>0</v>
      </c>
      <c r="E196" s="596">
        <f t="shared" ca="1" si="14"/>
        <v>0</v>
      </c>
      <c r="F196" s="596">
        <f t="shared" ca="1" si="14"/>
        <v>0</v>
      </c>
      <c r="G196" s="596">
        <f t="shared" ca="1" si="14"/>
        <v>0</v>
      </c>
      <c r="H196" s="596">
        <f t="shared" ca="1" si="14"/>
        <v>0</v>
      </c>
      <c r="I196" s="596">
        <f t="shared" ca="1" si="14"/>
        <v>0</v>
      </c>
      <c r="J196" s="596">
        <f t="shared" ca="1" si="14"/>
        <v>0</v>
      </c>
      <c r="K196" s="596">
        <f t="shared" ca="1" si="14"/>
        <v>0</v>
      </c>
      <c r="L196" s="596">
        <f t="shared" ca="1" si="14"/>
        <v>0</v>
      </c>
      <c r="M196" s="596">
        <f t="shared" ca="1" si="14"/>
        <v>0</v>
      </c>
      <c r="N196" s="596">
        <f t="shared" ca="1" si="14"/>
        <v>0</v>
      </c>
      <c r="O196" s="596">
        <f t="shared" ca="1" si="14"/>
        <v>0</v>
      </c>
      <c r="P196" s="596">
        <f t="shared" ca="1" si="14"/>
        <v>0</v>
      </c>
      <c r="Q196" s="596">
        <f t="shared" ca="1" si="14"/>
        <v>0</v>
      </c>
      <c r="R196" s="596">
        <f t="shared" ca="1" si="14"/>
        <v>0</v>
      </c>
      <c r="S196" s="596">
        <f t="shared" ca="1" si="14"/>
        <v>0</v>
      </c>
      <c r="T196" s="596">
        <f t="shared" ca="1" si="14"/>
        <v>0</v>
      </c>
      <c r="U196" s="596">
        <f t="shared" ca="1" si="14"/>
        <v>0</v>
      </c>
      <c r="V196" s="596">
        <f t="shared" ca="1" si="14"/>
        <v>0</v>
      </c>
      <c r="W196" s="596">
        <f t="shared" ca="1" si="14"/>
        <v>0</v>
      </c>
      <c r="X196" s="596">
        <f t="shared" ca="1" si="14"/>
        <v>0</v>
      </c>
      <c r="Y196" s="1984">
        <f t="shared" ca="1" si="14"/>
        <v>0</v>
      </c>
    </row>
    <row r="197" spans="1:25" ht="13.5" thickBot="1">
      <c r="A197" s="103" t="str">
        <f>'Datos Básicos'!A28&amp;" sop. CV "&amp;$A$12</f>
        <v xml:space="preserve">IVA sop. CV </v>
      </c>
      <c r="B197" s="596">
        <f t="array" aca="1" ref="B197:Y197" ca="1">$K$181*B196:Y196</f>
        <v>0</v>
      </c>
      <c r="C197" s="596">
        <f ca="1"/>
        <v>0</v>
      </c>
      <c r="D197" s="596">
        <f ca="1"/>
        <v>0</v>
      </c>
      <c r="E197" s="596">
        <f ca="1"/>
        <v>0</v>
      </c>
      <c r="F197" s="596">
        <f ca="1"/>
        <v>0</v>
      </c>
      <c r="G197" s="596">
        <f ca="1"/>
        <v>0</v>
      </c>
      <c r="H197" s="596">
        <f ca="1"/>
        <v>0</v>
      </c>
      <c r="I197" s="596">
        <f ca="1"/>
        <v>0</v>
      </c>
      <c r="J197" s="596">
        <f ca="1"/>
        <v>0</v>
      </c>
      <c r="K197" s="596">
        <f ca="1"/>
        <v>0</v>
      </c>
      <c r="L197" s="596">
        <f ca="1"/>
        <v>0</v>
      </c>
      <c r="M197" s="596">
        <f ca="1"/>
        <v>0</v>
      </c>
      <c r="N197" s="596">
        <f ca="1"/>
        <v>0</v>
      </c>
      <c r="O197" s="596">
        <f ca="1"/>
        <v>0</v>
      </c>
      <c r="P197" s="596">
        <f ca="1"/>
        <v>0</v>
      </c>
      <c r="Q197" s="596">
        <f ca="1"/>
        <v>0</v>
      </c>
      <c r="R197" s="596">
        <f ca="1"/>
        <v>0</v>
      </c>
      <c r="S197" s="596">
        <f ca="1"/>
        <v>0</v>
      </c>
      <c r="T197" s="596">
        <f ca="1"/>
        <v>0</v>
      </c>
      <c r="U197" s="596">
        <f ca="1"/>
        <v>0</v>
      </c>
      <c r="V197" s="596">
        <f ca="1"/>
        <v>0</v>
      </c>
      <c r="W197" s="596">
        <f ca="1"/>
        <v>0</v>
      </c>
      <c r="X197" s="596">
        <f ca="1"/>
        <v>0</v>
      </c>
      <c r="Y197" s="1984">
        <f ca="1"/>
        <v>0</v>
      </c>
    </row>
    <row r="199" spans="1:25" ht="18.75" thickBot="1">
      <c r="A199" s="1969" t="str">
        <f>'Distr CV 0'!A199</f>
        <v xml:space="preserve">Compras / costes de producción por meses de </v>
      </c>
      <c r="I199" s="1969" t="str">
        <f>I$18</f>
        <v>IVA NO incluido</v>
      </c>
      <c r="K199" s="1981">
        <f>Parametros!$F$29</f>
        <v>0.21</v>
      </c>
    </row>
    <row r="200" spans="1:25" ht="33" customHeight="1" thickBot="1">
      <c r="A200" s="446" t="str">
        <f>A$110</f>
        <v>mes de compra / coste</v>
      </c>
      <c r="B200" s="1987" t="str">
        <f t="array" ref="B200:Y200">B$71:Y$71</f>
        <v>enero 
2028</v>
      </c>
      <c r="C200" s="1987" t="str">
        <v>febrero 
2028</v>
      </c>
      <c r="D200" s="1987" t="str">
        <v>marzo 
2028</v>
      </c>
      <c r="E200" s="1987" t="str">
        <v>abril 
2028</v>
      </c>
      <c r="F200" s="1987" t="str">
        <v>mayo 
2028</v>
      </c>
      <c r="G200" s="1987" t="str">
        <v>junio 
2028</v>
      </c>
      <c r="H200" s="1987" t="str">
        <v>julio 
2028</v>
      </c>
      <c r="I200" s="1987" t="str">
        <v>agosto 
2028</v>
      </c>
      <c r="J200" s="1987" t="str">
        <v>septiembre 
2028</v>
      </c>
      <c r="K200" s="1987" t="str">
        <v>octubre 
2028</v>
      </c>
      <c r="L200" s="1987" t="str">
        <v>noviembre 
2028</v>
      </c>
      <c r="M200" s="1987" t="str">
        <v>diciembre 
2028</v>
      </c>
      <c r="N200" s="2703" t="str">
        <v>enero 
2029</v>
      </c>
      <c r="O200" s="2704" t="str">
        <v>febrero 
2029</v>
      </c>
      <c r="P200" s="2704" t="str">
        <v>marzo 
2029</v>
      </c>
      <c r="Q200" s="2704" t="str">
        <v>abril 
2029</v>
      </c>
      <c r="R200" s="2704" t="str">
        <v>mayo 
2029</v>
      </c>
      <c r="S200" s="2704" t="str">
        <v>junio 
2029</v>
      </c>
      <c r="T200" s="2704" t="str">
        <v>julio 
2029</v>
      </c>
      <c r="U200" s="2704" t="str">
        <v>agosto 
2029</v>
      </c>
      <c r="V200" s="2704" t="str">
        <v>septiembre 
2029</v>
      </c>
      <c r="W200" s="2704" t="str">
        <v>octubre 
2029</v>
      </c>
      <c r="X200" s="2704" t="str">
        <v>noviembre 
2029</v>
      </c>
      <c r="Y200" s="2705" t="str">
        <v>diciembre 
2029</v>
      </c>
    </row>
    <row r="201" spans="1:25">
      <c r="A201" s="1970" t="str">
        <f t="array" ref="A201:A213">A$72:A$84</f>
        <v>mismo mes</v>
      </c>
      <c r="B201" s="1967"/>
      <c r="C201" s="1967"/>
      <c r="D201" s="1967"/>
      <c r="E201" s="1967"/>
      <c r="F201" s="1967"/>
      <c r="G201" s="1967"/>
      <c r="H201" s="1967"/>
      <c r="I201" s="1967"/>
      <c r="J201" s="1967"/>
      <c r="K201" s="1967"/>
      <c r="L201" s="1967"/>
      <c r="M201" s="1967"/>
      <c r="N201" s="592">
        <f t="array" aca="1" ref="N201:Y201" ca="1">B25:M25*Produccion!$N$13</f>
        <v>0</v>
      </c>
      <c r="O201" s="592">
        <f ca="1"/>
        <v>0</v>
      </c>
      <c r="P201" s="592">
        <f ca="1"/>
        <v>0</v>
      </c>
      <c r="Q201" s="592">
        <f ca="1"/>
        <v>0</v>
      </c>
      <c r="R201" s="592">
        <f ca="1"/>
        <v>0</v>
      </c>
      <c r="S201" s="592">
        <f ca="1"/>
        <v>0</v>
      </c>
      <c r="T201" s="592">
        <f ca="1"/>
        <v>0</v>
      </c>
      <c r="U201" s="592">
        <f ca="1"/>
        <v>0</v>
      </c>
      <c r="V201" s="592">
        <f ca="1"/>
        <v>0</v>
      </c>
      <c r="W201" s="592">
        <f ca="1"/>
        <v>0</v>
      </c>
      <c r="X201" s="592">
        <f ca="1"/>
        <v>0</v>
      </c>
      <c r="Y201" s="1982">
        <f ca="1"/>
        <v>0</v>
      </c>
    </row>
    <row r="202" spans="1:25">
      <c r="A202" s="1971" t="str">
        <v>1 mes antes</v>
      </c>
      <c r="B202" s="1967"/>
      <c r="C202" s="1967"/>
      <c r="D202" s="1967"/>
      <c r="E202" s="1967"/>
      <c r="F202" s="1967"/>
      <c r="G202" s="1967"/>
      <c r="H202" s="1967"/>
      <c r="I202" s="1967"/>
      <c r="J202" s="1967"/>
      <c r="K202" s="1967"/>
      <c r="L202" s="1967"/>
      <c r="M202" s="592">
        <f t="array" aca="1" ref="M202:X202" ca="1">B25:M25*Produccion!$M$13</f>
        <v>0</v>
      </c>
      <c r="N202" s="592">
        <f ca="1"/>
        <v>0</v>
      </c>
      <c r="O202" s="592">
        <f ca="1"/>
        <v>0</v>
      </c>
      <c r="P202" s="592">
        <f ca="1"/>
        <v>0</v>
      </c>
      <c r="Q202" s="592">
        <f ca="1"/>
        <v>0</v>
      </c>
      <c r="R202" s="592">
        <f ca="1"/>
        <v>0</v>
      </c>
      <c r="S202" s="592">
        <f ca="1"/>
        <v>0</v>
      </c>
      <c r="T202" s="592">
        <f ca="1"/>
        <v>0</v>
      </c>
      <c r="U202" s="592">
        <f ca="1"/>
        <v>0</v>
      </c>
      <c r="V202" s="592">
        <f ca="1"/>
        <v>0</v>
      </c>
      <c r="W202" s="592">
        <f ca="1"/>
        <v>0</v>
      </c>
      <c r="X202" s="592">
        <f ca="1"/>
        <v>0</v>
      </c>
      <c r="Y202" s="1983">
        <f t="array" aca="1" ref="Y202:Y213" ca="1">'Distr CV 4'!M202:M213</f>
        <v>0</v>
      </c>
    </row>
    <row r="203" spans="1:25">
      <c r="A203" s="1971" t="str">
        <v>2 meses antes</v>
      </c>
      <c r="B203" s="1967"/>
      <c r="C203" s="1967"/>
      <c r="D203" s="1967"/>
      <c r="E203" s="1967"/>
      <c r="F203" s="1967"/>
      <c r="G203" s="1967"/>
      <c r="H203" s="1967"/>
      <c r="I203" s="1967"/>
      <c r="J203" s="1967"/>
      <c r="K203" s="1967"/>
      <c r="L203" s="592">
        <f t="array" aca="1" ref="L203:W203" ca="1">B25:M25*Produccion!$L$13</f>
        <v>0</v>
      </c>
      <c r="M203" s="592">
        <f ca="1"/>
        <v>0</v>
      </c>
      <c r="N203" s="592">
        <f ca="1"/>
        <v>0</v>
      </c>
      <c r="O203" s="592">
        <f ca="1"/>
        <v>0</v>
      </c>
      <c r="P203" s="592">
        <f ca="1"/>
        <v>0</v>
      </c>
      <c r="Q203" s="592">
        <f ca="1"/>
        <v>0</v>
      </c>
      <c r="R203" s="592">
        <f ca="1"/>
        <v>0</v>
      </c>
      <c r="S203" s="592">
        <f ca="1"/>
        <v>0</v>
      </c>
      <c r="T203" s="592">
        <f ca="1"/>
        <v>0</v>
      </c>
      <c r="U203" s="592">
        <f ca="1"/>
        <v>0</v>
      </c>
      <c r="V203" s="592">
        <f ca="1"/>
        <v>0</v>
      </c>
      <c r="W203" s="592">
        <f ca="1"/>
        <v>0</v>
      </c>
      <c r="X203" s="1964">
        <f t="array" aca="1" ref="X203:X213" ca="1">'Distr CV 4'!L203:L213</f>
        <v>0</v>
      </c>
      <c r="Y203" s="1983">
        <f ca="1"/>
        <v>0</v>
      </c>
    </row>
    <row r="204" spans="1:25">
      <c r="A204" s="1971" t="str">
        <v>3 meses antes</v>
      </c>
      <c r="B204" s="1967"/>
      <c r="C204" s="1967"/>
      <c r="D204" s="1967"/>
      <c r="E204" s="1967"/>
      <c r="F204" s="1967"/>
      <c r="G204" s="1967"/>
      <c r="H204" s="1967"/>
      <c r="I204" s="1967"/>
      <c r="J204" s="1967"/>
      <c r="K204" s="592">
        <f t="array" aca="1" ref="K204:V204" ca="1">B25:M25*Produccion!$K$13</f>
        <v>0</v>
      </c>
      <c r="L204" s="592">
        <f ca="1"/>
        <v>0</v>
      </c>
      <c r="M204" s="592">
        <f ca="1"/>
        <v>0</v>
      </c>
      <c r="N204" s="592">
        <f ca="1"/>
        <v>0</v>
      </c>
      <c r="O204" s="592">
        <f ca="1"/>
        <v>0</v>
      </c>
      <c r="P204" s="592">
        <f ca="1"/>
        <v>0</v>
      </c>
      <c r="Q204" s="592">
        <f ca="1"/>
        <v>0</v>
      </c>
      <c r="R204" s="592">
        <f ca="1"/>
        <v>0</v>
      </c>
      <c r="S204" s="592">
        <f ca="1"/>
        <v>0</v>
      </c>
      <c r="T204" s="592">
        <f ca="1"/>
        <v>0</v>
      </c>
      <c r="U204" s="592">
        <f ca="1"/>
        <v>0</v>
      </c>
      <c r="V204" s="592">
        <f ca="1"/>
        <v>0</v>
      </c>
      <c r="W204" s="1964">
        <f t="array" aca="1" ref="W204:W213" ca="1">'Distr CV 4'!K204:K213</f>
        <v>0</v>
      </c>
      <c r="X204" s="1964">
        <f ca="1"/>
        <v>0</v>
      </c>
      <c r="Y204" s="1983">
        <f ca="1"/>
        <v>0</v>
      </c>
    </row>
    <row r="205" spans="1:25">
      <c r="A205" s="1971" t="str">
        <v>4 meses antes</v>
      </c>
      <c r="B205" s="1967"/>
      <c r="C205" s="1967"/>
      <c r="D205" s="1967"/>
      <c r="E205" s="1967"/>
      <c r="F205" s="1967"/>
      <c r="G205" s="1967"/>
      <c r="H205" s="1967"/>
      <c r="I205" s="1967"/>
      <c r="J205" s="592">
        <f t="array" aca="1" ref="J205:U205" ca="1">B25:M25*Produccion!$J$13</f>
        <v>0</v>
      </c>
      <c r="K205" s="592">
        <f ca="1"/>
        <v>0</v>
      </c>
      <c r="L205" s="592">
        <f ca="1"/>
        <v>0</v>
      </c>
      <c r="M205" s="592">
        <f ca="1"/>
        <v>0</v>
      </c>
      <c r="N205" s="592">
        <f ca="1"/>
        <v>0</v>
      </c>
      <c r="O205" s="592">
        <f ca="1"/>
        <v>0</v>
      </c>
      <c r="P205" s="592">
        <f ca="1"/>
        <v>0</v>
      </c>
      <c r="Q205" s="592">
        <f ca="1"/>
        <v>0</v>
      </c>
      <c r="R205" s="592">
        <f ca="1"/>
        <v>0</v>
      </c>
      <c r="S205" s="592">
        <f ca="1"/>
        <v>0</v>
      </c>
      <c r="T205" s="592">
        <f ca="1"/>
        <v>0</v>
      </c>
      <c r="U205" s="592">
        <f ca="1"/>
        <v>0</v>
      </c>
      <c r="V205" s="1964">
        <f t="array" aca="1" ref="V205:V213" ca="1">'Distr CV 4'!J205:J213</f>
        <v>0</v>
      </c>
      <c r="W205" s="1964">
        <f ca="1"/>
        <v>0</v>
      </c>
      <c r="X205" s="1964">
        <f ca="1"/>
        <v>0</v>
      </c>
      <c r="Y205" s="1983">
        <f ca="1"/>
        <v>0</v>
      </c>
    </row>
    <row r="206" spans="1:25">
      <c r="A206" s="1971" t="str">
        <v>5 meses antes</v>
      </c>
      <c r="B206" s="1967"/>
      <c r="C206" s="1967"/>
      <c r="D206" s="1967"/>
      <c r="E206" s="1967"/>
      <c r="F206" s="1967"/>
      <c r="G206" s="1967"/>
      <c r="H206" s="1967"/>
      <c r="I206" s="592">
        <f t="array" aca="1" ref="I206:T206" ca="1">B25:M25*Produccion!$I$13</f>
        <v>0</v>
      </c>
      <c r="J206" s="592">
        <f ca="1"/>
        <v>0</v>
      </c>
      <c r="K206" s="592">
        <f ca="1"/>
        <v>0</v>
      </c>
      <c r="L206" s="592">
        <f ca="1"/>
        <v>0</v>
      </c>
      <c r="M206" s="592">
        <f ca="1"/>
        <v>0</v>
      </c>
      <c r="N206" s="592">
        <f ca="1"/>
        <v>0</v>
      </c>
      <c r="O206" s="592">
        <f ca="1"/>
        <v>0</v>
      </c>
      <c r="P206" s="592">
        <f ca="1"/>
        <v>0</v>
      </c>
      <c r="Q206" s="592">
        <f ca="1"/>
        <v>0</v>
      </c>
      <c r="R206" s="592">
        <f ca="1"/>
        <v>0</v>
      </c>
      <c r="S206" s="592">
        <f ca="1"/>
        <v>0</v>
      </c>
      <c r="T206" s="592">
        <f ca="1"/>
        <v>0</v>
      </c>
      <c r="U206" s="1964">
        <f t="array" aca="1" ref="U206:U213" ca="1">'Distr CV 4'!I206:I213</f>
        <v>0</v>
      </c>
      <c r="V206" s="1964">
        <f ca="1"/>
        <v>0</v>
      </c>
      <c r="W206" s="1964">
        <f ca="1"/>
        <v>0</v>
      </c>
      <c r="X206" s="1964">
        <f ca="1"/>
        <v>0</v>
      </c>
      <c r="Y206" s="1983">
        <f ca="1"/>
        <v>0</v>
      </c>
    </row>
    <row r="207" spans="1:25">
      <c r="A207" s="1971" t="str">
        <v>6 meses antes</v>
      </c>
      <c r="B207" s="1967"/>
      <c r="C207" s="1967"/>
      <c r="D207" s="1967"/>
      <c r="E207" s="1967"/>
      <c r="F207" s="1967"/>
      <c r="G207" s="1967"/>
      <c r="H207" s="592">
        <f t="array" aca="1" ref="H207:S207" ca="1">B25:M25*Produccion!$H$13</f>
        <v>0</v>
      </c>
      <c r="I207" s="592">
        <f ca="1"/>
        <v>0</v>
      </c>
      <c r="J207" s="592">
        <f ca="1"/>
        <v>0</v>
      </c>
      <c r="K207" s="592">
        <f ca="1"/>
        <v>0</v>
      </c>
      <c r="L207" s="592">
        <f ca="1"/>
        <v>0</v>
      </c>
      <c r="M207" s="592">
        <f ca="1"/>
        <v>0</v>
      </c>
      <c r="N207" s="592">
        <f ca="1"/>
        <v>0</v>
      </c>
      <c r="O207" s="592">
        <f ca="1"/>
        <v>0</v>
      </c>
      <c r="P207" s="592">
        <f ca="1"/>
        <v>0</v>
      </c>
      <c r="Q207" s="592">
        <f ca="1"/>
        <v>0</v>
      </c>
      <c r="R207" s="592">
        <f ca="1"/>
        <v>0</v>
      </c>
      <c r="S207" s="592">
        <f ca="1"/>
        <v>0</v>
      </c>
      <c r="T207" s="1964">
        <f t="array" aca="1" ref="T207:T213" ca="1">'Distr CV 4'!H207:H213</f>
        <v>0</v>
      </c>
      <c r="U207" s="1964">
        <f ca="1"/>
        <v>0</v>
      </c>
      <c r="V207" s="1964">
        <f ca="1"/>
        <v>0</v>
      </c>
      <c r="W207" s="1964">
        <f ca="1"/>
        <v>0</v>
      </c>
      <c r="X207" s="1964">
        <f ca="1"/>
        <v>0</v>
      </c>
      <c r="Y207" s="1983">
        <f ca="1"/>
        <v>0</v>
      </c>
    </row>
    <row r="208" spans="1:25">
      <c r="A208" s="1971" t="str">
        <v>7 meses antes</v>
      </c>
      <c r="B208" s="1967"/>
      <c r="C208" s="1967"/>
      <c r="D208" s="1967"/>
      <c r="E208" s="1967"/>
      <c r="F208" s="1967"/>
      <c r="G208" s="592">
        <f t="array" aca="1" ref="G208:R208" ca="1">B25:M25*Produccion!$G$13</f>
        <v>0</v>
      </c>
      <c r="H208" s="592">
        <f ca="1"/>
        <v>0</v>
      </c>
      <c r="I208" s="592">
        <f ca="1"/>
        <v>0</v>
      </c>
      <c r="J208" s="592">
        <f ca="1"/>
        <v>0</v>
      </c>
      <c r="K208" s="592">
        <f ca="1"/>
        <v>0</v>
      </c>
      <c r="L208" s="592">
        <f ca="1"/>
        <v>0</v>
      </c>
      <c r="M208" s="592">
        <f ca="1"/>
        <v>0</v>
      </c>
      <c r="N208" s="592">
        <f ca="1"/>
        <v>0</v>
      </c>
      <c r="O208" s="592">
        <f ca="1"/>
        <v>0</v>
      </c>
      <c r="P208" s="592">
        <f ca="1"/>
        <v>0</v>
      </c>
      <c r="Q208" s="592">
        <f ca="1"/>
        <v>0</v>
      </c>
      <c r="R208" s="592">
        <f ca="1"/>
        <v>0</v>
      </c>
      <c r="S208" s="1968">
        <f t="array" aca="1" ref="S208:S213" ca="1">'Distr CV 4'!G208:G213</f>
        <v>0</v>
      </c>
      <c r="T208" s="1968">
        <f ca="1"/>
        <v>0</v>
      </c>
      <c r="U208" s="1968">
        <f ca="1"/>
        <v>0</v>
      </c>
      <c r="V208" s="1968">
        <f ca="1"/>
        <v>0</v>
      </c>
      <c r="W208" s="1968">
        <f ca="1"/>
        <v>0</v>
      </c>
      <c r="X208" s="1968">
        <f ca="1"/>
        <v>0</v>
      </c>
      <c r="Y208" s="1986">
        <f ca="1"/>
        <v>0</v>
      </c>
    </row>
    <row r="209" spans="1:25">
      <c r="A209" s="1971" t="str">
        <v>8 meses antes</v>
      </c>
      <c r="B209" s="1967"/>
      <c r="C209" s="1967"/>
      <c r="D209" s="1967"/>
      <c r="E209" s="1967"/>
      <c r="F209" s="592">
        <f t="array" aca="1" ref="F209:Q209" ca="1">B25:M25*Produccion!$F$13</f>
        <v>0</v>
      </c>
      <c r="G209" s="592">
        <f ca="1"/>
        <v>0</v>
      </c>
      <c r="H209" s="592">
        <f ca="1"/>
        <v>0</v>
      </c>
      <c r="I209" s="592">
        <f ca="1"/>
        <v>0</v>
      </c>
      <c r="J209" s="592">
        <f ca="1"/>
        <v>0</v>
      </c>
      <c r="K209" s="592">
        <f ca="1"/>
        <v>0</v>
      </c>
      <c r="L209" s="592">
        <f ca="1"/>
        <v>0</v>
      </c>
      <c r="M209" s="592">
        <f ca="1"/>
        <v>0</v>
      </c>
      <c r="N209" s="592">
        <f ca="1"/>
        <v>0</v>
      </c>
      <c r="O209" s="592">
        <f ca="1"/>
        <v>0</v>
      </c>
      <c r="P209" s="592">
        <f ca="1"/>
        <v>0</v>
      </c>
      <c r="Q209" s="592">
        <f ca="1"/>
        <v>0</v>
      </c>
      <c r="R209" s="1968">
        <f t="array" aca="1" ref="R209:R213" ca="1">'Distr CV 4'!F209:F213</f>
        <v>0</v>
      </c>
      <c r="S209" s="1968">
        <f ca="1"/>
        <v>0</v>
      </c>
      <c r="T209" s="1968">
        <f ca="1"/>
        <v>0</v>
      </c>
      <c r="U209" s="1968">
        <f ca="1"/>
        <v>0</v>
      </c>
      <c r="V209" s="1968">
        <f ca="1"/>
        <v>0</v>
      </c>
      <c r="W209" s="1968">
        <f ca="1"/>
        <v>0</v>
      </c>
      <c r="X209" s="1968">
        <f ca="1"/>
        <v>0</v>
      </c>
      <c r="Y209" s="1986">
        <f ca="1"/>
        <v>0</v>
      </c>
    </row>
    <row r="210" spans="1:25">
      <c r="A210" s="1971" t="str">
        <v>9 meses antes</v>
      </c>
      <c r="B210" s="1967"/>
      <c r="C210" s="1967"/>
      <c r="D210" s="1967"/>
      <c r="E210" s="592">
        <f t="array" aca="1" ref="E210:P210" ca="1">B25:M25*Produccion!$E$13</f>
        <v>0</v>
      </c>
      <c r="F210" s="592">
        <f ca="1"/>
        <v>0</v>
      </c>
      <c r="G210" s="592">
        <f ca="1"/>
        <v>0</v>
      </c>
      <c r="H210" s="592">
        <f ca="1"/>
        <v>0</v>
      </c>
      <c r="I210" s="592">
        <f ca="1"/>
        <v>0</v>
      </c>
      <c r="J210" s="592">
        <f ca="1"/>
        <v>0</v>
      </c>
      <c r="K210" s="592">
        <f ca="1"/>
        <v>0</v>
      </c>
      <c r="L210" s="592">
        <f ca="1"/>
        <v>0</v>
      </c>
      <c r="M210" s="592">
        <f ca="1"/>
        <v>0</v>
      </c>
      <c r="N210" s="592">
        <f ca="1"/>
        <v>0</v>
      </c>
      <c r="O210" s="592">
        <f ca="1"/>
        <v>0</v>
      </c>
      <c r="P210" s="592">
        <f ca="1"/>
        <v>0</v>
      </c>
      <c r="Q210" s="1968">
        <f t="array" aca="1" ref="Q210:Q213" ca="1">'Distr CV 4'!E210:E213</f>
        <v>0</v>
      </c>
      <c r="R210" s="1968">
        <f ca="1"/>
        <v>0</v>
      </c>
      <c r="S210" s="1968">
        <f ca="1"/>
        <v>0</v>
      </c>
      <c r="T210" s="1968">
        <f ca="1"/>
        <v>0</v>
      </c>
      <c r="U210" s="1968">
        <f ca="1"/>
        <v>0</v>
      </c>
      <c r="V210" s="1968">
        <f ca="1"/>
        <v>0</v>
      </c>
      <c r="W210" s="1968">
        <f ca="1"/>
        <v>0</v>
      </c>
      <c r="X210" s="1968">
        <f ca="1"/>
        <v>0</v>
      </c>
      <c r="Y210" s="1986">
        <f ca="1"/>
        <v>0</v>
      </c>
    </row>
    <row r="211" spans="1:25">
      <c r="A211" s="1971" t="str">
        <v>10 meses antes</v>
      </c>
      <c r="B211" s="1967"/>
      <c r="C211" s="1967"/>
      <c r="D211" s="592">
        <f t="array" aca="1" ref="D211:O211" ca="1">B25:M25*Produccion!$D$13</f>
        <v>0</v>
      </c>
      <c r="E211" s="592">
        <f ca="1"/>
        <v>0</v>
      </c>
      <c r="F211" s="592">
        <f ca="1"/>
        <v>0</v>
      </c>
      <c r="G211" s="592">
        <f ca="1"/>
        <v>0</v>
      </c>
      <c r="H211" s="592">
        <f ca="1"/>
        <v>0</v>
      </c>
      <c r="I211" s="592">
        <f ca="1"/>
        <v>0</v>
      </c>
      <c r="J211" s="592">
        <f ca="1"/>
        <v>0</v>
      </c>
      <c r="K211" s="592">
        <f ca="1"/>
        <v>0</v>
      </c>
      <c r="L211" s="592">
        <f ca="1"/>
        <v>0</v>
      </c>
      <c r="M211" s="592">
        <f ca="1"/>
        <v>0</v>
      </c>
      <c r="N211" s="592">
        <f ca="1"/>
        <v>0</v>
      </c>
      <c r="O211" s="592">
        <f ca="1"/>
        <v>0</v>
      </c>
      <c r="P211" s="1968">
        <f t="array" aca="1" ref="P211:P213" ca="1">'Distr CV 4'!D211:D213</f>
        <v>0</v>
      </c>
      <c r="Q211" s="1968">
        <f ca="1"/>
        <v>0</v>
      </c>
      <c r="R211" s="1968">
        <f ca="1"/>
        <v>0</v>
      </c>
      <c r="S211" s="1968">
        <f ca="1"/>
        <v>0</v>
      </c>
      <c r="T211" s="1968">
        <f ca="1"/>
        <v>0</v>
      </c>
      <c r="U211" s="1968">
        <f ca="1"/>
        <v>0</v>
      </c>
      <c r="V211" s="1968">
        <f ca="1"/>
        <v>0</v>
      </c>
      <c r="W211" s="1968">
        <f ca="1"/>
        <v>0</v>
      </c>
      <c r="X211" s="1968">
        <f ca="1"/>
        <v>0</v>
      </c>
      <c r="Y211" s="1986">
        <f ca="1"/>
        <v>0</v>
      </c>
    </row>
    <row r="212" spans="1:25">
      <c r="A212" s="1971" t="str">
        <v>11 meses antes</v>
      </c>
      <c r="B212" s="1967"/>
      <c r="C212" s="592">
        <f t="array" aca="1" ref="C212:N212" ca="1">B25:M25*Produccion!$C$13</f>
        <v>0</v>
      </c>
      <c r="D212" s="592">
        <f ca="1"/>
        <v>0</v>
      </c>
      <c r="E212" s="592">
        <f ca="1"/>
        <v>0</v>
      </c>
      <c r="F212" s="592">
        <f ca="1"/>
        <v>0</v>
      </c>
      <c r="G212" s="592">
        <f ca="1"/>
        <v>0</v>
      </c>
      <c r="H212" s="592">
        <f ca="1"/>
        <v>0</v>
      </c>
      <c r="I212" s="592">
        <f ca="1"/>
        <v>0</v>
      </c>
      <c r="J212" s="592">
        <f ca="1"/>
        <v>0</v>
      </c>
      <c r="K212" s="592">
        <f ca="1"/>
        <v>0</v>
      </c>
      <c r="L212" s="592">
        <f ca="1"/>
        <v>0</v>
      </c>
      <c r="M212" s="592">
        <f ca="1"/>
        <v>0</v>
      </c>
      <c r="N212" s="592">
        <f ca="1"/>
        <v>0</v>
      </c>
      <c r="O212" s="1968">
        <f ca="1">'Distr CV 4'!C212</f>
        <v>0</v>
      </c>
      <c r="P212" s="1968">
        <f ca="1"/>
        <v>0</v>
      </c>
      <c r="Q212" s="1968">
        <f ca="1"/>
        <v>0</v>
      </c>
      <c r="R212" s="1968">
        <f ca="1"/>
        <v>0</v>
      </c>
      <c r="S212" s="1968">
        <f ca="1"/>
        <v>0</v>
      </c>
      <c r="T212" s="1968">
        <f ca="1"/>
        <v>0</v>
      </c>
      <c r="U212" s="1968">
        <f ca="1"/>
        <v>0</v>
      </c>
      <c r="V212" s="1968">
        <f ca="1"/>
        <v>0</v>
      </c>
      <c r="W212" s="1968">
        <f ca="1"/>
        <v>0</v>
      </c>
      <c r="X212" s="1968">
        <f ca="1"/>
        <v>0</v>
      </c>
      <c r="Y212" s="1986">
        <f ca="1"/>
        <v>0</v>
      </c>
    </row>
    <row r="213" spans="1:25" ht="13.5" thickBot="1">
      <c r="A213" s="1971" t="str">
        <v>12 meses antes</v>
      </c>
      <c r="B213" s="592">
        <f t="array" aca="1" ref="B213:M213" ca="1">B25:M25*Produccion!$B$13</f>
        <v>0</v>
      </c>
      <c r="C213" s="592">
        <f ca="1"/>
        <v>0</v>
      </c>
      <c r="D213" s="592">
        <f ca="1"/>
        <v>0</v>
      </c>
      <c r="E213" s="592">
        <f ca="1"/>
        <v>0</v>
      </c>
      <c r="F213" s="592">
        <f ca="1"/>
        <v>0</v>
      </c>
      <c r="G213" s="592">
        <f ca="1"/>
        <v>0</v>
      </c>
      <c r="H213" s="592">
        <f ca="1"/>
        <v>0</v>
      </c>
      <c r="I213" s="592">
        <f ca="1"/>
        <v>0</v>
      </c>
      <c r="J213" s="592">
        <f ca="1"/>
        <v>0</v>
      </c>
      <c r="K213" s="592">
        <f ca="1"/>
        <v>0</v>
      </c>
      <c r="L213" s="592">
        <f ca="1"/>
        <v>0</v>
      </c>
      <c r="M213" s="592">
        <f ca="1"/>
        <v>0</v>
      </c>
      <c r="N213" s="1967">
        <f ca="1">'Distr CV 4'!B213</f>
        <v>0</v>
      </c>
      <c r="O213" s="1968">
        <f ca="1">'Distr CV 4'!C213</f>
        <v>0</v>
      </c>
      <c r="P213" s="1968">
        <f ca="1"/>
        <v>0</v>
      </c>
      <c r="Q213" s="1968">
        <f ca="1"/>
        <v>0</v>
      </c>
      <c r="R213" s="1968">
        <f ca="1"/>
        <v>0</v>
      </c>
      <c r="S213" s="1968">
        <f ca="1"/>
        <v>0</v>
      </c>
      <c r="T213" s="1968">
        <f ca="1"/>
        <v>0</v>
      </c>
      <c r="U213" s="1968">
        <f ca="1"/>
        <v>0</v>
      </c>
      <c r="V213" s="1968">
        <f ca="1"/>
        <v>0</v>
      </c>
      <c r="W213" s="1968">
        <f ca="1"/>
        <v>0</v>
      </c>
      <c r="X213" s="1968">
        <f ca="1"/>
        <v>0</v>
      </c>
      <c r="Y213" s="1986">
        <f ca="1"/>
        <v>0</v>
      </c>
    </row>
    <row r="214" spans="1:25" ht="13.5" thickBot="1">
      <c r="A214" s="103" t="str">
        <f>"Totales CV "&amp;A$13</f>
        <v xml:space="preserve">Totales CV </v>
      </c>
      <c r="B214" s="596">
        <f t="shared" ref="B214:Y214" ca="1" si="15">SUM(B201:B213)</f>
        <v>0</v>
      </c>
      <c r="C214" s="596">
        <f t="shared" ca="1" si="15"/>
        <v>0</v>
      </c>
      <c r="D214" s="596">
        <f t="shared" ca="1" si="15"/>
        <v>0</v>
      </c>
      <c r="E214" s="596">
        <f t="shared" ca="1" si="15"/>
        <v>0</v>
      </c>
      <c r="F214" s="596">
        <f t="shared" ca="1" si="15"/>
        <v>0</v>
      </c>
      <c r="G214" s="596">
        <f t="shared" ca="1" si="15"/>
        <v>0</v>
      </c>
      <c r="H214" s="596">
        <f t="shared" ca="1" si="15"/>
        <v>0</v>
      </c>
      <c r="I214" s="596">
        <f t="shared" ca="1" si="15"/>
        <v>0</v>
      </c>
      <c r="J214" s="596">
        <f t="shared" ca="1" si="15"/>
        <v>0</v>
      </c>
      <c r="K214" s="596">
        <f t="shared" ca="1" si="15"/>
        <v>0</v>
      </c>
      <c r="L214" s="596">
        <f t="shared" ca="1" si="15"/>
        <v>0</v>
      </c>
      <c r="M214" s="596">
        <f t="shared" ca="1" si="15"/>
        <v>0</v>
      </c>
      <c r="N214" s="596">
        <f t="shared" ca="1" si="15"/>
        <v>0</v>
      </c>
      <c r="O214" s="596">
        <f t="shared" ca="1" si="15"/>
        <v>0</v>
      </c>
      <c r="P214" s="596">
        <f t="shared" ca="1" si="15"/>
        <v>0</v>
      </c>
      <c r="Q214" s="596">
        <f t="shared" ca="1" si="15"/>
        <v>0</v>
      </c>
      <c r="R214" s="596">
        <f t="shared" ca="1" si="15"/>
        <v>0</v>
      </c>
      <c r="S214" s="596">
        <f t="shared" ca="1" si="15"/>
        <v>0</v>
      </c>
      <c r="T214" s="596">
        <f t="shared" ca="1" si="15"/>
        <v>0</v>
      </c>
      <c r="U214" s="596">
        <f t="shared" ca="1" si="15"/>
        <v>0</v>
      </c>
      <c r="V214" s="596">
        <f t="shared" ca="1" si="15"/>
        <v>0</v>
      </c>
      <c r="W214" s="596">
        <f t="shared" ca="1" si="15"/>
        <v>0</v>
      </c>
      <c r="X214" s="596">
        <f t="shared" ca="1" si="15"/>
        <v>0</v>
      </c>
      <c r="Y214" s="1984">
        <f t="shared" ca="1" si="15"/>
        <v>0</v>
      </c>
    </row>
    <row r="215" spans="1:25" ht="13.5" thickBot="1">
      <c r="A215" s="103" t="str">
        <f>'Datos Básicos'!A28&amp;" sop. CV "&amp;$A$13</f>
        <v xml:space="preserve">IVA sop. CV </v>
      </c>
      <c r="B215" s="596">
        <f t="array" aca="1" ref="B215:Y215" ca="1">$K$199*B214:Y214</f>
        <v>0</v>
      </c>
      <c r="C215" s="596">
        <f ca="1"/>
        <v>0</v>
      </c>
      <c r="D215" s="596">
        <f ca="1"/>
        <v>0</v>
      </c>
      <c r="E215" s="596">
        <f ca="1"/>
        <v>0</v>
      </c>
      <c r="F215" s="596">
        <f ca="1"/>
        <v>0</v>
      </c>
      <c r="G215" s="596">
        <f ca="1"/>
        <v>0</v>
      </c>
      <c r="H215" s="596">
        <f ca="1"/>
        <v>0</v>
      </c>
      <c r="I215" s="596">
        <f ca="1"/>
        <v>0</v>
      </c>
      <c r="J215" s="596">
        <f ca="1"/>
        <v>0</v>
      </c>
      <c r="K215" s="596">
        <f ca="1"/>
        <v>0</v>
      </c>
      <c r="L215" s="596">
        <f ca="1"/>
        <v>0</v>
      </c>
      <c r="M215" s="596">
        <f ca="1"/>
        <v>0</v>
      </c>
      <c r="N215" s="596">
        <f ca="1"/>
        <v>0</v>
      </c>
      <c r="O215" s="596">
        <f ca="1"/>
        <v>0</v>
      </c>
      <c r="P215" s="596">
        <f ca="1"/>
        <v>0</v>
      </c>
      <c r="Q215" s="596">
        <f ca="1"/>
        <v>0</v>
      </c>
      <c r="R215" s="596">
        <f ca="1"/>
        <v>0</v>
      </c>
      <c r="S215" s="596">
        <f ca="1"/>
        <v>0</v>
      </c>
      <c r="T215" s="596">
        <f ca="1"/>
        <v>0</v>
      </c>
      <c r="U215" s="596">
        <f ca="1"/>
        <v>0</v>
      </c>
      <c r="V215" s="596">
        <f ca="1"/>
        <v>0</v>
      </c>
      <c r="W215" s="596">
        <f ca="1"/>
        <v>0</v>
      </c>
      <c r="X215" s="596">
        <f ca="1"/>
        <v>0</v>
      </c>
      <c r="Y215" s="1984">
        <f ca="1"/>
        <v>0</v>
      </c>
    </row>
    <row r="217" spans="1:25" ht="18.75" thickBot="1">
      <c r="A217" s="1969" t="str">
        <f>'Distr CV 0'!A217</f>
        <v xml:space="preserve">Compras / costes de producción por meses de </v>
      </c>
      <c r="I217" s="1969" t="str">
        <f>I$18</f>
        <v>IVA NO incluido</v>
      </c>
      <c r="K217" s="1981">
        <f>Parametros!$F$30</f>
        <v>0.21</v>
      </c>
    </row>
    <row r="218" spans="1:25" ht="33" customHeight="1" thickBot="1">
      <c r="A218" s="446" t="str">
        <f>A$110</f>
        <v>mes de compra / coste</v>
      </c>
      <c r="B218" s="1987" t="str">
        <f t="array" ref="B218:Y218">B$71:Y$71</f>
        <v>enero 
2028</v>
      </c>
      <c r="C218" s="1987" t="str">
        <v>febrero 
2028</v>
      </c>
      <c r="D218" s="1987" t="str">
        <v>marzo 
2028</v>
      </c>
      <c r="E218" s="1987" t="str">
        <v>abril 
2028</v>
      </c>
      <c r="F218" s="1987" t="str">
        <v>mayo 
2028</v>
      </c>
      <c r="G218" s="1987" t="str">
        <v>junio 
2028</v>
      </c>
      <c r="H218" s="1987" t="str">
        <v>julio 
2028</v>
      </c>
      <c r="I218" s="1987" t="str">
        <v>agosto 
2028</v>
      </c>
      <c r="J218" s="1987" t="str">
        <v>septiembre 
2028</v>
      </c>
      <c r="K218" s="1987" t="str">
        <v>octubre 
2028</v>
      </c>
      <c r="L218" s="1987" t="str">
        <v>noviembre 
2028</v>
      </c>
      <c r="M218" s="1987" t="str">
        <v>diciembre 
2028</v>
      </c>
      <c r="N218" s="2703" t="str">
        <v>enero 
2029</v>
      </c>
      <c r="O218" s="2704" t="str">
        <v>febrero 
2029</v>
      </c>
      <c r="P218" s="2704" t="str">
        <v>marzo 
2029</v>
      </c>
      <c r="Q218" s="2704" t="str">
        <v>abril 
2029</v>
      </c>
      <c r="R218" s="2704" t="str">
        <v>mayo 
2029</v>
      </c>
      <c r="S218" s="2704" t="str">
        <v>junio 
2029</v>
      </c>
      <c r="T218" s="2704" t="str">
        <v>julio 
2029</v>
      </c>
      <c r="U218" s="2704" t="str">
        <v>agosto 
2029</v>
      </c>
      <c r="V218" s="2704" t="str">
        <v>septiembre 
2029</v>
      </c>
      <c r="W218" s="2704" t="str">
        <v>octubre 
2029</v>
      </c>
      <c r="X218" s="2704" t="str">
        <v>noviembre 
2029</v>
      </c>
      <c r="Y218" s="2705" t="str">
        <v>diciembre 
2029</v>
      </c>
    </row>
    <row r="219" spans="1:25">
      <c r="A219" s="1970" t="str">
        <f t="array" ref="A219:A231">A$72:A$84</f>
        <v>mismo mes</v>
      </c>
      <c r="B219" s="1967"/>
      <c r="C219" s="1967"/>
      <c r="D219" s="1967"/>
      <c r="E219" s="1967"/>
      <c r="F219" s="1967"/>
      <c r="G219" s="1967"/>
      <c r="H219" s="1967"/>
      <c r="I219" s="1967"/>
      <c r="J219" s="1967"/>
      <c r="K219" s="1967"/>
      <c r="L219" s="1967"/>
      <c r="M219" s="1967"/>
      <c r="N219" s="592">
        <f t="array" aca="1" ref="N219:Y219" ca="1">B26:M26*Produccion!$N$14</f>
        <v>0</v>
      </c>
      <c r="O219" s="592">
        <f ca="1"/>
        <v>0</v>
      </c>
      <c r="P219" s="592">
        <f ca="1"/>
        <v>0</v>
      </c>
      <c r="Q219" s="592">
        <f ca="1"/>
        <v>0</v>
      </c>
      <c r="R219" s="592">
        <f ca="1"/>
        <v>0</v>
      </c>
      <c r="S219" s="592">
        <f ca="1"/>
        <v>0</v>
      </c>
      <c r="T219" s="592">
        <f ca="1"/>
        <v>0</v>
      </c>
      <c r="U219" s="592">
        <f ca="1"/>
        <v>0</v>
      </c>
      <c r="V219" s="592">
        <f ca="1"/>
        <v>0</v>
      </c>
      <c r="W219" s="592">
        <f ca="1"/>
        <v>0</v>
      </c>
      <c r="X219" s="592">
        <f ca="1"/>
        <v>0</v>
      </c>
      <c r="Y219" s="1982">
        <f ca="1"/>
        <v>0</v>
      </c>
    </row>
    <row r="220" spans="1:25">
      <c r="A220" s="1971" t="str">
        <v>1 mes antes</v>
      </c>
      <c r="B220" s="1967"/>
      <c r="C220" s="1967"/>
      <c r="D220" s="1967"/>
      <c r="E220" s="1967"/>
      <c r="F220" s="1967"/>
      <c r="G220" s="1967"/>
      <c r="H220" s="1967"/>
      <c r="I220" s="1967"/>
      <c r="J220" s="1967"/>
      <c r="K220" s="1967"/>
      <c r="L220" s="1967"/>
      <c r="M220" s="592">
        <f t="array" aca="1" ref="M220:X220" ca="1">B26:M26*Produccion!$M$14</f>
        <v>0</v>
      </c>
      <c r="N220" s="592">
        <f ca="1"/>
        <v>0</v>
      </c>
      <c r="O220" s="592">
        <f ca="1"/>
        <v>0</v>
      </c>
      <c r="P220" s="592">
        <f ca="1"/>
        <v>0</v>
      </c>
      <c r="Q220" s="592">
        <f ca="1"/>
        <v>0</v>
      </c>
      <c r="R220" s="592">
        <f ca="1"/>
        <v>0</v>
      </c>
      <c r="S220" s="592">
        <f ca="1"/>
        <v>0</v>
      </c>
      <c r="T220" s="592">
        <f ca="1"/>
        <v>0</v>
      </c>
      <c r="U220" s="592">
        <f ca="1"/>
        <v>0</v>
      </c>
      <c r="V220" s="592">
        <f ca="1"/>
        <v>0</v>
      </c>
      <c r="W220" s="592">
        <f ca="1"/>
        <v>0</v>
      </c>
      <c r="X220" s="592">
        <f ca="1"/>
        <v>0</v>
      </c>
      <c r="Y220" s="1983">
        <f t="array" aca="1" ref="Y220:Y231" ca="1">'Distr CV 4'!M220:M231</f>
        <v>0</v>
      </c>
    </row>
    <row r="221" spans="1:25">
      <c r="A221" s="1971" t="str">
        <v>2 meses antes</v>
      </c>
      <c r="B221" s="1967"/>
      <c r="C221" s="1967"/>
      <c r="D221" s="1967"/>
      <c r="E221" s="1967"/>
      <c r="F221" s="1967"/>
      <c r="G221" s="1967"/>
      <c r="H221" s="1967"/>
      <c r="I221" s="1967"/>
      <c r="J221" s="1967"/>
      <c r="K221" s="1967"/>
      <c r="L221" s="592">
        <f t="array" aca="1" ref="L221:W221" ca="1">B26:M26*Produccion!$L$14</f>
        <v>0</v>
      </c>
      <c r="M221" s="592">
        <f ca="1"/>
        <v>0</v>
      </c>
      <c r="N221" s="592">
        <f ca="1"/>
        <v>0</v>
      </c>
      <c r="O221" s="592">
        <f ca="1"/>
        <v>0</v>
      </c>
      <c r="P221" s="592">
        <f ca="1"/>
        <v>0</v>
      </c>
      <c r="Q221" s="592">
        <f ca="1"/>
        <v>0</v>
      </c>
      <c r="R221" s="592">
        <f ca="1"/>
        <v>0</v>
      </c>
      <c r="S221" s="592">
        <f ca="1"/>
        <v>0</v>
      </c>
      <c r="T221" s="592">
        <f ca="1"/>
        <v>0</v>
      </c>
      <c r="U221" s="592">
        <f ca="1"/>
        <v>0</v>
      </c>
      <c r="V221" s="592">
        <f ca="1"/>
        <v>0</v>
      </c>
      <c r="W221" s="592">
        <f ca="1"/>
        <v>0</v>
      </c>
      <c r="X221" s="1964">
        <f t="array" aca="1" ref="X221:X231" ca="1">'Distr CV 4'!L221:L231</f>
        <v>0</v>
      </c>
      <c r="Y221" s="1983">
        <f ca="1"/>
        <v>0</v>
      </c>
    </row>
    <row r="222" spans="1:25">
      <c r="A222" s="1971" t="str">
        <v>3 meses antes</v>
      </c>
      <c r="B222" s="1967"/>
      <c r="C222" s="1967"/>
      <c r="D222" s="1967"/>
      <c r="E222" s="1967"/>
      <c r="F222" s="1967"/>
      <c r="G222" s="1967"/>
      <c r="H222" s="1967"/>
      <c r="I222" s="1967"/>
      <c r="J222" s="1967"/>
      <c r="K222" s="592">
        <f t="array" aca="1" ref="K222:V222" ca="1">B26:M26*Produccion!$K$14</f>
        <v>0</v>
      </c>
      <c r="L222" s="592">
        <f ca="1"/>
        <v>0</v>
      </c>
      <c r="M222" s="592">
        <f ca="1"/>
        <v>0</v>
      </c>
      <c r="N222" s="592">
        <f ca="1"/>
        <v>0</v>
      </c>
      <c r="O222" s="592">
        <f ca="1"/>
        <v>0</v>
      </c>
      <c r="P222" s="592">
        <f ca="1"/>
        <v>0</v>
      </c>
      <c r="Q222" s="592">
        <f ca="1"/>
        <v>0</v>
      </c>
      <c r="R222" s="592">
        <f ca="1"/>
        <v>0</v>
      </c>
      <c r="S222" s="592">
        <f ca="1"/>
        <v>0</v>
      </c>
      <c r="T222" s="592">
        <f ca="1"/>
        <v>0</v>
      </c>
      <c r="U222" s="592">
        <f ca="1"/>
        <v>0</v>
      </c>
      <c r="V222" s="592">
        <f ca="1"/>
        <v>0</v>
      </c>
      <c r="W222" s="1964">
        <f t="array" aca="1" ref="W222:W231" ca="1">'Distr CV 4'!K222:K231</f>
        <v>0</v>
      </c>
      <c r="X222" s="1964">
        <f ca="1"/>
        <v>0</v>
      </c>
      <c r="Y222" s="1983">
        <f ca="1"/>
        <v>0</v>
      </c>
    </row>
    <row r="223" spans="1:25">
      <c r="A223" s="1971" t="str">
        <v>4 meses antes</v>
      </c>
      <c r="B223" s="1967"/>
      <c r="C223" s="1967"/>
      <c r="D223" s="1967"/>
      <c r="E223" s="1967"/>
      <c r="F223" s="1967"/>
      <c r="G223" s="1967"/>
      <c r="H223" s="1967"/>
      <c r="I223" s="1967"/>
      <c r="J223" s="592">
        <f t="array" aca="1" ref="J223:U223" ca="1">B26:M26*Produccion!$J$14</f>
        <v>0</v>
      </c>
      <c r="K223" s="592">
        <f ca="1"/>
        <v>0</v>
      </c>
      <c r="L223" s="592">
        <f ca="1"/>
        <v>0</v>
      </c>
      <c r="M223" s="592">
        <f ca="1"/>
        <v>0</v>
      </c>
      <c r="N223" s="592">
        <f ca="1"/>
        <v>0</v>
      </c>
      <c r="O223" s="592">
        <f ca="1"/>
        <v>0</v>
      </c>
      <c r="P223" s="592">
        <f ca="1"/>
        <v>0</v>
      </c>
      <c r="Q223" s="592">
        <f ca="1"/>
        <v>0</v>
      </c>
      <c r="R223" s="592">
        <f ca="1"/>
        <v>0</v>
      </c>
      <c r="S223" s="592">
        <f ca="1"/>
        <v>0</v>
      </c>
      <c r="T223" s="592">
        <f ca="1"/>
        <v>0</v>
      </c>
      <c r="U223" s="592">
        <f ca="1"/>
        <v>0</v>
      </c>
      <c r="V223" s="1964">
        <f t="array" aca="1" ref="V223:V231" ca="1">'Distr CV 4'!J223:J231</f>
        <v>0</v>
      </c>
      <c r="W223" s="1964">
        <f ca="1"/>
        <v>0</v>
      </c>
      <c r="X223" s="1964">
        <f ca="1"/>
        <v>0</v>
      </c>
      <c r="Y223" s="1983">
        <f ca="1"/>
        <v>0</v>
      </c>
    </row>
    <row r="224" spans="1:25">
      <c r="A224" s="1971" t="str">
        <v>5 meses antes</v>
      </c>
      <c r="B224" s="1967"/>
      <c r="C224" s="1967"/>
      <c r="D224" s="1967"/>
      <c r="E224" s="1967"/>
      <c r="F224" s="1967"/>
      <c r="G224" s="1967"/>
      <c r="H224" s="1967"/>
      <c r="I224" s="592">
        <f t="array" aca="1" ref="I224:T224" ca="1">B26:M26*Produccion!$I$14</f>
        <v>0</v>
      </c>
      <c r="J224" s="592">
        <f ca="1"/>
        <v>0</v>
      </c>
      <c r="K224" s="592">
        <f ca="1"/>
        <v>0</v>
      </c>
      <c r="L224" s="592">
        <f ca="1"/>
        <v>0</v>
      </c>
      <c r="M224" s="592">
        <f ca="1"/>
        <v>0</v>
      </c>
      <c r="N224" s="592">
        <f ca="1"/>
        <v>0</v>
      </c>
      <c r="O224" s="592">
        <f ca="1"/>
        <v>0</v>
      </c>
      <c r="P224" s="592">
        <f ca="1"/>
        <v>0</v>
      </c>
      <c r="Q224" s="592">
        <f ca="1"/>
        <v>0</v>
      </c>
      <c r="R224" s="592">
        <f ca="1"/>
        <v>0</v>
      </c>
      <c r="S224" s="592">
        <f ca="1"/>
        <v>0</v>
      </c>
      <c r="T224" s="592">
        <f ca="1"/>
        <v>0</v>
      </c>
      <c r="U224" s="1964">
        <f t="array" aca="1" ref="U224:U231" ca="1">'Distr CV 4'!I224:I231</f>
        <v>0</v>
      </c>
      <c r="V224" s="1964">
        <f ca="1"/>
        <v>0</v>
      </c>
      <c r="W224" s="1964">
        <f ca="1"/>
        <v>0</v>
      </c>
      <c r="X224" s="1964">
        <f ca="1"/>
        <v>0</v>
      </c>
      <c r="Y224" s="1983">
        <f ca="1"/>
        <v>0</v>
      </c>
    </row>
    <row r="225" spans="1:25">
      <c r="A225" s="1971" t="str">
        <v>6 meses antes</v>
      </c>
      <c r="B225" s="1967"/>
      <c r="C225" s="1967"/>
      <c r="D225" s="1967"/>
      <c r="E225" s="1967"/>
      <c r="F225" s="1967"/>
      <c r="G225" s="1967"/>
      <c r="H225" s="592">
        <f t="array" aca="1" ref="H225:S225" ca="1">B26:M26*Produccion!$H$14</f>
        <v>0</v>
      </c>
      <c r="I225" s="592">
        <f ca="1"/>
        <v>0</v>
      </c>
      <c r="J225" s="592">
        <f ca="1"/>
        <v>0</v>
      </c>
      <c r="K225" s="592">
        <f ca="1"/>
        <v>0</v>
      </c>
      <c r="L225" s="592">
        <f ca="1"/>
        <v>0</v>
      </c>
      <c r="M225" s="592">
        <f ca="1"/>
        <v>0</v>
      </c>
      <c r="N225" s="592">
        <f ca="1"/>
        <v>0</v>
      </c>
      <c r="O225" s="592">
        <f ca="1"/>
        <v>0</v>
      </c>
      <c r="P225" s="592">
        <f ca="1"/>
        <v>0</v>
      </c>
      <c r="Q225" s="592">
        <f ca="1"/>
        <v>0</v>
      </c>
      <c r="R225" s="592">
        <f ca="1"/>
        <v>0</v>
      </c>
      <c r="S225" s="592">
        <f ca="1"/>
        <v>0</v>
      </c>
      <c r="T225" s="1964">
        <f t="array" aca="1" ref="T225:T231" ca="1">'Distr CV 4'!H225:H231</f>
        <v>0</v>
      </c>
      <c r="U225" s="1964">
        <f ca="1"/>
        <v>0</v>
      </c>
      <c r="V225" s="1964">
        <f ca="1"/>
        <v>0</v>
      </c>
      <c r="W225" s="1964">
        <f ca="1"/>
        <v>0</v>
      </c>
      <c r="X225" s="1964">
        <f ca="1"/>
        <v>0</v>
      </c>
      <c r="Y225" s="1983">
        <f ca="1"/>
        <v>0</v>
      </c>
    </row>
    <row r="226" spans="1:25">
      <c r="A226" s="1971" t="str">
        <v>7 meses antes</v>
      </c>
      <c r="B226" s="1967"/>
      <c r="C226" s="1967"/>
      <c r="D226" s="1967"/>
      <c r="E226" s="1967"/>
      <c r="F226" s="1967"/>
      <c r="G226" s="592">
        <f t="array" aca="1" ref="G226:R226" ca="1">B26:M26*Produccion!$G$14</f>
        <v>0</v>
      </c>
      <c r="H226" s="592">
        <f ca="1"/>
        <v>0</v>
      </c>
      <c r="I226" s="592">
        <f ca="1"/>
        <v>0</v>
      </c>
      <c r="J226" s="592">
        <f ca="1"/>
        <v>0</v>
      </c>
      <c r="K226" s="592">
        <f ca="1"/>
        <v>0</v>
      </c>
      <c r="L226" s="592">
        <f ca="1"/>
        <v>0</v>
      </c>
      <c r="M226" s="592">
        <f ca="1"/>
        <v>0</v>
      </c>
      <c r="N226" s="592">
        <f ca="1"/>
        <v>0</v>
      </c>
      <c r="O226" s="592">
        <f ca="1"/>
        <v>0</v>
      </c>
      <c r="P226" s="592">
        <f ca="1"/>
        <v>0</v>
      </c>
      <c r="Q226" s="592">
        <f ca="1"/>
        <v>0</v>
      </c>
      <c r="R226" s="592">
        <f ca="1"/>
        <v>0</v>
      </c>
      <c r="S226" s="1968">
        <f t="array" aca="1" ref="S226:S231" ca="1">'Distr CV 4'!G226:G231</f>
        <v>0</v>
      </c>
      <c r="T226" s="1968">
        <f ca="1"/>
        <v>0</v>
      </c>
      <c r="U226" s="1968">
        <f ca="1"/>
        <v>0</v>
      </c>
      <c r="V226" s="1968">
        <f ca="1"/>
        <v>0</v>
      </c>
      <c r="W226" s="1968">
        <f ca="1"/>
        <v>0</v>
      </c>
      <c r="X226" s="1968">
        <f ca="1"/>
        <v>0</v>
      </c>
      <c r="Y226" s="1986">
        <f ca="1"/>
        <v>0</v>
      </c>
    </row>
    <row r="227" spans="1:25">
      <c r="A227" s="1971" t="str">
        <v>8 meses antes</v>
      </c>
      <c r="B227" s="1967"/>
      <c r="C227" s="1967"/>
      <c r="D227" s="1967"/>
      <c r="E227" s="1967"/>
      <c r="F227" s="592">
        <f t="array" aca="1" ref="F227:Q227" ca="1">B26:M26*Produccion!$F$14</f>
        <v>0</v>
      </c>
      <c r="G227" s="592">
        <f ca="1"/>
        <v>0</v>
      </c>
      <c r="H227" s="592">
        <f ca="1"/>
        <v>0</v>
      </c>
      <c r="I227" s="592">
        <f ca="1"/>
        <v>0</v>
      </c>
      <c r="J227" s="592">
        <f ca="1"/>
        <v>0</v>
      </c>
      <c r="K227" s="592">
        <f ca="1"/>
        <v>0</v>
      </c>
      <c r="L227" s="592">
        <f ca="1"/>
        <v>0</v>
      </c>
      <c r="M227" s="592">
        <f ca="1"/>
        <v>0</v>
      </c>
      <c r="N227" s="592">
        <f ca="1"/>
        <v>0</v>
      </c>
      <c r="O227" s="592">
        <f ca="1"/>
        <v>0</v>
      </c>
      <c r="P227" s="592">
        <f ca="1"/>
        <v>0</v>
      </c>
      <c r="Q227" s="592">
        <f ca="1"/>
        <v>0</v>
      </c>
      <c r="R227" s="1968">
        <f t="array" aca="1" ref="R227:R231" ca="1">'Distr CV 4'!F227:F231</f>
        <v>0</v>
      </c>
      <c r="S227" s="1968">
        <f ca="1"/>
        <v>0</v>
      </c>
      <c r="T227" s="1968">
        <f ca="1"/>
        <v>0</v>
      </c>
      <c r="U227" s="1968">
        <f ca="1"/>
        <v>0</v>
      </c>
      <c r="V227" s="1968">
        <f ca="1"/>
        <v>0</v>
      </c>
      <c r="W227" s="1968">
        <f ca="1"/>
        <v>0</v>
      </c>
      <c r="X227" s="1968">
        <f ca="1"/>
        <v>0</v>
      </c>
      <c r="Y227" s="1986">
        <f ca="1"/>
        <v>0</v>
      </c>
    </row>
    <row r="228" spans="1:25">
      <c r="A228" s="1971" t="str">
        <v>9 meses antes</v>
      </c>
      <c r="B228" s="1967"/>
      <c r="C228" s="1967"/>
      <c r="D228" s="1967"/>
      <c r="E228" s="592">
        <f t="array" aca="1" ref="E228:P228" ca="1">B26:M26*Produccion!$E$14</f>
        <v>0</v>
      </c>
      <c r="F228" s="592">
        <f ca="1"/>
        <v>0</v>
      </c>
      <c r="G228" s="592">
        <f ca="1"/>
        <v>0</v>
      </c>
      <c r="H228" s="592">
        <f ca="1"/>
        <v>0</v>
      </c>
      <c r="I228" s="592">
        <f ca="1"/>
        <v>0</v>
      </c>
      <c r="J228" s="592">
        <f ca="1"/>
        <v>0</v>
      </c>
      <c r="K228" s="592">
        <f ca="1"/>
        <v>0</v>
      </c>
      <c r="L228" s="592">
        <f ca="1"/>
        <v>0</v>
      </c>
      <c r="M228" s="592">
        <f ca="1"/>
        <v>0</v>
      </c>
      <c r="N228" s="592">
        <f ca="1"/>
        <v>0</v>
      </c>
      <c r="O228" s="592">
        <f ca="1"/>
        <v>0</v>
      </c>
      <c r="P228" s="592">
        <f ca="1"/>
        <v>0</v>
      </c>
      <c r="Q228" s="1968">
        <f t="array" aca="1" ref="Q228:Q231" ca="1">'Distr CV 4'!E228:E231</f>
        <v>0</v>
      </c>
      <c r="R228" s="1968">
        <f ca="1"/>
        <v>0</v>
      </c>
      <c r="S228" s="1968">
        <f ca="1"/>
        <v>0</v>
      </c>
      <c r="T228" s="1968">
        <f ca="1"/>
        <v>0</v>
      </c>
      <c r="U228" s="1968">
        <f ca="1"/>
        <v>0</v>
      </c>
      <c r="V228" s="1968">
        <f ca="1"/>
        <v>0</v>
      </c>
      <c r="W228" s="1968">
        <f ca="1"/>
        <v>0</v>
      </c>
      <c r="X228" s="1968">
        <f ca="1"/>
        <v>0</v>
      </c>
      <c r="Y228" s="1986">
        <f ca="1"/>
        <v>0</v>
      </c>
    </row>
    <row r="229" spans="1:25">
      <c r="A229" s="1971" t="str">
        <v>10 meses antes</v>
      </c>
      <c r="B229" s="1967"/>
      <c r="C229" s="1967"/>
      <c r="D229" s="592">
        <f t="array" aca="1" ref="D229:O229" ca="1">B26:M26*Produccion!$D$14</f>
        <v>0</v>
      </c>
      <c r="E229" s="592">
        <f ca="1"/>
        <v>0</v>
      </c>
      <c r="F229" s="592">
        <f ca="1"/>
        <v>0</v>
      </c>
      <c r="G229" s="592">
        <f ca="1"/>
        <v>0</v>
      </c>
      <c r="H229" s="592">
        <f ca="1"/>
        <v>0</v>
      </c>
      <c r="I229" s="592">
        <f ca="1"/>
        <v>0</v>
      </c>
      <c r="J229" s="592">
        <f ca="1"/>
        <v>0</v>
      </c>
      <c r="K229" s="592">
        <f ca="1"/>
        <v>0</v>
      </c>
      <c r="L229" s="592">
        <f ca="1"/>
        <v>0</v>
      </c>
      <c r="M229" s="592">
        <f ca="1"/>
        <v>0</v>
      </c>
      <c r="N229" s="592">
        <f ca="1"/>
        <v>0</v>
      </c>
      <c r="O229" s="592">
        <f ca="1"/>
        <v>0</v>
      </c>
      <c r="P229" s="1968">
        <f t="array" aca="1" ref="P229:P231" ca="1">'Distr CV 4'!D229:D231</f>
        <v>0</v>
      </c>
      <c r="Q229" s="1968">
        <f ca="1"/>
        <v>0</v>
      </c>
      <c r="R229" s="1968">
        <f ca="1"/>
        <v>0</v>
      </c>
      <c r="S229" s="1968">
        <f ca="1"/>
        <v>0</v>
      </c>
      <c r="T229" s="1968">
        <f ca="1"/>
        <v>0</v>
      </c>
      <c r="U229" s="1968">
        <f ca="1"/>
        <v>0</v>
      </c>
      <c r="V229" s="1968">
        <f ca="1"/>
        <v>0</v>
      </c>
      <c r="W229" s="1968">
        <f ca="1"/>
        <v>0</v>
      </c>
      <c r="X229" s="1968">
        <f ca="1"/>
        <v>0</v>
      </c>
      <c r="Y229" s="1986">
        <f ca="1"/>
        <v>0</v>
      </c>
    </row>
    <row r="230" spans="1:25">
      <c r="A230" s="1971" t="str">
        <v>11 meses antes</v>
      </c>
      <c r="B230" s="1967"/>
      <c r="C230" s="592">
        <f t="array" aca="1" ref="C230:N230" ca="1">B26:M26*Produccion!$C$14</f>
        <v>0</v>
      </c>
      <c r="D230" s="592">
        <f ca="1"/>
        <v>0</v>
      </c>
      <c r="E230" s="592">
        <f ca="1"/>
        <v>0</v>
      </c>
      <c r="F230" s="592">
        <f ca="1"/>
        <v>0</v>
      </c>
      <c r="G230" s="592">
        <f ca="1"/>
        <v>0</v>
      </c>
      <c r="H230" s="592">
        <f ca="1"/>
        <v>0</v>
      </c>
      <c r="I230" s="592">
        <f ca="1"/>
        <v>0</v>
      </c>
      <c r="J230" s="592">
        <f ca="1"/>
        <v>0</v>
      </c>
      <c r="K230" s="592">
        <f ca="1"/>
        <v>0</v>
      </c>
      <c r="L230" s="592">
        <f ca="1"/>
        <v>0</v>
      </c>
      <c r="M230" s="592">
        <f ca="1"/>
        <v>0</v>
      </c>
      <c r="N230" s="592">
        <f ca="1"/>
        <v>0</v>
      </c>
      <c r="O230" s="1968">
        <f ca="1">'Distr CV 4'!C230</f>
        <v>0</v>
      </c>
      <c r="P230" s="1968">
        <f ca="1"/>
        <v>0</v>
      </c>
      <c r="Q230" s="1968">
        <f ca="1"/>
        <v>0</v>
      </c>
      <c r="R230" s="1968">
        <f ca="1"/>
        <v>0</v>
      </c>
      <c r="S230" s="1968">
        <f ca="1"/>
        <v>0</v>
      </c>
      <c r="T230" s="1968">
        <f ca="1"/>
        <v>0</v>
      </c>
      <c r="U230" s="1968">
        <f ca="1"/>
        <v>0</v>
      </c>
      <c r="V230" s="1968">
        <f ca="1"/>
        <v>0</v>
      </c>
      <c r="W230" s="1968">
        <f ca="1"/>
        <v>0</v>
      </c>
      <c r="X230" s="1968">
        <f ca="1"/>
        <v>0</v>
      </c>
      <c r="Y230" s="1986">
        <f ca="1"/>
        <v>0</v>
      </c>
    </row>
    <row r="231" spans="1:25" ht="13.5" thickBot="1">
      <c r="A231" s="1971" t="str">
        <v>12 meses antes</v>
      </c>
      <c r="B231" s="592">
        <f t="array" aca="1" ref="B231:M231" ca="1">B26:M26*Produccion!$B$14</f>
        <v>0</v>
      </c>
      <c r="C231" s="592">
        <f ca="1"/>
        <v>0</v>
      </c>
      <c r="D231" s="592">
        <f ca="1"/>
        <v>0</v>
      </c>
      <c r="E231" s="592">
        <f ca="1"/>
        <v>0</v>
      </c>
      <c r="F231" s="592">
        <f ca="1"/>
        <v>0</v>
      </c>
      <c r="G231" s="592">
        <f ca="1"/>
        <v>0</v>
      </c>
      <c r="H231" s="592">
        <f ca="1"/>
        <v>0</v>
      </c>
      <c r="I231" s="592">
        <f ca="1"/>
        <v>0</v>
      </c>
      <c r="J231" s="592">
        <f ca="1"/>
        <v>0</v>
      </c>
      <c r="K231" s="592">
        <f ca="1"/>
        <v>0</v>
      </c>
      <c r="L231" s="592">
        <f ca="1"/>
        <v>0</v>
      </c>
      <c r="M231" s="592">
        <f ca="1"/>
        <v>0</v>
      </c>
      <c r="N231" s="1967">
        <f ca="1">'Distr CV 4'!B231</f>
        <v>0</v>
      </c>
      <c r="O231" s="1968">
        <f ca="1">'Distr CV 4'!C231</f>
        <v>0</v>
      </c>
      <c r="P231" s="1968">
        <f ca="1"/>
        <v>0</v>
      </c>
      <c r="Q231" s="1968">
        <f ca="1"/>
        <v>0</v>
      </c>
      <c r="R231" s="1968">
        <f ca="1"/>
        <v>0</v>
      </c>
      <c r="S231" s="1968">
        <f ca="1"/>
        <v>0</v>
      </c>
      <c r="T231" s="1968">
        <f ca="1"/>
        <v>0</v>
      </c>
      <c r="U231" s="1968">
        <f ca="1"/>
        <v>0</v>
      </c>
      <c r="V231" s="1968">
        <f ca="1"/>
        <v>0</v>
      </c>
      <c r="W231" s="1968">
        <f ca="1"/>
        <v>0</v>
      </c>
      <c r="X231" s="1968">
        <f ca="1"/>
        <v>0</v>
      </c>
      <c r="Y231" s="1986">
        <f ca="1"/>
        <v>0</v>
      </c>
    </row>
    <row r="232" spans="1:25" ht="13.5" thickBot="1">
      <c r="A232" s="103" t="str">
        <f>"Totales CV "&amp;A$14</f>
        <v xml:space="preserve">Totales CV </v>
      </c>
      <c r="B232" s="596">
        <f t="shared" ref="B232:Y232" ca="1" si="16">SUM(B219:B231)</f>
        <v>0</v>
      </c>
      <c r="C232" s="596">
        <f t="shared" ca="1" si="16"/>
        <v>0</v>
      </c>
      <c r="D232" s="596">
        <f t="shared" ca="1" si="16"/>
        <v>0</v>
      </c>
      <c r="E232" s="596">
        <f t="shared" ca="1" si="16"/>
        <v>0</v>
      </c>
      <c r="F232" s="596">
        <f t="shared" ca="1" si="16"/>
        <v>0</v>
      </c>
      <c r="G232" s="596">
        <f t="shared" ca="1" si="16"/>
        <v>0</v>
      </c>
      <c r="H232" s="596">
        <f t="shared" ca="1" si="16"/>
        <v>0</v>
      </c>
      <c r="I232" s="596">
        <f t="shared" ca="1" si="16"/>
        <v>0</v>
      </c>
      <c r="J232" s="596">
        <f t="shared" ca="1" si="16"/>
        <v>0</v>
      </c>
      <c r="K232" s="596">
        <f t="shared" ca="1" si="16"/>
        <v>0</v>
      </c>
      <c r="L232" s="596">
        <f t="shared" ca="1" si="16"/>
        <v>0</v>
      </c>
      <c r="M232" s="596">
        <f t="shared" ca="1" si="16"/>
        <v>0</v>
      </c>
      <c r="N232" s="596">
        <f t="shared" ca="1" si="16"/>
        <v>0</v>
      </c>
      <c r="O232" s="596">
        <f t="shared" ca="1" si="16"/>
        <v>0</v>
      </c>
      <c r="P232" s="596">
        <f t="shared" ca="1" si="16"/>
        <v>0</v>
      </c>
      <c r="Q232" s="596">
        <f t="shared" ca="1" si="16"/>
        <v>0</v>
      </c>
      <c r="R232" s="596">
        <f t="shared" ca="1" si="16"/>
        <v>0</v>
      </c>
      <c r="S232" s="596">
        <f t="shared" ca="1" si="16"/>
        <v>0</v>
      </c>
      <c r="T232" s="596">
        <f t="shared" ca="1" si="16"/>
        <v>0</v>
      </c>
      <c r="U232" s="596">
        <f t="shared" ca="1" si="16"/>
        <v>0</v>
      </c>
      <c r="V232" s="596">
        <f t="shared" ca="1" si="16"/>
        <v>0</v>
      </c>
      <c r="W232" s="596">
        <f t="shared" ca="1" si="16"/>
        <v>0</v>
      </c>
      <c r="X232" s="596">
        <f t="shared" ca="1" si="16"/>
        <v>0</v>
      </c>
      <c r="Y232" s="1984">
        <f t="shared" ca="1" si="16"/>
        <v>0</v>
      </c>
    </row>
    <row r="233" spans="1:25" ht="13.5" thickBot="1">
      <c r="A233" s="103" t="str">
        <f>'Datos Básicos'!A28&amp;" sop. CV "&amp;$A$14</f>
        <v xml:space="preserve">IVA sop. CV </v>
      </c>
      <c r="B233" s="596">
        <f t="array" aca="1" ref="B233:Y233" ca="1">$K$217*B232:Y232</f>
        <v>0</v>
      </c>
      <c r="C233" s="596">
        <f ca="1"/>
        <v>0</v>
      </c>
      <c r="D233" s="596">
        <f ca="1"/>
        <v>0</v>
      </c>
      <c r="E233" s="596">
        <f ca="1"/>
        <v>0</v>
      </c>
      <c r="F233" s="596">
        <f ca="1"/>
        <v>0</v>
      </c>
      <c r="G233" s="596">
        <f ca="1"/>
        <v>0</v>
      </c>
      <c r="H233" s="596">
        <f ca="1"/>
        <v>0</v>
      </c>
      <c r="I233" s="596">
        <f ca="1"/>
        <v>0</v>
      </c>
      <c r="J233" s="596">
        <f ca="1"/>
        <v>0</v>
      </c>
      <c r="K233" s="596">
        <f ca="1"/>
        <v>0</v>
      </c>
      <c r="L233" s="596">
        <f ca="1"/>
        <v>0</v>
      </c>
      <c r="M233" s="596">
        <f ca="1"/>
        <v>0</v>
      </c>
      <c r="N233" s="596">
        <f ca="1"/>
        <v>0</v>
      </c>
      <c r="O233" s="596">
        <f ca="1"/>
        <v>0</v>
      </c>
      <c r="P233" s="596">
        <f ca="1"/>
        <v>0</v>
      </c>
      <c r="Q233" s="596">
        <f ca="1"/>
        <v>0</v>
      </c>
      <c r="R233" s="596">
        <f ca="1"/>
        <v>0</v>
      </c>
      <c r="S233" s="596">
        <f ca="1"/>
        <v>0</v>
      </c>
      <c r="T233" s="596">
        <f ca="1"/>
        <v>0</v>
      </c>
      <c r="U233" s="596">
        <f ca="1"/>
        <v>0</v>
      </c>
      <c r="V233" s="596">
        <f ca="1"/>
        <v>0</v>
      </c>
      <c r="W233" s="596">
        <f ca="1"/>
        <v>0</v>
      </c>
      <c r="X233" s="596">
        <f ca="1"/>
        <v>0</v>
      </c>
      <c r="Y233" s="1984">
        <f ca="1"/>
        <v>0</v>
      </c>
    </row>
    <row r="235" spans="1:25" ht="18.75" thickBot="1">
      <c r="A235" s="1969" t="str">
        <f>'Distr CV 0'!A235</f>
        <v xml:space="preserve">Compras / costes de producción por meses de </v>
      </c>
      <c r="I235" s="1969" t="str">
        <f>I$18</f>
        <v>IVA NO incluido</v>
      </c>
      <c r="K235" s="1981">
        <f>Parametros!$F$31</f>
        <v>0.21</v>
      </c>
    </row>
    <row r="236" spans="1:25" ht="30" customHeight="1" thickBot="1">
      <c r="A236" s="446" t="str">
        <f>A$110</f>
        <v>mes de compra / coste</v>
      </c>
      <c r="B236" s="1987" t="str">
        <f t="array" ref="B236:Y236">B$71:Y$71</f>
        <v>enero 
2028</v>
      </c>
      <c r="C236" s="1987" t="str">
        <v>febrero 
2028</v>
      </c>
      <c r="D236" s="1987" t="str">
        <v>marzo 
2028</v>
      </c>
      <c r="E236" s="1987" t="str">
        <v>abril 
2028</v>
      </c>
      <c r="F236" s="1987" t="str">
        <v>mayo 
2028</v>
      </c>
      <c r="G236" s="1987" t="str">
        <v>junio 
2028</v>
      </c>
      <c r="H236" s="1987" t="str">
        <v>julio 
2028</v>
      </c>
      <c r="I236" s="1987" t="str">
        <v>agosto 
2028</v>
      </c>
      <c r="J236" s="1987" t="str">
        <v>septiembre 
2028</v>
      </c>
      <c r="K236" s="1987" t="str">
        <v>octubre 
2028</v>
      </c>
      <c r="L236" s="1987" t="str">
        <v>noviembre 
2028</v>
      </c>
      <c r="M236" s="1987" t="str">
        <v>diciembre 
2028</v>
      </c>
      <c r="N236" s="2703" t="str">
        <v>enero 
2029</v>
      </c>
      <c r="O236" s="2704" t="str">
        <v>febrero 
2029</v>
      </c>
      <c r="P236" s="2704" t="str">
        <v>marzo 
2029</v>
      </c>
      <c r="Q236" s="2704" t="str">
        <v>abril 
2029</v>
      </c>
      <c r="R236" s="2704" t="str">
        <v>mayo 
2029</v>
      </c>
      <c r="S236" s="2704" t="str">
        <v>junio 
2029</v>
      </c>
      <c r="T236" s="2704" t="str">
        <v>julio 
2029</v>
      </c>
      <c r="U236" s="2704" t="str">
        <v>agosto 
2029</v>
      </c>
      <c r="V236" s="2704" t="str">
        <v>septiembre 
2029</v>
      </c>
      <c r="W236" s="2704" t="str">
        <v>octubre 
2029</v>
      </c>
      <c r="X236" s="2704" t="str">
        <v>noviembre 
2029</v>
      </c>
      <c r="Y236" s="2705" t="str">
        <v>diciembre 
2029</v>
      </c>
    </row>
    <row r="237" spans="1:25">
      <c r="A237" s="1970" t="str">
        <f t="array" ref="A237:A249">A$72:A$84</f>
        <v>mismo mes</v>
      </c>
      <c r="B237" s="1967"/>
      <c r="C237" s="1967"/>
      <c r="D237" s="1967"/>
      <c r="E237" s="1967"/>
      <c r="F237" s="1967"/>
      <c r="G237" s="1967"/>
      <c r="H237" s="1967"/>
      <c r="I237" s="1967"/>
      <c r="J237" s="1967"/>
      <c r="K237" s="1967"/>
      <c r="L237" s="1967"/>
      <c r="M237" s="1967"/>
      <c r="N237" s="592">
        <f t="array" aca="1" ref="N237:Y237" ca="1">B27:M27*Produccion!$N$15</f>
        <v>0</v>
      </c>
      <c r="O237" s="592">
        <f ca="1"/>
        <v>0</v>
      </c>
      <c r="P237" s="592">
        <f ca="1"/>
        <v>0</v>
      </c>
      <c r="Q237" s="592">
        <f ca="1"/>
        <v>0</v>
      </c>
      <c r="R237" s="592">
        <f ca="1"/>
        <v>0</v>
      </c>
      <c r="S237" s="592">
        <f ca="1"/>
        <v>0</v>
      </c>
      <c r="T237" s="592">
        <f ca="1"/>
        <v>0</v>
      </c>
      <c r="U237" s="592">
        <f ca="1"/>
        <v>0</v>
      </c>
      <c r="V237" s="592">
        <f ca="1"/>
        <v>0</v>
      </c>
      <c r="W237" s="592">
        <f ca="1"/>
        <v>0</v>
      </c>
      <c r="X237" s="592">
        <f ca="1"/>
        <v>0</v>
      </c>
      <c r="Y237" s="1982">
        <f ca="1"/>
        <v>0</v>
      </c>
    </row>
    <row r="238" spans="1:25">
      <c r="A238" s="1971" t="str">
        <v>1 mes antes</v>
      </c>
      <c r="B238" s="1967"/>
      <c r="C238" s="1967"/>
      <c r="D238" s="1967"/>
      <c r="E238" s="1967"/>
      <c r="F238" s="1967"/>
      <c r="G238" s="1967"/>
      <c r="H238" s="1967"/>
      <c r="I238" s="1967"/>
      <c r="J238" s="1967"/>
      <c r="K238" s="1967"/>
      <c r="L238" s="1967"/>
      <c r="M238" s="592">
        <f t="array" aca="1" ref="M238:X238" ca="1">B27:M27*Produccion!$M$15</f>
        <v>0</v>
      </c>
      <c r="N238" s="592">
        <f ca="1"/>
        <v>0</v>
      </c>
      <c r="O238" s="592">
        <f ca="1"/>
        <v>0</v>
      </c>
      <c r="P238" s="592">
        <f ca="1"/>
        <v>0</v>
      </c>
      <c r="Q238" s="592">
        <f ca="1"/>
        <v>0</v>
      </c>
      <c r="R238" s="592">
        <f ca="1"/>
        <v>0</v>
      </c>
      <c r="S238" s="592">
        <f ca="1"/>
        <v>0</v>
      </c>
      <c r="T238" s="592">
        <f ca="1"/>
        <v>0</v>
      </c>
      <c r="U238" s="592">
        <f ca="1"/>
        <v>0</v>
      </c>
      <c r="V238" s="592">
        <f ca="1"/>
        <v>0</v>
      </c>
      <c r="W238" s="592">
        <f ca="1"/>
        <v>0</v>
      </c>
      <c r="X238" s="592">
        <f ca="1"/>
        <v>0</v>
      </c>
      <c r="Y238" s="1983">
        <f t="array" aca="1" ref="Y238:Y249" ca="1">'Distr CV 4'!M238:M249</f>
        <v>0</v>
      </c>
    </row>
    <row r="239" spans="1:25">
      <c r="A239" s="1971" t="str">
        <v>2 meses antes</v>
      </c>
      <c r="B239" s="1967"/>
      <c r="C239" s="1967"/>
      <c r="D239" s="1967"/>
      <c r="E239" s="1967"/>
      <c r="F239" s="1967"/>
      <c r="G239" s="1967"/>
      <c r="H239" s="1967"/>
      <c r="I239" s="1967"/>
      <c r="J239" s="1967"/>
      <c r="K239" s="1967"/>
      <c r="L239" s="592">
        <f t="array" aca="1" ref="L239:W239" ca="1">B27:M27*Produccion!$L$15</f>
        <v>0</v>
      </c>
      <c r="M239" s="592">
        <f ca="1"/>
        <v>0</v>
      </c>
      <c r="N239" s="592">
        <f ca="1"/>
        <v>0</v>
      </c>
      <c r="O239" s="592">
        <f ca="1"/>
        <v>0</v>
      </c>
      <c r="P239" s="592">
        <f ca="1"/>
        <v>0</v>
      </c>
      <c r="Q239" s="592">
        <f ca="1"/>
        <v>0</v>
      </c>
      <c r="R239" s="592">
        <f ca="1"/>
        <v>0</v>
      </c>
      <c r="S239" s="592">
        <f ca="1"/>
        <v>0</v>
      </c>
      <c r="T239" s="592">
        <f ca="1"/>
        <v>0</v>
      </c>
      <c r="U239" s="592">
        <f ca="1"/>
        <v>0</v>
      </c>
      <c r="V239" s="592">
        <f ca="1"/>
        <v>0</v>
      </c>
      <c r="W239" s="592">
        <f ca="1"/>
        <v>0</v>
      </c>
      <c r="X239" s="1964">
        <f t="array" aca="1" ref="X239:X249" ca="1">'Distr CV 4'!L239:L249</f>
        <v>0</v>
      </c>
      <c r="Y239" s="1983">
        <f ca="1"/>
        <v>0</v>
      </c>
    </row>
    <row r="240" spans="1:25">
      <c r="A240" s="1971" t="str">
        <v>3 meses antes</v>
      </c>
      <c r="B240" s="1967"/>
      <c r="C240" s="1967"/>
      <c r="D240" s="1967"/>
      <c r="E240" s="1967"/>
      <c r="F240" s="1967"/>
      <c r="G240" s="1967"/>
      <c r="H240" s="1967"/>
      <c r="I240" s="1967"/>
      <c r="J240" s="1967"/>
      <c r="K240" s="592">
        <f t="array" aca="1" ref="K240:V240" ca="1">B27:M27*Produccion!$K$15</f>
        <v>0</v>
      </c>
      <c r="L240" s="592">
        <f ca="1"/>
        <v>0</v>
      </c>
      <c r="M240" s="592">
        <f ca="1"/>
        <v>0</v>
      </c>
      <c r="N240" s="592">
        <f ca="1"/>
        <v>0</v>
      </c>
      <c r="O240" s="592">
        <f ca="1"/>
        <v>0</v>
      </c>
      <c r="P240" s="592">
        <f ca="1"/>
        <v>0</v>
      </c>
      <c r="Q240" s="592">
        <f ca="1"/>
        <v>0</v>
      </c>
      <c r="R240" s="592">
        <f ca="1"/>
        <v>0</v>
      </c>
      <c r="S240" s="592">
        <f ca="1"/>
        <v>0</v>
      </c>
      <c r="T240" s="592">
        <f ca="1"/>
        <v>0</v>
      </c>
      <c r="U240" s="592">
        <f ca="1"/>
        <v>0</v>
      </c>
      <c r="V240" s="592">
        <f ca="1"/>
        <v>0</v>
      </c>
      <c r="W240" s="1964">
        <f t="array" aca="1" ref="W240:W249" ca="1">'Distr CV 4'!K240:K249</f>
        <v>0</v>
      </c>
      <c r="X240" s="1964">
        <f ca="1"/>
        <v>0</v>
      </c>
      <c r="Y240" s="1983">
        <f ca="1"/>
        <v>0</v>
      </c>
    </row>
    <row r="241" spans="1:25">
      <c r="A241" s="1971" t="str">
        <v>4 meses antes</v>
      </c>
      <c r="B241" s="1967"/>
      <c r="C241" s="1967"/>
      <c r="D241" s="1967"/>
      <c r="E241" s="1967"/>
      <c r="F241" s="1967"/>
      <c r="G241" s="1967"/>
      <c r="H241" s="1967"/>
      <c r="I241" s="1967"/>
      <c r="J241" s="592">
        <f t="array" aca="1" ref="J241:U241" ca="1">B27:M27*Produccion!$J$15</f>
        <v>0</v>
      </c>
      <c r="K241" s="592">
        <f ca="1"/>
        <v>0</v>
      </c>
      <c r="L241" s="592">
        <f ca="1"/>
        <v>0</v>
      </c>
      <c r="M241" s="592">
        <f ca="1"/>
        <v>0</v>
      </c>
      <c r="N241" s="592">
        <f ca="1"/>
        <v>0</v>
      </c>
      <c r="O241" s="592">
        <f ca="1"/>
        <v>0</v>
      </c>
      <c r="P241" s="592">
        <f ca="1"/>
        <v>0</v>
      </c>
      <c r="Q241" s="592">
        <f ca="1"/>
        <v>0</v>
      </c>
      <c r="R241" s="592">
        <f ca="1"/>
        <v>0</v>
      </c>
      <c r="S241" s="592">
        <f ca="1"/>
        <v>0</v>
      </c>
      <c r="T241" s="592">
        <f ca="1"/>
        <v>0</v>
      </c>
      <c r="U241" s="592">
        <f ca="1"/>
        <v>0</v>
      </c>
      <c r="V241" s="1964">
        <f t="array" aca="1" ref="V241:V249" ca="1">'Distr CV 4'!J241:J249</f>
        <v>0</v>
      </c>
      <c r="W241" s="1964">
        <f ca="1"/>
        <v>0</v>
      </c>
      <c r="X241" s="1964">
        <f ca="1"/>
        <v>0</v>
      </c>
      <c r="Y241" s="1983">
        <f ca="1"/>
        <v>0</v>
      </c>
    </row>
    <row r="242" spans="1:25">
      <c r="A242" s="1971" t="str">
        <v>5 meses antes</v>
      </c>
      <c r="B242" s="1967"/>
      <c r="C242" s="1967"/>
      <c r="D242" s="1967"/>
      <c r="E242" s="1967"/>
      <c r="F242" s="1967"/>
      <c r="G242" s="1967"/>
      <c r="H242" s="1967"/>
      <c r="I242" s="592">
        <f t="array" aca="1" ref="I242:T242" ca="1">B27:M27*Produccion!$I$15</f>
        <v>0</v>
      </c>
      <c r="J242" s="592">
        <f ca="1"/>
        <v>0</v>
      </c>
      <c r="K242" s="592">
        <f ca="1"/>
        <v>0</v>
      </c>
      <c r="L242" s="592">
        <f ca="1"/>
        <v>0</v>
      </c>
      <c r="M242" s="592">
        <f ca="1"/>
        <v>0</v>
      </c>
      <c r="N242" s="592">
        <f ca="1"/>
        <v>0</v>
      </c>
      <c r="O242" s="592">
        <f ca="1"/>
        <v>0</v>
      </c>
      <c r="P242" s="592">
        <f ca="1"/>
        <v>0</v>
      </c>
      <c r="Q242" s="592">
        <f ca="1"/>
        <v>0</v>
      </c>
      <c r="R242" s="592">
        <f ca="1"/>
        <v>0</v>
      </c>
      <c r="S242" s="592">
        <f ca="1"/>
        <v>0</v>
      </c>
      <c r="T242" s="592">
        <f ca="1"/>
        <v>0</v>
      </c>
      <c r="U242" s="1964">
        <f t="array" aca="1" ref="U242:U249" ca="1">'Distr CV 4'!I242:I249</f>
        <v>0</v>
      </c>
      <c r="V242" s="1964">
        <f ca="1"/>
        <v>0</v>
      </c>
      <c r="W242" s="1964">
        <f ca="1"/>
        <v>0</v>
      </c>
      <c r="X242" s="1964">
        <f ca="1"/>
        <v>0</v>
      </c>
      <c r="Y242" s="1983">
        <f ca="1"/>
        <v>0</v>
      </c>
    </row>
    <row r="243" spans="1:25">
      <c r="A243" s="1971" t="str">
        <v>6 meses antes</v>
      </c>
      <c r="B243" s="1967"/>
      <c r="C243" s="1967"/>
      <c r="D243" s="1967"/>
      <c r="E243" s="1967"/>
      <c r="F243" s="1967"/>
      <c r="G243" s="1967"/>
      <c r="H243" s="592">
        <f t="array" aca="1" ref="H243:S243" ca="1">B27:M27*Produccion!$H$15</f>
        <v>0</v>
      </c>
      <c r="I243" s="592">
        <f ca="1"/>
        <v>0</v>
      </c>
      <c r="J243" s="592">
        <f ca="1"/>
        <v>0</v>
      </c>
      <c r="K243" s="592">
        <f ca="1"/>
        <v>0</v>
      </c>
      <c r="L243" s="592">
        <f ca="1"/>
        <v>0</v>
      </c>
      <c r="M243" s="592">
        <f ca="1"/>
        <v>0</v>
      </c>
      <c r="N243" s="592">
        <f ca="1"/>
        <v>0</v>
      </c>
      <c r="O243" s="592">
        <f ca="1"/>
        <v>0</v>
      </c>
      <c r="P243" s="592">
        <f ca="1"/>
        <v>0</v>
      </c>
      <c r="Q243" s="592">
        <f ca="1"/>
        <v>0</v>
      </c>
      <c r="R243" s="592">
        <f ca="1"/>
        <v>0</v>
      </c>
      <c r="S243" s="592">
        <f ca="1"/>
        <v>0</v>
      </c>
      <c r="T243" s="1964">
        <f t="array" aca="1" ref="T243:T249" ca="1">'Distr CV 4'!H243:H249</f>
        <v>0</v>
      </c>
      <c r="U243" s="1964">
        <f ca="1"/>
        <v>0</v>
      </c>
      <c r="V243" s="1964">
        <f ca="1"/>
        <v>0</v>
      </c>
      <c r="W243" s="1964">
        <f ca="1"/>
        <v>0</v>
      </c>
      <c r="X243" s="1964">
        <f ca="1"/>
        <v>0</v>
      </c>
      <c r="Y243" s="1983">
        <f ca="1"/>
        <v>0</v>
      </c>
    </row>
    <row r="244" spans="1:25">
      <c r="A244" s="1971" t="str">
        <v>7 meses antes</v>
      </c>
      <c r="B244" s="1967"/>
      <c r="C244" s="1967"/>
      <c r="D244" s="1967"/>
      <c r="E244" s="1967"/>
      <c r="F244" s="1967"/>
      <c r="G244" s="592">
        <f t="array" aca="1" ref="G244:R244" ca="1">B27:M27*Produccion!$G$15</f>
        <v>0</v>
      </c>
      <c r="H244" s="592">
        <f ca="1"/>
        <v>0</v>
      </c>
      <c r="I244" s="592">
        <f ca="1"/>
        <v>0</v>
      </c>
      <c r="J244" s="592">
        <f ca="1"/>
        <v>0</v>
      </c>
      <c r="K244" s="592">
        <f ca="1"/>
        <v>0</v>
      </c>
      <c r="L244" s="592">
        <f ca="1"/>
        <v>0</v>
      </c>
      <c r="M244" s="592">
        <f ca="1"/>
        <v>0</v>
      </c>
      <c r="N244" s="592">
        <f ca="1"/>
        <v>0</v>
      </c>
      <c r="O244" s="592">
        <f ca="1"/>
        <v>0</v>
      </c>
      <c r="P244" s="592">
        <f ca="1"/>
        <v>0</v>
      </c>
      <c r="Q244" s="592">
        <f ca="1"/>
        <v>0</v>
      </c>
      <c r="R244" s="592">
        <f ca="1"/>
        <v>0</v>
      </c>
      <c r="S244" s="1968">
        <f t="array" aca="1" ref="S244:S249" ca="1">'Distr CV 4'!G244:G249</f>
        <v>0</v>
      </c>
      <c r="T244" s="1968">
        <f ca="1"/>
        <v>0</v>
      </c>
      <c r="U244" s="1968">
        <f ca="1"/>
        <v>0</v>
      </c>
      <c r="V244" s="1968">
        <f ca="1"/>
        <v>0</v>
      </c>
      <c r="W244" s="1968">
        <f ca="1"/>
        <v>0</v>
      </c>
      <c r="X244" s="1968">
        <f ca="1"/>
        <v>0</v>
      </c>
      <c r="Y244" s="1986">
        <f ca="1"/>
        <v>0</v>
      </c>
    </row>
    <row r="245" spans="1:25">
      <c r="A245" s="1971" t="str">
        <v>8 meses antes</v>
      </c>
      <c r="B245" s="1967"/>
      <c r="C245" s="1967"/>
      <c r="D245" s="1967"/>
      <c r="E245" s="1967"/>
      <c r="F245" s="592">
        <f t="array" aca="1" ref="F245:Q245" ca="1">B27:M27*Produccion!$F$15</f>
        <v>0</v>
      </c>
      <c r="G245" s="592">
        <f ca="1"/>
        <v>0</v>
      </c>
      <c r="H245" s="592">
        <f ca="1"/>
        <v>0</v>
      </c>
      <c r="I245" s="592">
        <f ca="1"/>
        <v>0</v>
      </c>
      <c r="J245" s="592">
        <f ca="1"/>
        <v>0</v>
      </c>
      <c r="K245" s="592">
        <f ca="1"/>
        <v>0</v>
      </c>
      <c r="L245" s="592">
        <f ca="1"/>
        <v>0</v>
      </c>
      <c r="M245" s="592">
        <f ca="1"/>
        <v>0</v>
      </c>
      <c r="N245" s="592">
        <f ca="1"/>
        <v>0</v>
      </c>
      <c r="O245" s="592">
        <f ca="1"/>
        <v>0</v>
      </c>
      <c r="P245" s="592">
        <f ca="1"/>
        <v>0</v>
      </c>
      <c r="Q245" s="592">
        <f ca="1"/>
        <v>0</v>
      </c>
      <c r="R245" s="1968">
        <f t="array" aca="1" ref="R245:R249" ca="1">'Distr CV 4'!F245:F249</f>
        <v>0</v>
      </c>
      <c r="S245" s="1968">
        <f ca="1"/>
        <v>0</v>
      </c>
      <c r="T245" s="1968">
        <f ca="1"/>
        <v>0</v>
      </c>
      <c r="U245" s="1968">
        <f ca="1"/>
        <v>0</v>
      </c>
      <c r="V245" s="1968">
        <f ca="1"/>
        <v>0</v>
      </c>
      <c r="W245" s="1968">
        <f ca="1"/>
        <v>0</v>
      </c>
      <c r="X245" s="1968">
        <f ca="1"/>
        <v>0</v>
      </c>
      <c r="Y245" s="1986">
        <f ca="1"/>
        <v>0</v>
      </c>
    </row>
    <row r="246" spans="1:25">
      <c r="A246" s="1971" t="str">
        <v>9 meses antes</v>
      </c>
      <c r="B246" s="1967"/>
      <c r="C246" s="1967"/>
      <c r="D246" s="1967"/>
      <c r="E246" s="592">
        <f t="array" aca="1" ref="E246:P246" ca="1">B27:M27*Produccion!$E$15</f>
        <v>0</v>
      </c>
      <c r="F246" s="592">
        <f ca="1"/>
        <v>0</v>
      </c>
      <c r="G246" s="592">
        <f ca="1"/>
        <v>0</v>
      </c>
      <c r="H246" s="592">
        <f ca="1"/>
        <v>0</v>
      </c>
      <c r="I246" s="592">
        <f ca="1"/>
        <v>0</v>
      </c>
      <c r="J246" s="592">
        <f ca="1"/>
        <v>0</v>
      </c>
      <c r="K246" s="592">
        <f ca="1"/>
        <v>0</v>
      </c>
      <c r="L246" s="592">
        <f ca="1"/>
        <v>0</v>
      </c>
      <c r="M246" s="592">
        <f ca="1"/>
        <v>0</v>
      </c>
      <c r="N246" s="592">
        <f ca="1"/>
        <v>0</v>
      </c>
      <c r="O246" s="592">
        <f ca="1"/>
        <v>0</v>
      </c>
      <c r="P246" s="592">
        <f ca="1"/>
        <v>0</v>
      </c>
      <c r="Q246" s="1968">
        <f t="array" aca="1" ref="Q246:Q249" ca="1">'Distr CV 4'!E246:E249</f>
        <v>0</v>
      </c>
      <c r="R246" s="1968">
        <f ca="1"/>
        <v>0</v>
      </c>
      <c r="S246" s="1968">
        <f ca="1"/>
        <v>0</v>
      </c>
      <c r="T246" s="1968">
        <f ca="1"/>
        <v>0</v>
      </c>
      <c r="U246" s="1968">
        <f ca="1"/>
        <v>0</v>
      </c>
      <c r="V246" s="1968">
        <f ca="1"/>
        <v>0</v>
      </c>
      <c r="W246" s="1968">
        <f ca="1"/>
        <v>0</v>
      </c>
      <c r="X246" s="1968">
        <f ca="1"/>
        <v>0</v>
      </c>
      <c r="Y246" s="1986">
        <f ca="1"/>
        <v>0</v>
      </c>
    </row>
    <row r="247" spans="1:25">
      <c r="A247" s="1971" t="str">
        <v>10 meses antes</v>
      </c>
      <c r="B247" s="1967"/>
      <c r="C247" s="1967"/>
      <c r="D247" s="592">
        <f t="array" aca="1" ref="D247:O247" ca="1">B27:M27*Produccion!$D$15</f>
        <v>0</v>
      </c>
      <c r="E247" s="592">
        <f ca="1"/>
        <v>0</v>
      </c>
      <c r="F247" s="592">
        <f ca="1"/>
        <v>0</v>
      </c>
      <c r="G247" s="592">
        <f ca="1"/>
        <v>0</v>
      </c>
      <c r="H247" s="592">
        <f ca="1"/>
        <v>0</v>
      </c>
      <c r="I247" s="592">
        <f ca="1"/>
        <v>0</v>
      </c>
      <c r="J247" s="592">
        <f ca="1"/>
        <v>0</v>
      </c>
      <c r="K247" s="592">
        <f ca="1"/>
        <v>0</v>
      </c>
      <c r="L247" s="592">
        <f ca="1"/>
        <v>0</v>
      </c>
      <c r="M247" s="592">
        <f ca="1"/>
        <v>0</v>
      </c>
      <c r="N247" s="592">
        <f ca="1"/>
        <v>0</v>
      </c>
      <c r="O247" s="592">
        <f ca="1"/>
        <v>0</v>
      </c>
      <c r="P247" s="1968">
        <f t="array" aca="1" ref="P247:P249" ca="1">'Distr CV 4'!D247:D249</f>
        <v>0</v>
      </c>
      <c r="Q247" s="1968">
        <f ca="1"/>
        <v>0</v>
      </c>
      <c r="R247" s="1968">
        <f ca="1"/>
        <v>0</v>
      </c>
      <c r="S247" s="1968">
        <f ca="1"/>
        <v>0</v>
      </c>
      <c r="T247" s="1968">
        <f ca="1"/>
        <v>0</v>
      </c>
      <c r="U247" s="1968">
        <f ca="1"/>
        <v>0</v>
      </c>
      <c r="V247" s="1968">
        <f ca="1"/>
        <v>0</v>
      </c>
      <c r="W247" s="1968">
        <f ca="1"/>
        <v>0</v>
      </c>
      <c r="X247" s="1968">
        <f ca="1"/>
        <v>0</v>
      </c>
      <c r="Y247" s="1986">
        <f ca="1"/>
        <v>0</v>
      </c>
    </row>
    <row r="248" spans="1:25">
      <c r="A248" s="1971" t="str">
        <v>11 meses antes</v>
      </c>
      <c r="B248" s="1967"/>
      <c r="C248" s="592">
        <f t="array" aca="1" ref="C248:N248" ca="1">B27:M27*Produccion!$C$15</f>
        <v>0</v>
      </c>
      <c r="D248" s="592">
        <f ca="1"/>
        <v>0</v>
      </c>
      <c r="E248" s="592">
        <f ca="1"/>
        <v>0</v>
      </c>
      <c r="F248" s="592">
        <f ca="1"/>
        <v>0</v>
      </c>
      <c r="G248" s="592">
        <f ca="1"/>
        <v>0</v>
      </c>
      <c r="H248" s="592">
        <f ca="1"/>
        <v>0</v>
      </c>
      <c r="I248" s="592">
        <f ca="1"/>
        <v>0</v>
      </c>
      <c r="J248" s="592">
        <f ca="1"/>
        <v>0</v>
      </c>
      <c r="K248" s="592">
        <f ca="1"/>
        <v>0</v>
      </c>
      <c r="L248" s="592">
        <f ca="1"/>
        <v>0</v>
      </c>
      <c r="M248" s="592">
        <f ca="1"/>
        <v>0</v>
      </c>
      <c r="N248" s="592">
        <f ca="1"/>
        <v>0</v>
      </c>
      <c r="O248" s="1968">
        <f ca="1">'Distr CV 4'!C248</f>
        <v>0</v>
      </c>
      <c r="P248" s="1968">
        <f ca="1"/>
        <v>0</v>
      </c>
      <c r="Q248" s="1968">
        <f ca="1"/>
        <v>0</v>
      </c>
      <c r="R248" s="1968">
        <f ca="1"/>
        <v>0</v>
      </c>
      <c r="S248" s="1968">
        <f ca="1"/>
        <v>0</v>
      </c>
      <c r="T248" s="1968">
        <f ca="1"/>
        <v>0</v>
      </c>
      <c r="U248" s="1968">
        <f ca="1"/>
        <v>0</v>
      </c>
      <c r="V248" s="1968">
        <f ca="1"/>
        <v>0</v>
      </c>
      <c r="W248" s="1968">
        <f ca="1"/>
        <v>0</v>
      </c>
      <c r="X248" s="1968">
        <f ca="1"/>
        <v>0</v>
      </c>
      <c r="Y248" s="1986">
        <f ca="1"/>
        <v>0</v>
      </c>
    </row>
    <row r="249" spans="1:25" ht="13.5" thickBot="1">
      <c r="A249" s="1971" t="str">
        <v>12 meses antes</v>
      </c>
      <c r="B249" s="592">
        <f t="array" aca="1" ref="B249:M249" ca="1">B27:M27*Produccion!$B$15</f>
        <v>0</v>
      </c>
      <c r="C249" s="592">
        <f ca="1"/>
        <v>0</v>
      </c>
      <c r="D249" s="592">
        <f ca="1"/>
        <v>0</v>
      </c>
      <c r="E249" s="592">
        <f ca="1"/>
        <v>0</v>
      </c>
      <c r="F249" s="592">
        <f ca="1"/>
        <v>0</v>
      </c>
      <c r="G249" s="592">
        <f ca="1"/>
        <v>0</v>
      </c>
      <c r="H249" s="592">
        <f ca="1"/>
        <v>0</v>
      </c>
      <c r="I249" s="592">
        <f ca="1"/>
        <v>0</v>
      </c>
      <c r="J249" s="592">
        <f ca="1"/>
        <v>0</v>
      </c>
      <c r="K249" s="592">
        <f ca="1"/>
        <v>0</v>
      </c>
      <c r="L249" s="592">
        <f ca="1"/>
        <v>0</v>
      </c>
      <c r="M249" s="592">
        <f ca="1"/>
        <v>0</v>
      </c>
      <c r="N249" s="1967">
        <f ca="1">'Distr CV 4'!B249</f>
        <v>0</v>
      </c>
      <c r="O249" s="1968">
        <f ca="1">'Distr CV 4'!C249</f>
        <v>0</v>
      </c>
      <c r="P249" s="1968">
        <f ca="1"/>
        <v>0</v>
      </c>
      <c r="Q249" s="1968">
        <f ca="1"/>
        <v>0</v>
      </c>
      <c r="R249" s="1968">
        <f ca="1"/>
        <v>0</v>
      </c>
      <c r="S249" s="1968">
        <f ca="1"/>
        <v>0</v>
      </c>
      <c r="T249" s="1968">
        <f ca="1"/>
        <v>0</v>
      </c>
      <c r="U249" s="1968">
        <f ca="1"/>
        <v>0</v>
      </c>
      <c r="V249" s="1968">
        <f ca="1"/>
        <v>0</v>
      </c>
      <c r="W249" s="1968">
        <f ca="1"/>
        <v>0</v>
      </c>
      <c r="X249" s="1968">
        <f ca="1"/>
        <v>0</v>
      </c>
      <c r="Y249" s="1986">
        <f ca="1"/>
        <v>0</v>
      </c>
    </row>
    <row r="250" spans="1:25" ht="13.5" thickBot="1">
      <c r="A250" s="103" t="str">
        <f>"Totales CV "&amp;A$15</f>
        <v xml:space="preserve">Totales CV </v>
      </c>
      <c r="B250" s="596">
        <f t="shared" ref="B250:Y250" ca="1" si="17">SUM(B237:B249)</f>
        <v>0</v>
      </c>
      <c r="C250" s="596">
        <f t="shared" ca="1" si="17"/>
        <v>0</v>
      </c>
      <c r="D250" s="596">
        <f t="shared" ca="1" si="17"/>
        <v>0</v>
      </c>
      <c r="E250" s="596">
        <f t="shared" ca="1" si="17"/>
        <v>0</v>
      </c>
      <c r="F250" s="596">
        <f t="shared" ca="1" si="17"/>
        <v>0</v>
      </c>
      <c r="G250" s="596">
        <f t="shared" ca="1" si="17"/>
        <v>0</v>
      </c>
      <c r="H250" s="596">
        <f t="shared" ca="1" si="17"/>
        <v>0</v>
      </c>
      <c r="I250" s="596">
        <f t="shared" ca="1" si="17"/>
        <v>0</v>
      </c>
      <c r="J250" s="596">
        <f t="shared" ca="1" si="17"/>
        <v>0</v>
      </c>
      <c r="K250" s="596">
        <f t="shared" ca="1" si="17"/>
        <v>0</v>
      </c>
      <c r="L250" s="596">
        <f t="shared" ca="1" si="17"/>
        <v>0</v>
      </c>
      <c r="M250" s="596">
        <f t="shared" ca="1" si="17"/>
        <v>0</v>
      </c>
      <c r="N250" s="596">
        <f t="shared" ca="1" si="17"/>
        <v>0</v>
      </c>
      <c r="O250" s="596">
        <f t="shared" ca="1" si="17"/>
        <v>0</v>
      </c>
      <c r="P250" s="596">
        <f t="shared" ca="1" si="17"/>
        <v>0</v>
      </c>
      <c r="Q250" s="596">
        <f t="shared" ca="1" si="17"/>
        <v>0</v>
      </c>
      <c r="R250" s="596">
        <f t="shared" ca="1" si="17"/>
        <v>0</v>
      </c>
      <c r="S250" s="596">
        <f t="shared" ca="1" si="17"/>
        <v>0</v>
      </c>
      <c r="T250" s="596">
        <f t="shared" ca="1" si="17"/>
        <v>0</v>
      </c>
      <c r="U250" s="596">
        <f t="shared" ca="1" si="17"/>
        <v>0</v>
      </c>
      <c r="V250" s="596">
        <f t="shared" ca="1" si="17"/>
        <v>0</v>
      </c>
      <c r="W250" s="596">
        <f t="shared" ca="1" si="17"/>
        <v>0</v>
      </c>
      <c r="X250" s="596">
        <f t="shared" ca="1" si="17"/>
        <v>0</v>
      </c>
      <c r="Y250" s="1984">
        <f t="shared" ca="1" si="17"/>
        <v>0</v>
      </c>
    </row>
    <row r="251" spans="1:25" ht="13.5" thickBot="1">
      <c r="A251" s="103" t="str">
        <f>'Datos Básicos'!A28&amp;" sop. CV "&amp;$A$15</f>
        <v xml:space="preserve">IVA sop. CV </v>
      </c>
      <c r="B251" s="596">
        <f t="array" aca="1" ref="B251:Y251" ca="1">$K$235*B250:Y250</f>
        <v>0</v>
      </c>
      <c r="C251" s="596">
        <f ca="1"/>
        <v>0</v>
      </c>
      <c r="D251" s="596">
        <f ca="1"/>
        <v>0</v>
      </c>
      <c r="E251" s="596">
        <f ca="1"/>
        <v>0</v>
      </c>
      <c r="F251" s="596">
        <f ca="1"/>
        <v>0</v>
      </c>
      <c r="G251" s="596">
        <f ca="1"/>
        <v>0</v>
      </c>
      <c r="H251" s="596">
        <f ca="1"/>
        <v>0</v>
      </c>
      <c r="I251" s="596">
        <f ca="1"/>
        <v>0</v>
      </c>
      <c r="J251" s="596">
        <f ca="1"/>
        <v>0</v>
      </c>
      <c r="K251" s="596">
        <f ca="1"/>
        <v>0</v>
      </c>
      <c r="L251" s="596">
        <f ca="1"/>
        <v>0</v>
      </c>
      <c r="M251" s="596">
        <f ca="1"/>
        <v>0</v>
      </c>
      <c r="N251" s="596">
        <f ca="1"/>
        <v>0</v>
      </c>
      <c r="O251" s="596">
        <f ca="1"/>
        <v>0</v>
      </c>
      <c r="P251" s="596">
        <f ca="1"/>
        <v>0</v>
      </c>
      <c r="Q251" s="596">
        <f ca="1"/>
        <v>0</v>
      </c>
      <c r="R251" s="596">
        <f ca="1"/>
        <v>0</v>
      </c>
      <c r="S251" s="596">
        <f ca="1"/>
        <v>0</v>
      </c>
      <c r="T251" s="596">
        <f ca="1"/>
        <v>0</v>
      </c>
      <c r="U251" s="596">
        <f ca="1"/>
        <v>0</v>
      </c>
      <c r="V251" s="596">
        <f ca="1"/>
        <v>0</v>
      </c>
      <c r="W251" s="596">
        <f ca="1"/>
        <v>0</v>
      </c>
      <c r="X251" s="596">
        <f ca="1"/>
        <v>0</v>
      </c>
      <c r="Y251" s="1984">
        <f ca="1"/>
        <v>0</v>
      </c>
    </row>
  </sheetData>
  <sheetProtection sheet="1" objects="1" scenarios="1"/>
  <phoneticPr fontId="6" type="noConversion"/>
  <printOptions horizontalCentered="1" verticalCentered="1"/>
  <pageMargins left="0.38" right="0.19685039370078741" top="0.53" bottom="0.71" header="0.51181102362204722" footer="0.39370078740157483"/>
  <pageSetup paperSize="9" scale="26" fitToHeight="2" orientation="landscape" horizontalDpi="300" verticalDpi="300" r:id="rId1"/>
  <headerFooter alignWithMargins="0">
    <oddFooter>&amp;C&amp;"Tahoma,Normal"&amp;10&amp;A</oddFooter>
  </headerFooter>
  <rowBreaks count="1" manualBreakCount="1">
    <brk id="73"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66">
    <tabColor indexed="10"/>
    <pageSetUpPr fitToPage="1"/>
  </sheetPr>
  <dimension ref="A1:Z251"/>
  <sheetViews>
    <sheetView workbookViewId="0"/>
  </sheetViews>
  <sheetFormatPr baseColWidth="10" defaultColWidth="11" defaultRowHeight="12.75"/>
  <cols>
    <col min="1" max="1" width="24" style="232" customWidth="1"/>
    <col min="2" max="2" width="11.375" style="60" customWidth="1"/>
    <col min="3" max="4" width="11.375" style="61" customWidth="1"/>
    <col min="5" max="5" width="10.375" style="61" customWidth="1"/>
    <col min="6" max="14" width="11.375" style="61" customWidth="1"/>
    <col min="15" max="15" width="11.5" style="232" customWidth="1"/>
    <col min="16" max="16384" width="11" style="61"/>
  </cols>
  <sheetData>
    <row r="1" spans="1:15" ht="22.5">
      <c r="A1" s="67" t="s">
        <v>876</v>
      </c>
      <c r="K1" s="2681" t="str">
        <f>Parametros!F$77</f>
        <v>Año 4:  2030</v>
      </c>
      <c r="L1" s="421"/>
    </row>
    <row r="2" spans="1:15" ht="22.5">
      <c r="A2" s="67" t="str">
        <f>'Datos Básicos'!B9</f>
        <v>nombre empresa</v>
      </c>
    </row>
    <row r="3" spans="1:15" ht="14.25" customHeight="1">
      <c r="A3" s="59"/>
    </row>
    <row r="4" spans="1:15" ht="14.25" customHeight="1">
      <c r="A4" s="59"/>
    </row>
    <row r="5" spans="1:15" ht="14.25" customHeight="1">
      <c r="A5" s="59"/>
    </row>
    <row r="6" spans="1:15" ht="24" customHeight="1" thickBot="1">
      <c r="A6" s="422" t="str">
        <f>'Distr CV 0'!A6</f>
        <v>Previsión de unidades vendidas</v>
      </c>
    </row>
    <row r="7" spans="1:15" s="447" customFormat="1" ht="15.75" customHeight="1" thickBot="1">
      <c r="A7" s="446" t="str">
        <f>'Distr CV 0'!A7</f>
        <v>Ventas (Unidades)</v>
      </c>
      <c r="B7" s="444" t="str">
        <f t="array" ref="B7:M7">meses</f>
        <v>enero</v>
      </c>
      <c r="C7" s="440" t="str">
        <v>febrero</v>
      </c>
      <c r="D7" s="440" t="str">
        <v>marzo</v>
      </c>
      <c r="E7" s="440" t="str">
        <v>abril</v>
      </c>
      <c r="F7" s="440" t="str">
        <v>mayo</v>
      </c>
      <c r="G7" s="440" t="str">
        <v>junio</v>
      </c>
      <c r="H7" s="440" t="str">
        <v>julio</v>
      </c>
      <c r="I7" s="440" t="str">
        <v>agosto</v>
      </c>
      <c r="J7" s="440" t="str">
        <v>septiembre</v>
      </c>
      <c r="K7" s="440" t="str">
        <v>octubre</v>
      </c>
      <c r="L7" s="440" t="str">
        <v>noviembre</v>
      </c>
      <c r="M7" s="441" t="str">
        <v>diciembre</v>
      </c>
      <c r="N7" s="438" t="s">
        <v>15</v>
      </c>
    </row>
    <row r="8" spans="1:15" ht="15.75" customHeight="1">
      <c r="A8" s="1972" t="str">
        <f t="array" ref="A8:A15">productos</f>
        <v>producto o servicio</v>
      </c>
      <c r="B8" s="578">
        <f t="array" aca="1" ref="B8:M15" ca="1">'Prev.Ventas 4'!B5:M12</f>
        <v>874.1816</v>
      </c>
      <c r="C8" s="579">
        <f ca="1"/>
        <v>1092.7270000000001</v>
      </c>
      <c r="D8" s="579">
        <f ca="1"/>
        <v>1201.9997000000001</v>
      </c>
      <c r="E8" s="579">
        <f ca="1"/>
        <v>1147.3633499999999</v>
      </c>
      <c r="F8" s="579">
        <f ca="1"/>
        <v>983.4543000000001</v>
      </c>
      <c r="G8" s="579">
        <f ca="1"/>
        <v>928.81795</v>
      </c>
      <c r="H8" s="579">
        <f ca="1"/>
        <v>874.1816</v>
      </c>
      <c r="I8" s="579">
        <f ca="1"/>
        <v>655.63620000000003</v>
      </c>
      <c r="J8" s="579">
        <f ca="1"/>
        <v>874.1816</v>
      </c>
      <c r="K8" s="579">
        <f ca="1"/>
        <v>1038.0906500000001</v>
      </c>
      <c r="L8" s="579">
        <f ca="1"/>
        <v>1092.7270000000001</v>
      </c>
      <c r="M8" s="601">
        <f ca="1"/>
        <v>1311.2724000000001</v>
      </c>
      <c r="N8" s="580">
        <f t="shared" ref="N8:N15" ca="1" si="0">SUM(B8:M8)</f>
        <v>12074.63335</v>
      </c>
      <c r="O8" s="61"/>
    </row>
    <row r="9" spans="1:15" ht="15.75" customHeight="1">
      <c r="A9" s="1973" t="str">
        <v/>
      </c>
      <c r="B9" s="581">
        <f ca="1"/>
        <v>0</v>
      </c>
      <c r="C9" s="582">
        <f ca="1"/>
        <v>0</v>
      </c>
      <c r="D9" s="582">
        <f ca="1"/>
        <v>0</v>
      </c>
      <c r="E9" s="582">
        <f ca="1"/>
        <v>0</v>
      </c>
      <c r="F9" s="582">
        <f ca="1"/>
        <v>0</v>
      </c>
      <c r="G9" s="582">
        <f ca="1"/>
        <v>0</v>
      </c>
      <c r="H9" s="582">
        <f ca="1"/>
        <v>0</v>
      </c>
      <c r="I9" s="582">
        <f ca="1"/>
        <v>0</v>
      </c>
      <c r="J9" s="582">
        <f ca="1"/>
        <v>0</v>
      </c>
      <c r="K9" s="582">
        <f ca="1"/>
        <v>0</v>
      </c>
      <c r="L9" s="582">
        <f ca="1"/>
        <v>0</v>
      </c>
      <c r="M9" s="602">
        <f ca="1"/>
        <v>0</v>
      </c>
      <c r="N9" s="583">
        <f t="shared" ca="1" si="0"/>
        <v>0</v>
      </c>
      <c r="O9" s="61"/>
    </row>
    <row r="10" spans="1:15" ht="15.75" customHeight="1">
      <c r="A10" s="1973" t="str">
        <v/>
      </c>
      <c r="B10" s="581">
        <f ca="1"/>
        <v>0</v>
      </c>
      <c r="C10" s="582">
        <f ca="1"/>
        <v>0</v>
      </c>
      <c r="D10" s="582">
        <f ca="1"/>
        <v>0</v>
      </c>
      <c r="E10" s="582">
        <f ca="1"/>
        <v>0</v>
      </c>
      <c r="F10" s="582">
        <f ca="1"/>
        <v>0</v>
      </c>
      <c r="G10" s="582">
        <f ca="1"/>
        <v>0</v>
      </c>
      <c r="H10" s="582">
        <f ca="1"/>
        <v>0</v>
      </c>
      <c r="I10" s="582">
        <f ca="1"/>
        <v>0</v>
      </c>
      <c r="J10" s="582">
        <f ca="1"/>
        <v>0</v>
      </c>
      <c r="K10" s="582">
        <f ca="1"/>
        <v>0</v>
      </c>
      <c r="L10" s="582">
        <f ca="1"/>
        <v>0</v>
      </c>
      <c r="M10" s="602">
        <f ca="1"/>
        <v>0</v>
      </c>
      <c r="N10" s="583">
        <f t="shared" ca="1" si="0"/>
        <v>0</v>
      </c>
      <c r="O10" s="61"/>
    </row>
    <row r="11" spans="1:15" ht="15.75" customHeight="1">
      <c r="A11" s="1973" t="str">
        <v/>
      </c>
      <c r="B11" s="581">
        <f ca="1"/>
        <v>0</v>
      </c>
      <c r="C11" s="582">
        <f ca="1"/>
        <v>0</v>
      </c>
      <c r="D11" s="582">
        <f ca="1"/>
        <v>0</v>
      </c>
      <c r="E11" s="582">
        <f ca="1"/>
        <v>0</v>
      </c>
      <c r="F11" s="582">
        <f ca="1"/>
        <v>0</v>
      </c>
      <c r="G11" s="582">
        <f ca="1"/>
        <v>0</v>
      </c>
      <c r="H11" s="582">
        <f ca="1"/>
        <v>0</v>
      </c>
      <c r="I11" s="582">
        <f ca="1"/>
        <v>0</v>
      </c>
      <c r="J11" s="582">
        <f ca="1"/>
        <v>0</v>
      </c>
      <c r="K11" s="582">
        <f ca="1"/>
        <v>0</v>
      </c>
      <c r="L11" s="582">
        <f ca="1"/>
        <v>0</v>
      </c>
      <c r="M11" s="602">
        <f ca="1"/>
        <v>0</v>
      </c>
      <c r="N11" s="583">
        <f t="shared" ca="1" si="0"/>
        <v>0</v>
      </c>
      <c r="O11" s="61"/>
    </row>
    <row r="12" spans="1:15" ht="15.75" customHeight="1">
      <c r="A12" s="1973" t="str">
        <v/>
      </c>
      <c r="B12" s="581">
        <f ca="1"/>
        <v>0</v>
      </c>
      <c r="C12" s="582">
        <f ca="1"/>
        <v>0</v>
      </c>
      <c r="D12" s="582">
        <f ca="1"/>
        <v>0</v>
      </c>
      <c r="E12" s="582">
        <f ca="1"/>
        <v>0</v>
      </c>
      <c r="F12" s="582">
        <f ca="1"/>
        <v>0</v>
      </c>
      <c r="G12" s="582">
        <f ca="1"/>
        <v>0</v>
      </c>
      <c r="H12" s="582">
        <f ca="1"/>
        <v>0</v>
      </c>
      <c r="I12" s="582">
        <f ca="1"/>
        <v>0</v>
      </c>
      <c r="J12" s="582">
        <f ca="1"/>
        <v>0</v>
      </c>
      <c r="K12" s="582">
        <f ca="1"/>
        <v>0</v>
      </c>
      <c r="L12" s="582">
        <f ca="1"/>
        <v>0</v>
      </c>
      <c r="M12" s="602">
        <f ca="1"/>
        <v>0</v>
      </c>
      <c r="N12" s="583">
        <f t="shared" ca="1" si="0"/>
        <v>0</v>
      </c>
      <c r="O12" s="61"/>
    </row>
    <row r="13" spans="1:15" ht="15.75" customHeight="1">
      <c r="A13" s="1973" t="str">
        <v/>
      </c>
      <c r="B13" s="581">
        <f ca="1"/>
        <v>0</v>
      </c>
      <c r="C13" s="582">
        <f ca="1"/>
        <v>0</v>
      </c>
      <c r="D13" s="582">
        <f ca="1"/>
        <v>0</v>
      </c>
      <c r="E13" s="582">
        <f ca="1"/>
        <v>0</v>
      </c>
      <c r="F13" s="582">
        <f ca="1"/>
        <v>0</v>
      </c>
      <c r="G13" s="582">
        <f ca="1"/>
        <v>0</v>
      </c>
      <c r="H13" s="582">
        <f ca="1"/>
        <v>0</v>
      </c>
      <c r="I13" s="582">
        <f ca="1"/>
        <v>0</v>
      </c>
      <c r="J13" s="582">
        <f ca="1"/>
        <v>0</v>
      </c>
      <c r="K13" s="582">
        <f ca="1"/>
        <v>0</v>
      </c>
      <c r="L13" s="582">
        <f ca="1"/>
        <v>0</v>
      </c>
      <c r="M13" s="602">
        <f ca="1"/>
        <v>0</v>
      </c>
      <c r="N13" s="583">
        <f t="shared" ca="1" si="0"/>
        <v>0</v>
      </c>
      <c r="O13" s="61"/>
    </row>
    <row r="14" spans="1:15" ht="15.75" customHeight="1">
      <c r="A14" s="1973" t="str">
        <v/>
      </c>
      <c r="B14" s="581">
        <f ca="1"/>
        <v>0</v>
      </c>
      <c r="C14" s="582">
        <f ca="1"/>
        <v>0</v>
      </c>
      <c r="D14" s="582">
        <f ca="1"/>
        <v>0</v>
      </c>
      <c r="E14" s="582">
        <f ca="1"/>
        <v>0</v>
      </c>
      <c r="F14" s="582">
        <f ca="1"/>
        <v>0</v>
      </c>
      <c r="G14" s="582">
        <f ca="1"/>
        <v>0</v>
      </c>
      <c r="H14" s="582">
        <f ca="1"/>
        <v>0</v>
      </c>
      <c r="I14" s="582">
        <f ca="1"/>
        <v>0</v>
      </c>
      <c r="J14" s="582">
        <f ca="1"/>
        <v>0</v>
      </c>
      <c r="K14" s="582">
        <f ca="1"/>
        <v>0</v>
      </c>
      <c r="L14" s="582">
        <f ca="1"/>
        <v>0</v>
      </c>
      <c r="M14" s="602">
        <f ca="1"/>
        <v>0</v>
      </c>
      <c r="N14" s="583">
        <f t="shared" ca="1" si="0"/>
        <v>0</v>
      </c>
      <c r="O14" s="61"/>
    </row>
    <row r="15" spans="1:15" ht="15.75" customHeight="1" thickBot="1">
      <c r="A15" s="1974" t="str">
        <v/>
      </c>
      <c r="B15" s="584">
        <f ca="1"/>
        <v>0</v>
      </c>
      <c r="C15" s="585">
        <f ca="1"/>
        <v>0</v>
      </c>
      <c r="D15" s="585">
        <f ca="1"/>
        <v>0</v>
      </c>
      <c r="E15" s="585">
        <f ca="1"/>
        <v>0</v>
      </c>
      <c r="F15" s="585">
        <f ca="1"/>
        <v>0</v>
      </c>
      <c r="G15" s="585">
        <f ca="1"/>
        <v>0</v>
      </c>
      <c r="H15" s="585">
        <f ca="1"/>
        <v>0</v>
      </c>
      <c r="I15" s="585">
        <f ca="1"/>
        <v>0</v>
      </c>
      <c r="J15" s="585">
        <f ca="1"/>
        <v>0</v>
      </c>
      <c r="K15" s="585">
        <f ca="1"/>
        <v>0</v>
      </c>
      <c r="L15" s="585">
        <f ca="1"/>
        <v>0</v>
      </c>
      <c r="M15" s="603">
        <f ca="1"/>
        <v>0</v>
      </c>
      <c r="N15" s="586">
        <f t="shared" ca="1" si="0"/>
        <v>0</v>
      </c>
      <c r="O15" s="61"/>
    </row>
    <row r="16" spans="1:15" ht="15">
      <c r="A16" s="72"/>
    </row>
    <row r="17" spans="1:15" ht="15">
      <c r="A17" s="213"/>
    </row>
    <row r="18" spans="1:15" ht="18.75" thickBot="1">
      <c r="A18" s="1969" t="str">
        <f>'Distr CV 0'!A18</f>
        <v>Previsión de costes de producción de las unidades vendidas</v>
      </c>
      <c r="G18" s="2710" t="str">
        <f>$K$1</f>
        <v>Año 4:  2030</v>
      </c>
      <c r="I18" s="1969" t="str">
        <f>'Distr CV 0'!I18</f>
        <v>IVA NO incluido</v>
      </c>
    </row>
    <row r="19" spans="1:15" s="445" customFormat="1" ht="15.75" customHeight="1" thickBot="1">
      <c r="A19" s="446" t="str">
        <f>'Distr CV 0'!A19</f>
        <v>Costes producción</v>
      </c>
      <c r="B19" s="444" t="str">
        <f t="array" ref="B19:M19">meses</f>
        <v>enero</v>
      </c>
      <c r="C19" s="440" t="str">
        <v>febrero</v>
      </c>
      <c r="D19" s="440" t="str">
        <v>marzo</v>
      </c>
      <c r="E19" s="440" t="str">
        <v>abril</v>
      </c>
      <c r="F19" s="440" t="str">
        <v>mayo</v>
      </c>
      <c r="G19" s="440" t="str">
        <v>junio</v>
      </c>
      <c r="H19" s="440" t="str">
        <v>julio</v>
      </c>
      <c r="I19" s="440" t="str">
        <v>agosto</v>
      </c>
      <c r="J19" s="440" t="str">
        <v>septiembre</v>
      </c>
      <c r="K19" s="440" t="str">
        <v>octubre</v>
      </c>
      <c r="L19" s="440" t="str">
        <v>noviembre</v>
      </c>
      <c r="M19" s="441" t="str">
        <v>diciembre</v>
      </c>
      <c r="N19" s="438" t="str">
        <f>N$7</f>
        <v>Totales</v>
      </c>
    </row>
    <row r="20" spans="1:15" ht="15.75" customHeight="1">
      <c r="A20" s="1972" t="str">
        <f t="array" ref="A20:A27">productos</f>
        <v>producto o servicio</v>
      </c>
      <c r="B20" s="587">
        <f t="array" aca="1" ref="B20:M27" ca="1">B8:M15*'Precios-CV'!$J19:$J26</f>
        <v>305.96356000000003</v>
      </c>
      <c r="C20" s="588">
        <f ca="1"/>
        <v>382.45445000000007</v>
      </c>
      <c r="D20" s="588">
        <f ca="1"/>
        <v>420.69989500000008</v>
      </c>
      <c r="E20" s="588">
        <f ca="1"/>
        <v>401.57717249999996</v>
      </c>
      <c r="F20" s="588">
        <f ca="1"/>
        <v>344.20900500000005</v>
      </c>
      <c r="G20" s="588">
        <f ca="1"/>
        <v>325.08628250000004</v>
      </c>
      <c r="H20" s="588">
        <f ca="1"/>
        <v>305.96356000000003</v>
      </c>
      <c r="I20" s="588">
        <f ca="1"/>
        <v>229.47267000000002</v>
      </c>
      <c r="J20" s="588">
        <f ca="1"/>
        <v>305.96356000000003</v>
      </c>
      <c r="K20" s="588">
        <f ca="1"/>
        <v>363.33172750000006</v>
      </c>
      <c r="L20" s="588">
        <f ca="1"/>
        <v>382.45445000000007</v>
      </c>
      <c r="M20" s="598">
        <f ca="1"/>
        <v>458.94534000000004</v>
      </c>
      <c r="N20" s="580">
        <f t="shared" ref="N20:N39" ca="1" si="1">SUM(B20:M20)</f>
        <v>4226.1216725000004</v>
      </c>
      <c r="O20" s="61"/>
    </row>
    <row r="21" spans="1:15" ht="15.75" customHeight="1">
      <c r="A21" s="1973" t="str">
        <v/>
      </c>
      <c r="B21" s="589">
        <f ca="1"/>
        <v>0</v>
      </c>
      <c r="C21" s="590">
        <f ca="1"/>
        <v>0</v>
      </c>
      <c r="D21" s="590">
        <f ca="1"/>
        <v>0</v>
      </c>
      <c r="E21" s="590">
        <f ca="1"/>
        <v>0</v>
      </c>
      <c r="F21" s="590">
        <f ca="1"/>
        <v>0</v>
      </c>
      <c r="G21" s="590">
        <f ca="1"/>
        <v>0</v>
      </c>
      <c r="H21" s="590">
        <f ca="1"/>
        <v>0</v>
      </c>
      <c r="I21" s="590">
        <f ca="1"/>
        <v>0</v>
      </c>
      <c r="J21" s="590">
        <f ca="1"/>
        <v>0</v>
      </c>
      <c r="K21" s="590">
        <f ca="1"/>
        <v>0</v>
      </c>
      <c r="L21" s="590">
        <f ca="1"/>
        <v>0</v>
      </c>
      <c r="M21" s="599">
        <f ca="1"/>
        <v>0</v>
      </c>
      <c r="N21" s="583">
        <f t="shared" ca="1" si="1"/>
        <v>0</v>
      </c>
      <c r="O21" s="61"/>
    </row>
    <row r="22" spans="1:15" ht="15.75" customHeight="1">
      <c r="A22" s="1973" t="str">
        <v/>
      </c>
      <c r="B22" s="589">
        <f ca="1"/>
        <v>0</v>
      </c>
      <c r="C22" s="590">
        <f ca="1"/>
        <v>0</v>
      </c>
      <c r="D22" s="590">
        <f ca="1"/>
        <v>0</v>
      </c>
      <c r="E22" s="590">
        <f ca="1"/>
        <v>0</v>
      </c>
      <c r="F22" s="590">
        <f ca="1"/>
        <v>0</v>
      </c>
      <c r="G22" s="590">
        <f ca="1"/>
        <v>0</v>
      </c>
      <c r="H22" s="590">
        <f ca="1"/>
        <v>0</v>
      </c>
      <c r="I22" s="590">
        <f ca="1"/>
        <v>0</v>
      </c>
      <c r="J22" s="590">
        <f ca="1"/>
        <v>0</v>
      </c>
      <c r="K22" s="590">
        <f ca="1"/>
        <v>0</v>
      </c>
      <c r="L22" s="590">
        <f ca="1"/>
        <v>0</v>
      </c>
      <c r="M22" s="599">
        <f ca="1"/>
        <v>0</v>
      </c>
      <c r="N22" s="583">
        <f t="shared" ca="1" si="1"/>
        <v>0</v>
      </c>
      <c r="O22" s="61"/>
    </row>
    <row r="23" spans="1:15" ht="15.75" customHeight="1">
      <c r="A23" s="1973" t="str">
        <v/>
      </c>
      <c r="B23" s="589">
        <f ca="1"/>
        <v>0</v>
      </c>
      <c r="C23" s="590">
        <f ca="1"/>
        <v>0</v>
      </c>
      <c r="D23" s="590">
        <f ca="1"/>
        <v>0</v>
      </c>
      <c r="E23" s="590">
        <f ca="1"/>
        <v>0</v>
      </c>
      <c r="F23" s="590">
        <f ca="1"/>
        <v>0</v>
      </c>
      <c r="G23" s="590">
        <f ca="1"/>
        <v>0</v>
      </c>
      <c r="H23" s="590">
        <f ca="1"/>
        <v>0</v>
      </c>
      <c r="I23" s="590">
        <f ca="1"/>
        <v>0</v>
      </c>
      <c r="J23" s="590">
        <f ca="1"/>
        <v>0</v>
      </c>
      <c r="K23" s="590">
        <f ca="1"/>
        <v>0</v>
      </c>
      <c r="L23" s="590">
        <f ca="1"/>
        <v>0</v>
      </c>
      <c r="M23" s="599">
        <f ca="1"/>
        <v>0</v>
      </c>
      <c r="N23" s="583">
        <f t="shared" ca="1" si="1"/>
        <v>0</v>
      </c>
      <c r="O23" s="61"/>
    </row>
    <row r="24" spans="1:15" ht="15.75" customHeight="1">
      <c r="A24" s="1973" t="str">
        <v/>
      </c>
      <c r="B24" s="589">
        <f ca="1"/>
        <v>0</v>
      </c>
      <c r="C24" s="590">
        <f ca="1"/>
        <v>0</v>
      </c>
      <c r="D24" s="590">
        <f ca="1"/>
        <v>0</v>
      </c>
      <c r="E24" s="590">
        <f ca="1"/>
        <v>0</v>
      </c>
      <c r="F24" s="590">
        <f ca="1"/>
        <v>0</v>
      </c>
      <c r="G24" s="590">
        <f ca="1"/>
        <v>0</v>
      </c>
      <c r="H24" s="590">
        <f ca="1"/>
        <v>0</v>
      </c>
      <c r="I24" s="590">
        <f ca="1"/>
        <v>0</v>
      </c>
      <c r="J24" s="590">
        <f ca="1"/>
        <v>0</v>
      </c>
      <c r="K24" s="590">
        <f ca="1"/>
        <v>0</v>
      </c>
      <c r="L24" s="590">
        <f ca="1"/>
        <v>0</v>
      </c>
      <c r="M24" s="599">
        <f ca="1"/>
        <v>0</v>
      </c>
      <c r="N24" s="583">
        <f t="shared" ca="1" si="1"/>
        <v>0</v>
      </c>
      <c r="O24" s="61"/>
    </row>
    <row r="25" spans="1:15" ht="15.75" customHeight="1">
      <c r="A25" s="1973" t="str">
        <v/>
      </c>
      <c r="B25" s="589">
        <f ca="1"/>
        <v>0</v>
      </c>
      <c r="C25" s="590">
        <f ca="1"/>
        <v>0</v>
      </c>
      <c r="D25" s="590">
        <f ca="1"/>
        <v>0</v>
      </c>
      <c r="E25" s="590">
        <f ca="1"/>
        <v>0</v>
      </c>
      <c r="F25" s="590">
        <f ca="1"/>
        <v>0</v>
      </c>
      <c r="G25" s="590">
        <f ca="1"/>
        <v>0</v>
      </c>
      <c r="H25" s="590">
        <f ca="1"/>
        <v>0</v>
      </c>
      <c r="I25" s="590">
        <f ca="1"/>
        <v>0</v>
      </c>
      <c r="J25" s="590">
        <f ca="1"/>
        <v>0</v>
      </c>
      <c r="K25" s="590">
        <f ca="1"/>
        <v>0</v>
      </c>
      <c r="L25" s="590">
        <f ca="1"/>
        <v>0</v>
      </c>
      <c r="M25" s="599">
        <f ca="1"/>
        <v>0</v>
      </c>
      <c r="N25" s="583">
        <f t="shared" ca="1" si="1"/>
        <v>0</v>
      </c>
      <c r="O25" s="61"/>
    </row>
    <row r="26" spans="1:15" ht="15.75" customHeight="1">
      <c r="A26" s="1973" t="str">
        <v/>
      </c>
      <c r="B26" s="589">
        <f ca="1"/>
        <v>0</v>
      </c>
      <c r="C26" s="590">
        <f ca="1"/>
        <v>0</v>
      </c>
      <c r="D26" s="590">
        <f ca="1"/>
        <v>0</v>
      </c>
      <c r="E26" s="590">
        <f ca="1"/>
        <v>0</v>
      </c>
      <c r="F26" s="590">
        <f ca="1"/>
        <v>0</v>
      </c>
      <c r="G26" s="590">
        <f ca="1"/>
        <v>0</v>
      </c>
      <c r="H26" s="590">
        <f ca="1"/>
        <v>0</v>
      </c>
      <c r="I26" s="590">
        <f ca="1"/>
        <v>0</v>
      </c>
      <c r="J26" s="590">
        <f ca="1"/>
        <v>0</v>
      </c>
      <c r="K26" s="590">
        <f ca="1"/>
        <v>0</v>
      </c>
      <c r="L26" s="590">
        <f ca="1"/>
        <v>0</v>
      </c>
      <c r="M26" s="599">
        <f ca="1"/>
        <v>0</v>
      </c>
      <c r="N26" s="583">
        <f t="shared" ca="1" si="1"/>
        <v>0</v>
      </c>
      <c r="O26" s="61"/>
    </row>
    <row r="27" spans="1:15" ht="15.75" customHeight="1" thickBot="1">
      <c r="A27" s="1974" t="str">
        <v/>
      </c>
      <c r="B27" s="591">
        <f ca="1"/>
        <v>0</v>
      </c>
      <c r="C27" s="592">
        <f ca="1"/>
        <v>0</v>
      </c>
      <c r="D27" s="592">
        <f ca="1"/>
        <v>0</v>
      </c>
      <c r="E27" s="592">
        <f ca="1"/>
        <v>0</v>
      </c>
      <c r="F27" s="592">
        <f ca="1"/>
        <v>0</v>
      </c>
      <c r="G27" s="592">
        <f ca="1"/>
        <v>0</v>
      </c>
      <c r="H27" s="592">
        <f ca="1"/>
        <v>0</v>
      </c>
      <c r="I27" s="592">
        <f ca="1"/>
        <v>0</v>
      </c>
      <c r="J27" s="592">
        <f ca="1"/>
        <v>0</v>
      </c>
      <c r="K27" s="592">
        <f ca="1"/>
        <v>0</v>
      </c>
      <c r="L27" s="592">
        <f ca="1"/>
        <v>0</v>
      </c>
      <c r="M27" s="600">
        <f ca="1"/>
        <v>0</v>
      </c>
      <c r="N27" s="593">
        <f t="shared" ca="1" si="1"/>
        <v>0</v>
      </c>
      <c r="O27" s="61"/>
    </row>
    <row r="28" spans="1:15" ht="15.75" customHeight="1" thickBot="1">
      <c r="A28" s="103" t="s">
        <v>15</v>
      </c>
      <c r="B28" s="595">
        <f t="shared" ref="B28:M28" ca="1" si="2">SUM(B20:B27)</f>
        <v>305.96356000000003</v>
      </c>
      <c r="C28" s="596">
        <f t="shared" ca="1" si="2"/>
        <v>382.45445000000007</v>
      </c>
      <c r="D28" s="596">
        <f t="shared" ca="1" si="2"/>
        <v>420.69989500000008</v>
      </c>
      <c r="E28" s="596">
        <f t="shared" ca="1" si="2"/>
        <v>401.57717249999996</v>
      </c>
      <c r="F28" s="596">
        <f t="shared" ca="1" si="2"/>
        <v>344.20900500000005</v>
      </c>
      <c r="G28" s="596">
        <f t="shared" ca="1" si="2"/>
        <v>325.08628250000004</v>
      </c>
      <c r="H28" s="596">
        <f t="shared" ca="1" si="2"/>
        <v>305.96356000000003</v>
      </c>
      <c r="I28" s="596">
        <f t="shared" ca="1" si="2"/>
        <v>229.47267000000002</v>
      </c>
      <c r="J28" s="596">
        <f t="shared" ca="1" si="2"/>
        <v>305.96356000000003</v>
      </c>
      <c r="K28" s="596">
        <f t="shared" ca="1" si="2"/>
        <v>363.33172750000006</v>
      </c>
      <c r="L28" s="596">
        <f t="shared" ca="1" si="2"/>
        <v>382.45445000000007</v>
      </c>
      <c r="M28" s="597">
        <f t="shared" ca="1" si="2"/>
        <v>458.94534000000004</v>
      </c>
      <c r="N28" s="594">
        <f t="shared" ca="1" si="1"/>
        <v>4226.1216725000004</v>
      </c>
      <c r="O28" s="61"/>
    </row>
    <row r="29" spans="1:15" ht="15">
      <c r="A29" s="213"/>
    </row>
    <row r="30" spans="1:15" ht="15.75" thickBot="1">
      <c r="A30" s="213"/>
    </row>
    <row r="31" spans="1:15" ht="19.5" customHeight="1" thickBot="1">
      <c r="A31" s="446" t="str">
        <f>'Distr CV 0'!A31</f>
        <v>IVA sop. Costes producc.</v>
      </c>
      <c r="B31" s="444" t="str">
        <f t="array" ref="B31:M31">meses</f>
        <v>enero</v>
      </c>
      <c r="C31" s="440" t="str">
        <v>febrero</v>
      </c>
      <c r="D31" s="440" t="str">
        <v>marzo</v>
      </c>
      <c r="E31" s="440" t="str">
        <v>abril</v>
      </c>
      <c r="F31" s="440" t="str">
        <v>mayo</v>
      </c>
      <c r="G31" s="440" t="str">
        <v>junio</v>
      </c>
      <c r="H31" s="440" t="str">
        <v>julio</v>
      </c>
      <c r="I31" s="440" t="str">
        <v>agosto</v>
      </c>
      <c r="J31" s="440" t="str">
        <v>septiembre</v>
      </c>
      <c r="K31" s="440" t="str">
        <v>octubre</v>
      </c>
      <c r="L31" s="440" t="str">
        <v>noviembre</v>
      </c>
      <c r="M31" s="441" t="str">
        <v>diciembre</v>
      </c>
      <c r="N31" s="438" t="str">
        <f>N$7</f>
        <v>Totales</v>
      </c>
    </row>
    <row r="32" spans="1:15" ht="15.75" customHeight="1">
      <c r="A32" s="1972" t="str">
        <f t="array" ref="A32:A39">productos</f>
        <v>producto o servicio</v>
      </c>
      <c r="B32" s="587">
        <f t="array" aca="1" ref="B32:M39" ca="1">B20:M27*Parametros!$F24:$F31</f>
        <v>64.252347600000007</v>
      </c>
      <c r="C32" s="588">
        <f ca="1"/>
        <v>80.315434500000009</v>
      </c>
      <c r="D32" s="588">
        <f ca="1"/>
        <v>88.34697795000001</v>
      </c>
      <c r="E32" s="588">
        <f ca="1"/>
        <v>84.331206224999988</v>
      </c>
      <c r="F32" s="588">
        <f ca="1"/>
        <v>72.283891050000008</v>
      </c>
      <c r="G32" s="588">
        <f ca="1"/>
        <v>68.268119325000001</v>
      </c>
      <c r="H32" s="588">
        <f ca="1"/>
        <v>64.252347600000007</v>
      </c>
      <c r="I32" s="588">
        <f ca="1"/>
        <v>48.189260700000005</v>
      </c>
      <c r="J32" s="588">
        <f ca="1"/>
        <v>64.252347600000007</v>
      </c>
      <c r="K32" s="588">
        <f ca="1"/>
        <v>76.299662775000016</v>
      </c>
      <c r="L32" s="588">
        <f ca="1"/>
        <v>80.315434500000009</v>
      </c>
      <c r="M32" s="598">
        <f ca="1"/>
        <v>96.378521400000011</v>
      </c>
      <c r="N32" s="580">
        <f t="shared" ca="1" si="1"/>
        <v>887.48555122500011</v>
      </c>
      <c r="O32" s="61"/>
    </row>
    <row r="33" spans="1:15" ht="15.75" customHeight="1">
      <c r="A33" s="1973" t="str">
        <v/>
      </c>
      <c r="B33" s="589">
        <f ca="1"/>
        <v>0</v>
      </c>
      <c r="C33" s="590">
        <f ca="1"/>
        <v>0</v>
      </c>
      <c r="D33" s="590">
        <f ca="1"/>
        <v>0</v>
      </c>
      <c r="E33" s="590">
        <f ca="1"/>
        <v>0</v>
      </c>
      <c r="F33" s="590">
        <f ca="1"/>
        <v>0</v>
      </c>
      <c r="G33" s="590">
        <f ca="1"/>
        <v>0</v>
      </c>
      <c r="H33" s="590">
        <f ca="1"/>
        <v>0</v>
      </c>
      <c r="I33" s="590">
        <f ca="1"/>
        <v>0</v>
      </c>
      <c r="J33" s="590">
        <f ca="1"/>
        <v>0</v>
      </c>
      <c r="K33" s="590">
        <f ca="1"/>
        <v>0</v>
      </c>
      <c r="L33" s="590">
        <f ca="1"/>
        <v>0</v>
      </c>
      <c r="M33" s="599">
        <f ca="1"/>
        <v>0</v>
      </c>
      <c r="N33" s="583">
        <f t="shared" ca="1" si="1"/>
        <v>0</v>
      </c>
      <c r="O33" s="61"/>
    </row>
    <row r="34" spans="1:15" ht="15.75" customHeight="1">
      <c r="A34" s="1973" t="str">
        <v/>
      </c>
      <c r="B34" s="589">
        <f ca="1"/>
        <v>0</v>
      </c>
      <c r="C34" s="590">
        <f ca="1"/>
        <v>0</v>
      </c>
      <c r="D34" s="590">
        <f ca="1"/>
        <v>0</v>
      </c>
      <c r="E34" s="590">
        <f ca="1"/>
        <v>0</v>
      </c>
      <c r="F34" s="590">
        <f ca="1"/>
        <v>0</v>
      </c>
      <c r="G34" s="590">
        <f ca="1"/>
        <v>0</v>
      </c>
      <c r="H34" s="590">
        <f ca="1"/>
        <v>0</v>
      </c>
      <c r="I34" s="590">
        <f ca="1"/>
        <v>0</v>
      </c>
      <c r="J34" s="590">
        <f ca="1"/>
        <v>0</v>
      </c>
      <c r="K34" s="590">
        <f ca="1"/>
        <v>0</v>
      </c>
      <c r="L34" s="590">
        <f ca="1"/>
        <v>0</v>
      </c>
      <c r="M34" s="599">
        <f ca="1"/>
        <v>0</v>
      </c>
      <c r="N34" s="583">
        <f t="shared" ca="1" si="1"/>
        <v>0</v>
      </c>
      <c r="O34" s="61"/>
    </row>
    <row r="35" spans="1:15" ht="15.75" customHeight="1">
      <c r="A35" s="1973" t="str">
        <v/>
      </c>
      <c r="B35" s="589">
        <f ca="1"/>
        <v>0</v>
      </c>
      <c r="C35" s="590">
        <f ca="1"/>
        <v>0</v>
      </c>
      <c r="D35" s="590">
        <f ca="1"/>
        <v>0</v>
      </c>
      <c r="E35" s="590">
        <f ca="1"/>
        <v>0</v>
      </c>
      <c r="F35" s="590">
        <f ca="1"/>
        <v>0</v>
      </c>
      <c r="G35" s="590">
        <f ca="1"/>
        <v>0</v>
      </c>
      <c r="H35" s="590">
        <f ca="1"/>
        <v>0</v>
      </c>
      <c r="I35" s="590">
        <f ca="1"/>
        <v>0</v>
      </c>
      <c r="J35" s="590">
        <f ca="1"/>
        <v>0</v>
      </c>
      <c r="K35" s="590">
        <f ca="1"/>
        <v>0</v>
      </c>
      <c r="L35" s="590">
        <f ca="1"/>
        <v>0</v>
      </c>
      <c r="M35" s="599">
        <f ca="1"/>
        <v>0</v>
      </c>
      <c r="N35" s="583">
        <f t="shared" ca="1" si="1"/>
        <v>0</v>
      </c>
      <c r="O35" s="61"/>
    </row>
    <row r="36" spans="1:15" ht="15.75" customHeight="1">
      <c r="A36" s="1973" t="str">
        <v/>
      </c>
      <c r="B36" s="589">
        <f ca="1"/>
        <v>0</v>
      </c>
      <c r="C36" s="590">
        <f ca="1"/>
        <v>0</v>
      </c>
      <c r="D36" s="590">
        <f ca="1"/>
        <v>0</v>
      </c>
      <c r="E36" s="590">
        <f ca="1"/>
        <v>0</v>
      </c>
      <c r="F36" s="590">
        <f ca="1"/>
        <v>0</v>
      </c>
      <c r="G36" s="590">
        <f ca="1"/>
        <v>0</v>
      </c>
      <c r="H36" s="590">
        <f ca="1"/>
        <v>0</v>
      </c>
      <c r="I36" s="590">
        <f ca="1"/>
        <v>0</v>
      </c>
      <c r="J36" s="590">
        <f ca="1"/>
        <v>0</v>
      </c>
      <c r="K36" s="590">
        <f ca="1"/>
        <v>0</v>
      </c>
      <c r="L36" s="590">
        <f ca="1"/>
        <v>0</v>
      </c>
      <c r="M36" s="599">
        <f ca="1"/>
        <v>0</v>
      </c>
      <c r="N36" s="583">
        <f t="shared" ca="1" si="1"/>
        <v>0</v>
      </c>
      <c r="O36" s="61"/>
    </row>
    <row r="37" spans="1:15" ht="15.75" customHeight="1">
      <c r="A37" s="1973" t="str">
        <v/>
      </c>
      <c r="B37" s="589">
        <f ca="1"/>
        <v>0</v>
      </c>
      <c r="C37" s="590">
        <f ca="1"/>
        <v>0</v>
      </c>
      <c r="D37" s="590">
        <f ca="1"/>
        <v>0</v>
      </c>
      <c r="E37" s="590">
        <f ca="1"/>
        <v>0</v>
      </c>
      <c r="F37" s="590">
        <f ca="1"/>
        <v>0</v>
      </c>
      <c r="G37" s="590">
        <f ca="1"/>
        <v>0</v>
      </c>
      <c r="H37" s="590">
        <f ca="1"/>
        <v>0</v>
      </c>
      <c r="I37" s="590">
        <f ca="1"/>
        <v>0</v>
      </c>
      <c r="J37" s="590">
        <f ca="1"/>
        <v>0</v>
      </c>
      <c r="K37" s="590">
        <f ca="1"/>
        <v>0</v>
      </c>
      <c r="L37" s="590">
        <f ca="1"/>
        <v>0</v>
      </c>
      <c r="M37" s="599">
        <f ca="1"/>
        <v>0</v>
      </c>
      <c r="N37" s="583">
        <f t="shared" ca="1" si="1"/>
        <v>0</v>
      </c>
      <c r="O37" s="61"/>
    </row>
    <row r="38" spans="1:15" ht="15.75" customHeight="1">
      <c r="A38" s="1973" t="str">
        <v/>
      </c>
      <c r="B38" s="589">
        <f ca="1"/>
        <v>0</v>
      </c>
      <c r="C38" s="590">
        <f ca="1"/>
        <v>0</v>
      </c>
      <c r="D38" s="590">
        <f ca="1"/>
        <v>0</v>
      </c>
      <c r="E38" s="590">
        <f ca="1"/>
        <v>0</v>
      </c>
      <c r="F38" s="590">
        <f ca="1"/>
        <v>0</v>
      </c>
      <c r="G38" s="590">
        <f ca="1"/>
        <v>0</v>
      </c>
      <c r="H38" s="590">
        <f ca="1"/>
        <v>0</v>
      </c>
      <c r="I38" s="590">
        <f ca="1"/>
        <v>0</v>
      </c>
      <c r="J38" s="590">
        <f ca="1"/>
        <v>0</v>
      </c>
      <c r="K38" s="590">
        <f ca="1"/>
        <v>0</v>
      </c>
      <c r="L38" s="590">
        <f ca="1"/>
        <v>0</v>
      </c>
      <c r="M38" s="599">
        <f ca="1"/>
        <v>0</v>
      </c>
      <c r="N38" s="583">
        <f t="shared" ca="1" si="1"/>
        <v>0</v>
      </c>
      <c r="O38" s="61"/>
    </row>
    <row r="39" spans="1:15" ht="15.75" customHeight="1" thickBot="1">
      <c r="A39" s="1974" t="str">
        <v/>
      </c>
      <c r="B39" s="591">
        <f ca="1"/>
        <v>0</v>
      </c>
      <c r="C39" s="592">
        <f ca="1"/>
        <v>0</v>
      </c>
      <c r="D39" s="592">
        <f ca="1"/>
        <v>0</v>
      </c>
      <c r="E39" s="592">
        <f ca="1"/>
        <v>0</v>
      </c>
      <c r="F39" s="592">
        <f ca="1"/>
        <v>0</v>
      </c>
      <c r="G39" s="592">
        <f ca="1"/>
        <v>0</v>
      </c>
      <c r="H39" s="592">
        <f ca="1"/>
        <v>0</v>
      </c>
      <c r="I39" s="592">
        <f ca="1"/>
        <v>0</v>
      </c>
      <c r="J39" s="592">
        <f ca="1"/>
        <v>0</v>
      </c>
      <c r="K39" s="592">
        <f ca="1"/>
        <v>0</v>
      </c>
      <c r="L39" s="592">
        <f ca="1"/>
        <v>0</v>
      </c>
      <c r="M39" s="600">
        <f ca="1"/>
        <v>0</v>
      </c>
      <c r="N39" s="593">
        <f t="shared" ca="1" si="1"/>
        <v>0</v>
      </c>
      <c r="O39" s="61"/>
    </row>
    <row r="40" spans="1:15" ht="15.75" customHeight="1" thickBot="1">
      <c r="A40" s="103" t="str">
        <f>A$28</f>
        <v>Totales</v>
      </c>
      <c r="B40" s="595">
        <f t="shared" ref="B40:M40" ca="1" si="3">SUM(B32:B39)</f>
        <v>64.252347600000007</v>
      </c>
      <c r="C40" s="596">
        <f t="shared" ca="1" si="3"/>
        <v>80.315434500000009</v>
      </c>
      <c r="D40" s="596">
        <f t="shared" ca="1" si="3"/>
        <v>88.34697795000001</v>
      </c>
      <c r="E40" s="596">
        <f t="shared" ca="1" si="3"/>
        <v>84.331206224999988</v>
      </c>
      <c r="F40" s="596">
        <f t="shared" ca="1" si="3"/>
        <v>72.283891050000008</v>
      </c>
      <c r="G40" s="596">
        <f t="shared" ca="1" si="3"/>
        <v>68.268119325000001</v>
      </c>
      <c r="H40" s="596">
        <f t="shared" ca="1" si="3"/>
        <v>64.252347600000007</v>
      </c>
      <c r="I40" s="596">
        <f t="shared" ca="1" si="3"/>
        <v>48.189260700000005</v>
      </c>
      <c r="J40" s="596">
        <f t="shared" ca="1" si="3"/>
        <v>64.252347600000007</v>
      </c>
      <c r="K40" s="596">
        <f t="shared" ca="1" si="3"/>
        <v>76.299662775000016</v>
      </c>
      <c r="L40" s="596">
        <f t="shared" ca="1" si="3"/>
        <v>80.315434500000009</v>
      </c>
      <c r="M40" s="597">
        <f t="shared" ca="1" si="3"/>
        <v>96.378521400000011</v>
      </c>
      <c r="N40" s="594">
        <f ca="1">SUM(B40:M40)</f>
        <v>887.48555122500011</v>
      </c>
      <c r="O40" s="61"/>
    </row>
    <row r="41" spans="1:15" ht="15">
      <c r="A41" s="213"/>
      <c r="B41" s="2796" t="str">
        <f>'Distr CV 0'!B41</f>
        <v>No tiene sentido calcular el IVA del CV en el mes en el que se imputa (cuando se vende) sino en el mes en el que se produce la compra</v>
      </c>
    </row>
    <row r="42" spans="1:15" ht="15">
      <c r="A42" s="213"/>
    </row>
    <row r="43" spans="1:15" ht="15">
      <c r="A43" s="213"/>
    </row>
    <row r="44" spans="1:15" ht="18.75" thickBot="1">
      <c r="A44" s="1969" t="str">
        <f>'Distr CV 0'!A44</f>
        <v>Costes de producción en el año</v>
      </c>
      <c r="G44" s="2710" t="str">
        <f>$K$1</f>
        <v>Año 4:  2030</v>
      </c>
      <c r="I44" s="1969" t="str">
        <f>I$18</f>
        <v>IVA NO incluido</v>
      </c>
    </row>
    <row r="45" spans="1:15" s="445" customFormat="1" ht="15.75" customHeight="1" thickBot="1">
      <c r="A45" s="446" t="str">
        <f>A$19</f>
        <v>Costes producción</v>
      </c>
      <c r="B45" s="444" t="str">
        <f t="array" ref="B45:M45">meses</f>
        <v>enero</v>
      </c>
      <c r="C45" s="440" t="str">
        <v>febrero</v>
      </c>
      <c r="D45" s="440" t="str">
        <v>marzo</v>
      </c>
      <c r="E45" s="440" t="str">
        <v>abril</v>
      </c>
      <c r="F45" s="440" t="str">
        <v>mayo</v>
      </c>
      <c r="G45" s="440" t="str">
        <v>junio</v>
      </c>
      <c r="H45" s="440" t="str">
        <v>julio</v>
      </c>
      <c r="I45" s="440" t="str">
        <v>agosto</v>
      </c>
      <c r="J45" s="440" t="str">
        <v>septiembre</v>
      </c>
      <c r="K45" s="440" t="str">
        <v>octubre</v>
      </c>
      <c r="L45" s="440" t="str">
        <v>noviembre</v>
      </c>
      <c r="M45" s="441" t="str">
        <v>diciembre</v>
      </c>
      <c r="N45" s="438" t="str">
        <f>N$7</f>
        <v>Totales</v>
      </c>
    </row>
    <row r="46" spans="1:15" ht="15.75" customHeight="1">
      <c r="A46" s="1972" t="str">
        <f t="array" ref="A46:A53">productos</f>
        <v>producto o servicio</v>
      </c>
      <c r="B46" s="587">
        <f t="array" aca="1" ref="B46:M46" ca="1">N124:Y124</f>
        <v>305.96356000000003</v>
      </c>
      <c r="C46" s="588">
        <f ca="1"/>
        <v>382.45445000000007</v>
      </c>
      <c r="D46" s="588">
        <f ca="1"/>
        <v>420.69989500000008</v>
      </c>
      <c r="E46" s="588">
        <f ca="1"/>
        <v>401.57717249999996</v>
      </c>
      <c r="F46" s="588">
        <f ca="1"/>
        <v>344.20900500000005</v>
      </c>
      <c r="G46" s="588">
        <f ca="1"/>
        <v>325.08628250000004</v>
      </c>
      <c r="H46" s="588">
        <f ca="1"/>
        <v>305.96356000000003</v>
      </c>
      <c r="I46" s="588">
        <f ca="1"/>
        <v>229.47267000000002</v>
      </c>
      <c r="J46" s="588">
        <f ca="1"/>
        <v>305.96356000000003</v>
      </c>
      <c r="K46" s="588">
        <f ca="1"/>
        <v>363.33172750000006</v>
      </c>
      <c r="L46" s="588">
        <f ca="1"/>
        <v>382.45445000000007</v>
      </c>
      <c r="M46" s="598">
        <f ca="1"/>
        <v>458.94534000000004</v>
      </c>
      <c r="N46" s="580">
        <f t="shared" ref="N46:N54" ca="1" si="4">SUM(B46:M46)</f>
        <v>4226.1216725000004</v>
      </c>
      <c r="O46" s="61"/>
    </row>
    <row r="47" spans="1:15" ht="15.75" customHeight="1">
      <c r="A47" s="1973" t="str">
        <v/>
      </c>
      <c r="B47" s="589">
        <f t="array" aca="1" ref="B47:M47" ca="1">N142:Y142</f>
        <v>0</v>
      </c>
      <c r="C47" s="590">
        <f ca="1"/>
        <v>0</v>
      </c>
      <c r="D47" s="590">
        <f ca="1"/>
        <v>0</v>
      </c>
      <c r="E47" s="590">
        <f ca="1"/>
        <v>0</v>
      </c>
      <c r="F47" s="590">
        <f ca="1"/>
        <v>0</v>
      </c>
      <c r="G47" s="590">
        <f ca="1"/>
        <v>0</v>
      </c>
      <c r="H47" s="590">
        <f ca="1"/>
        <v>0</v>
      </c>
      <c r="I47" s="590">
        <f ca="1"/>
        <v>0</v>
      </c>
      <c r="J47" s="590">
        <f ca="1"/>
        <v>0</v>
      </c>
      <c r="K47" s="590">
        <f ca="1"/>
        <v>0</v>
      </c>
      <c r="L47" s="590">
        <f ca="1"/>
        <v>0</v>
      </c>
      <c r="M47" s="599">
        <f ca="1"/>
        <v>0</v>
      </c>
      <c r="N47" s="583">
        <f t="shared" ca="1" si="4"/>
        <v>0</v>
      </c>
      <c r="O47" s="61"/>
    </row>
    <row r="48" spans="1:15" ht="15.75" customHeight="1">
      <c r="A48" s="1973" t="str">
        <v/>
      </c>
      <c r="B48" s="589">
        <f t="array" aca="1" ref="B48:M48" ca="1">N160:Y160</f>
        <v>0</v>
      </c>
      <c r="C48" s="590">
        <f ca="1"/>
        <v>0</v>
      </c>
      <c r="D48" s="590">
        <f ca="1"/>
        <v>0</v>
      </c>
      <c r="E48" s="590">
        <f ca="1"/>
        <v>0</v>
      </c>
      <c r="F48" s="590">
        <f ca="1"/>
        <v>0</v>
      </c>
      <c r="G48" s="590">
        <f ca="1"/>
        <v>0</v>
      </c>
      <c r="H48" s="590">
        <f ca="1"/>
        <v>0</v>
      </c>
      <c r="I48" s="590">
        <f ca="1"/>
        <v>0</v>
      </c>
      <c r="J48" s="590">
        <f ca="1"/>
        <v>0</v>
      </c>
      <c r="K48" s="590">
        <f ca="1"/>
        <v>0</v>
      </c>
      <c r="L48" s="590">
        <f ca="1"/>
        <v>0</v>
      </c>
      <c r="M48" s="599">
        <f ca="1"/>
        <v>0</v>
      </c>
      <c r="N48" s="583">
        <f t="shared" ca="1" si="4"/>
        <v>0</v>
      </c>
      <c r="O48" s="61"/>
    </row>
    <row r="49" spans="1:15" ht="15.75" customHeight="1">
      <c r="A49" s="1973" t="str">
        <v/>
      </c>
      <c r="B49" s="589">
        <f t="array" aca="1" ref="B49:M49" ca="1">N178:Y178</f>
        <v>0</v>
      </c>
      <c r="C49" s="590">
        <f ca="1"/>
        <v>0</v>
      </c>
      <c r="D49" s="590">
        <f ca="1"/>
        <v>0</v>
      </c>
      <c r="E49" s="590">
        <f ca="1"/>
        <v>0</v>
      </c>
      <c r="F49" s="590">
        <f ca="1"/>
        <v>0</v>
      </c>
      <c r="G49" s="590">
        <f ca="1"/>
        <v>0</v>
      </c>
      <c r="H49" s="590">
        <f ca="1"/>
        <v>0</v>
      </c>
      <c r="I49" s="590">
        <f ca="1"/>
        <v>0</v>
      </c>
      <c r="J49" s="590">
        <f ca="1"/>
        <v>0</v>
      </c>
      <c r="K49" s="590">
        <f ca="1"/>
        <v>0</v>
      </c>
      <c r="L49" s="590">
        <f ca="1"/>
        <v>0</v>
      </c>
      <c r="M49" s="599">
        <f ca="1"/>
        <v>0</v>
      </c>
      <c r="N49" s="583">
        <f t="shared" ca="1" si="4"/>
        <v>0</v>
      </c>
      <c r="O49" s="61"/>
    </row>
    <row r="50" spans="1:15" ht="15.75" customHeight="1">
      <c r="A50" s="1973" t="str">
        <v/>
      </c>
      <c r="B50" s="589">
        <f t="array" aca="1" ref="B50:M50" ca="1">N196:Y196</f>
        <v>0</v>
      </c>
      <c r="C50" s="590">
        <f ca="1"/>
        <v>0</v>
      </c>
      <c r="D50" s="590">
        <f ca="1"/>
        <v>0</v>
      </c>
      <c r="E50" s="590">
        <f ca="1"/>
        <v>0</v>
      </c>
      <c r="F50" s="590">
        <f ca="1"/>
        <v>0</v>
      </c>
      <c r="G50" s="590">
        <f ca="1"/>
        <v>0</v>
      </c>
      <c r="H50" s="590">
        <f ca="1"/>
        <v>0</v>
      </c>
      <c r="I50" s="590">
        <f ca="1"/>
        <v>0</v>
      </c>
      <c r="J50" s="590">
        <f ca="1"/>
        <v>0</v>
      </c>
      <c r="K50" s="590">
        <f ca="1"/>
        <v>0</v>
      </c>
      <c r="L50" s="590">
        <f ca="1"/>
        <v>0</v>
      </c>
      <c r="M50" s="599">
        <f ca="1"/>
        <v>0</v>
      </c>
      <c r="N50" s="583">
        <f t="shared" ca="1" si="4"/>
        <v>0</v>
      </c>
      <c r="O50" s="61"/>
    </row>
    <row r="51" spans="1:15" ht="15.75" customHeight="1">
      <c r="A51" s="1973" t="str">
        <v/>
      </c>
      <c r="B51" s="589">
        <f t="array" aca="1" ref="B51:M51" ca="1">N214:Y214</f>
        <v>0</v>
      </c>
      <c r="C51" s="590">
        <f ca="1"/>
        <v>0</v>
      </c>
      <c r="D51" s="590">
        <f ca="1"/>
        <v>0</v>
      </c>
      <c r="E51" s="590">
        <f ca="1"/>
        <v>0</v>
      </c>
      <c r="F51" s="590">
        <f ca="1"/>
        <v>0</v>
      </c>
      <c r="G51" s="590">
        <f ca="1"/>
        <v>0</v>
      </c>
      <c r="H51" s="590">
        <f ca="1"/>
        <v>0</v>
      </c>
      <c r="I51" s="590">
        <f ca="1"/>
        <v>0</v>
      </c>
      <c r="J51" s="590">
        <f ca="1"/>
        <v>0</v>
      </c>
      <c r="K51" s="590">
        <f ca="1"/>
        <v>0</v>
      </c>
      <c r="L51" s="590">
        <f ca="1"/>
        <v>0</v>
      </c>
      <c r="M51" s="599">
        <f ca="1"/>
        <v>0</v>
      </c>
      <c r="N51" s="583">
        <f t="shared" ca="1" si="4"/>
        <v>0</v>
      </c>
      <c r="O51" s="61"/>
    </row>
    <row r="52" spans="1:15" ht="15.75" customHeight="1">
      <c r="A52" s="1973" t="str">
        <v/>
      </c>
      <c r="B52" s="589">
        <f t="array" aca="1" ref="B52:M52" ca="1">N232:Y232</f>
        <v>0</v>
      </c>
      <c r="C52" s="590">
        <f ca="1"/>
        <v>0</v>
      </c>
      <c r="D52" s="590">
        <f ca="1"/>
        <v>0</v>
      </c>
      <c r="E52" s="590">
        <f ca="1"/>
        <v>0</v>
      </c>
      <c r="F52" s="590">
        <f ca="1"/>
        <v>0</v>
      </c>
      <c r="G52" s="590">
        <f ca="1"/>
        <v>0</v>
      </c>
      <c r="H52" s="590">
        <f ca="1"/>
        <v>0</v>
      </c>
      <c r="I52" s="590">
        <f ca="1"/>
        <v>0</v>
      </c>
      <c r="J52" s="590">
        <f ca="1"/>
        <v>0</v>
      </c>
      <c r="K52" s="590">
        <f ca="1"/>
        <v>0</v>
      </c>
      <c r="L52" s="590">
        <f ca="1"/>
        <v>0</v>
      </c>
      <c r="M52" s="599">
        <f ca="1"/>
        <v>0</v>
      </c>
      <c r="N52" s="583">
        <f t="shared" ca="1" si="4"/>
        <v>0</v>
      </c>
      <c r="O52" s="61"/>
    </row>
    <row r="53" spans="1:15" ht="15.75" customHeight="1" thickBot="1">
      <c r="A53" s="1974" t="str">
        <v/>
      </c>
      <c r="B53" s="591">
        <f t="array" aca="1" ref="B53:M53" ca="1">N250:Y250</f>
        <v>0</v>
      </c>
      <c r="C53" s="592">
        <f ca="1"/>
        <v>0</v>
      </c>
      <c r="D53" s="592">
        <f ca="1"/>
        <v>0</v>
      </c>
      <c r="E53" s="592">
        <f ca="1"/>
        <v>0</v>
      </c>
      <c r="F53" s="592">
        <f ca="1"/>
        <v>0</v>
      </c>
      <c r="G53" s="592">
        <f ca="1"/>
        <v>0</v>
      </c>
      <c r="H53" s="592">
        <f ca="1"/>
        <v>0</v>
      </c>
      <c r="I53" s="592">
        <f ca="1"/>
        <v>0</v>
      </c>
      <c r="J53" s="592">
        <f ca="1"/>
        <v>0</v>
      </c>
      <c r="K53" s="592">
        <f ca="1"/>
        <v>0</v>
      </c>
      <c r="L53" s="592">
        <f ca="1"/>
        <v>0</v>
      </c>
      <c r="M53" s="600">
        <f ca="1"/>
        <v>0</v>
      </c>
      <c r="N53" s="593">
        <f t="shared" ca="1" si="4"/>
        <v>0</v>
      </c>
      <c r="O53" s="61"/>
    </row>
    <row r="54" spans="1:15" ht="15.75" customHeight="1" thickBot="1">
      <c r="A54" s="103" t="str">
        <f>A$28</f>
        <v>Totales</v>
      </c>
      <c r="B54" s="595">
        <f t="shared" ref="B54:M54" ca="1" si="5">SUM(B46:B53)</f>
        <v>305.96356000000003</v>
      </c>
      <c r="C54" s="596">
        <f t="shared" ca="1" si="5"/>
        <v>382.45445000000007</v>
      </c>
      <c r="D54" s="596">
        <f t="shared" ca="1" si="5"/>
        <v>420.69989500000008</v>
      </c>
      <c r="E54" s="596">
        <f t="shared" ca="1" si="5"/>
        <v>401.57717249999996</v>
      </c>
      <c r="F54" s="596">
        <f t="shared" ca="1" si="5"/>
        <v>344.20900500000005</v>
      </c>
      <c r="G54" s="596">
        <f t="shared" ca="1" si="5"/>
        <v>325.08628250000004</v>
      </c>
      <c r="H54" s="596">
        <f t="shared" ca="1" si="5"/>
        <v>305.96356000000003</v>
      </c>
      <c r="I54" s="596">
        <f t="shared" ca="1" si="5"/>
        <v>229.47267000000002</v>
      </c>
      <c r="J54" s="596">
        <f t="shared" ca="1" si="5"/>
        <v>305.96356000000003</v>
      </c>
      <c r="K54" s="596">
        <f t="shared" ca="1" si="5"/>
        <v>363.33172750000006</v>
      </c>
      <c r="L54" s="596">
        <f t="shared" ca="1" si="5"/>
        <v>382.45445000000007</v>
      </c>
      <c r="M54" s="597">
        <f t="shared" ca="1" si="5"/>
        <v>458.94534000000004</v>
      </c>
      <c r="N54" s="594">
        <f t="shared" ca="1" si="4"/>
        <v>4226.1216725000004</v>
      </c>
      <c r="O54" s="61"/>
    </row>
    <row r="55" spans="1:15">
      <c r="A55" s="1003" t="s">
        <v>891</v>
      </c>
      <c r="B55" s="1003">
        <f ca="1">SUM(B124:M124,B142:M142,B160:M160,B178:M178,B196:M196,B214:M214,B232:M232,B250:M250)</f>
        <v>0</v>
      </c>
    </row>
    <row r="57" spans="1:15" ht="18.75" thickBot="1">
      <c r="A57" s="1969" t="str">
        <f>'Distr CV 0'!A57</f>
        <v>IVA soportado de los costes de producción en el año</v>
      </c>
      <c r="G57" s="2710" t="str">
        <f>$K$1</f>
        <v>Año 4:  2030</v>
      </c>
      <c r="I57" s="1969"/>
    </row>
    <row r="58" spans="1:15" s="445" customFormat="1" ht="15.75" customHeight="1" thickBot="1">
      <c r="A58" s="446" t="str">
        <f>A$19</f>
        <v>Costes producción</v>
      </c>
      <c r="B58" s="444" t="str">
        <f t="array" ref="B58:M58">meses</f>
        <v>enero</v>
      </c>
      <c r="C58" s="440" t="str">
        <v>febrero</v>
      </c>
      <c r="D58" s="440" t="str">
        <v>marzo</v>
      </c>
      <c r="E58" s="440" t="str">
        <v>abril</v>
      </c>
      <c r="F58" s="440" t="str">
        <v>mayo</v>
      </c>
      <c r="G58" s="440" t="str">
        <v>junio</v>
      </c>
      <c r="H58" s="440" t="str">
        <v>julio</v>
      </c>
      <c r="I58" s="440" t="str">
        <v>agosto</v>
      </c>
      <c r="J58" s="440" t="str">
        <v>septiembre</v>
      </c>
      <c r="K58" s="440" t="str">
        <v>octubre</v>
      </c>
      <c r="L58" s="440" t="str">
        <v>noviembre</v>
      </c>
      <c r="M58" s="441" t="str">
        <v>diciembre</v>
      </c>
      <c r="N58" s="438" t="str">
        <f>N$7</f>
        <v>Totales</v>
      </c>
    </row>
    <row r="59" spans="1:15" ht="15.75" customHeight="1">
      <c r="A59" s="1972" t="str">
        <f t="array" ref="A59:A66">productos</f>
        <v>producto o servicio</v>
      </c>
      <c r="B59" s="587">
        <f t="array" aca="1" ref="B59:M59" ca="1">N125:Y125</f>
        <v>64.252347600000007</v>
      </c>
      <c r="C59" s="588">
        <f ca="1"/>
        <v>80.315434500000009</v>
      </c>
      <c r="D59" s="588">
        <f ca="1"/>
        <v>88.34697795000001</v>
      </c>
      <c r="E59" s="588">
        <f ca="1"/>
        <v>84.331206224999988</v>
      </c>
      <c r="F59" s="588">
        <f ca="1"/>
        <v>72.283891050000008</v>
      </c>
      <c r="G59" s="588">
        <f ca="1"/>
        <v>68.268119325000001</v>
      </c>
      <c r="H59" s="588">
        <f ca="1"/>
        <v>64.252347600000007</v>
      </c>
      <c r="I59" s="588">
        <f ca="1"/>
        <v>48.189260700000005</v>
      </c>
      <c r="J59" s="588">
        <f ca="1"/>
        <v>64.252347600000007</v>
      </c>
      <c r="K59" s="588">
        <f ca="1"/>
        <v>76.299662775000016</v>
      </c>
      <c r="L59" s="588">
        <f ca="1"/>
        <v>80.315434500000009</v>
      </c>
      <c r="M59" s="598">
        <f ca="1"/>
        <v>96.378521400000011</v>
      </c>
      <c r="N59" s="580">
        <f t="shared" ref="N59:N67" ca="1" si="6">SUM(B59:M59)</f>
        <v>887.48555122500011</v>
      </c>
      <c r="O59" s="61"/>
    </row>
    <row r="60" spans="1:15" ht="15.75" customHeight="1">
      <c r="A60" s="1973" t="str">
        <v/>
      </c>
      <c r="B60" s="589">
        <f t="array" aca="1" ref="B60:M60" ca="1">N143:Y143</f>
        <v>0</v>
      </c>
      <c r="C60" s="590">
        <f ca="1"/>
        <v>0</v>
      </c>
      <c r="D60" s="590">
        <f ca="1"/>
        <v>0</v>
      </c>
      <c r="E60" s="590">
        <f ca="1"/>
        <v>0</v>
      </c>
      <c r="F60" s="590">
        <f ca="1"/>
        <v>0</v>
      </c>
      <c r="G60" s="590">
        <f ca="1"/>
        <v>0</v>
      </c>
      <c r="H60" s="590">
        <f ca="1"/>
        <v>0</v>
      </c>
      <c r="I60" s="590">
        <f ca="1"/>
        <v>0</v>
      </c>
      <c r="J60" s="590">
        <f ca="1"/>
        <v>0</v>
      </c>
      <c r="K60" s="590">
        <f ca="1"/>
        <v>0</v>
      </c>
      <c r="L60" s="590">
        <f ca="1"/>
        <v>0</v>
      </c>
      <c r="M60" s="599">
        <f ca="1"/>
        <v>0</v>
      </c>
      <c r="N60" s="583">
        <f t="shared" ca="1" si="6"/>
        <v>0</v>
      </c>
      <c r="O60" s="61"/>
    </row>
    <row r="61" spans="1:15" ht="15.75" customHeight="1">
      <c r="A61" s="1973" t="str">
        <v/>
      </c>
      <c r="B61" s="589">
        <f t="array" aca="1" ref="B61:M61" ca="1">N161:Y161</f>
        <v>0</v>
      </c>
      <c r="C61" s="590">
        <f ca="1"/>
        <v>0</v>
      </c>
      <c r="D61" s="590">
        <f ca="1"/>
        <v>0</v>
      </c>
      <c r="E61" s="590">
        <f ca="1"/>
        <v>0</v>
      </c>
      <c r="F61" s="590">
        <f ca="1"/>
        <v>0</v>
      </c>
      <c r="G61" s="590">
        <f ca="1"/>
        <v>0</v>
      </c>
      <c r="H61" s="590">
        <f ca="1"/>
        <v>0</v>
      </c>
      <c r="I61" s="590">
        <f ca="1"/>
        <v>0</v>
      </c>
      <c r="J61" s="590">
        <f ca="1"/>
        <v>0</v>
      </c>
      <c r="K61" s="590">
        <f ca="1"/>
        <v>0</v>
      </c>
      <c r="L61" s="590">
        <f ca="1"/>
        <v>0</v>
      </c>
      <c r="M61" s="599">
        <f ca="1"/>
        <v>0</v>
      </c>
      <c r="N61" s="583">
        <f t="shared" ca="1" si="6"/>
        <v>0</v>
      </c>
      <c r="O61" s="61"/>
    </row>
    <row r="62" spans="1:15" ht="15.75" customHeight="1">
      <c r="A62" s="1973" t="str">
        <v/>
      </c>
      <c r="B62" s="589">
        <f t="array" aca="1" ref="B62:M62" ca="1">N179:Y179</f>
        <v>0</v>
      </c>
      <c r="C62" s="590">
        <f ca="1"/>
        <v>0</v>
      </c>
      <c r="D62" s="590">
        <f ca="1"/>
        <v>0</v>
      </c>
      <c r="E62" s="590">
        <f ca="1"/>
        <v>0</v>
      </c>
      <c r="F62" s="590">
        <f ca="1"/>
        <v>0</v>
      </c>
      <c r="G62" s="590">
        <f ca="1"/>
        <v>0</v>
      </c>
      <c r="H62" s="590">
        <f ca="1"/>
        <v>0</v>
      </c>
      <c r="I62" s="590">
        <f ca="1"/>
        <v>0</v>
      </c>
      <c r="J62" s="590">
        <f ca="1"/>
        <v>0</v>
      </c>
      <c r="K62" s="590">
        <f ca="1"/>
        <v>0</v>
      </c>
      <c r="L62" s="590">
        <f ca="1"/>
        <v>0</v>
      </c>
      <c r="M62" s="599">
        <f ca="1"/>
        <v>0</v>
      </c>
      <c r="N62" s="583">
        <f t="shared" ca="1" si="6"/>
        <v>0</v>
      </c>
      <c r="O62" s="61"/>
    </row>
    <row r="63" spans="1:15" ht="15.75" customHeight="1">
      <c r="A63" s="1973" t="str">
        <v/>
      </c>
      <c r="B63" s="589">
        <f t="array" aca="1" ref="B63:M63" ca="1">N197:Y197</f>
        <v>0</v>
      </c>
      <c r="C63" s="590">
        <f ca="1"/>
        <v>0</v>
      </c>
      <c r="D63" s="590">
        <f ca="1"/>
        <v>0</v>
      </c>
      <c r="E63" s="590">
        <f ca="1"/>
        <v>0</v>
      </c>
      <c r="F63" s="590">
        <f ca="1"/>
        <v>0</v>
      </c>
      <c r="G63" s="590">
        <f ca="1"/>
        <v>0</v>
      </c>
      <c r="H63" s="590">
        <f ca="1"/>
        <v>0</v>
      </c>
      <c r="I63" s="590">
        <f ca="1"/>
        <v>0</v>
      </c>
      <c r="J63" s="590">
        <f ca="1"/>
        <v>0</v>
      </c>
      <c r="K63" s="590">
        <f ca="1"/>
        <v>0</v>
      </c>
      <c r="L63" s="590">
        <f ca="1"/>
        <v>0</v>
      </c>
      <c r="M63" s="599">
        <f ca="1"/>
        <v>0</v>
      </c>
      <c r="N63" s="583">
        <f t="shared" ca="1" si="6"/>
        <v>0</v>
      </c>
      <c r="O63" s="61"/>
    </row>
    <row r="64" spans="1:15" ht="15.75" customHeight="1">
      <c r="A64" s="1973" t="str">
        <v/>
      </c>
      <c r="B64" s="589">
        <f t="array" aca="1" ref="B64:M64" ca="1">N215:Y215</f>
        <v>0</v>
      </c>
      <c r="C64" s="590">
        <f ca="1"/>
        <v>0</v>
      </c>
      <c r="D64" s="590">
        <f ca="1"/>
        <v>0</v>
      </c>
      <c r="E64" s="590">
        <f ca="1"/>
        <v>0</v>
      </c>
      <c r="F64" s="590">
        <f ca="1"/>
        <v>0</v>
      </c>
      <c r="G64" s="590">
        <f ca="1"/>
        <v>0</v>
      </c>
      <c r="H64" s="590">
        <f ca="1"/>
        <v>0</v>
      </c>
      <c r="I64" s="590">
        <f ca="1"/>
        <v>0</v>
      </c>
      <c r="J64" s="590">
        <f ca="1"/>
        <v>0</v>
      </c>
      <c r="K64" s="590">
        <f ca="1"/>
        <v>0</v>
      </c>
      <c r="L64" s="590">
        <f ca="1"/>
        <v>0</v>
      </c>
      <c r="M64" s="599">
        <f ca="1"/>
        <v>0</v>
      </c>
      <c r="N64" s="583">
        <f t="shared" ca="1" si="6"/>
        <v>0</v>
      </c>
      <c r="O64" s="61"/>
    </row>
    <row r="65" spans="1:26" ht="15.75" customHeight="1">
      <c r="A65" s="1973" t="str">
        <v/>
      </c>
      <c r="B65" s="589">
        <f t="array" aca="1" ref="B65:M65" ca="1">N233:Y233</f>
        <v>0</v>
      </c>
      <c r="C65" s="590">
        <f ca="1"/>
        <v>0</v>
      </c>
      <c r="D65" s="590">
        <f ca="1"/>
        <v>0</v>
      </c>
      <c r="E65" s="590">
        <f ca="1"/>
        <v>0</v>
      </c>
      <c r="F65" s="590">
        <f ca="1"/>
        <v>0</v>
      </c>
      <c r="G65" s="590">
        <f ca="1"/>
        <v>0</v>
      </c>
      <c r="H65" s="590">
        <f ca="1"/>
        <v>0</v>
      </c>
      <c r="I65" s="590">
        <f ca="1"/>
        <v>0</v>
      </c>
      <c r="J65" s="590">
        <f ca="1"/>
        <v>0</v>
      </c>
      <c r="K65" s="590">
        <f ca="1"/>
        <v>0</v>
      </c>
      <c r="L65" s="590">
        <f ca="1"/>
        <v>0</v>
      </c>
      <c r="M65" s="599">
        <f ca="1"/>
        <v>0</v>
      </c>
      <c r="N65" s="583">
        <f t="shared" ca="1" si="6"/>
        <v>0</v>
      </c>
      <c r="O65" s="61"/>
    </row>
    <row r="66" spans="1:26" ht="15.75" customHeight="1" thickBot="1">
      <c r="A66" s="1974" t="str">
        <v/>
      </c>
      <c r="B66" s="591">
        <f t="array" aca="1" ref="B66:M66" ca="1">N251:Y251</f>
        <v>0</v>
      </c>
      <c r="C66" s="592">
        <f ca="1"/>
        <v>0</v>
      </c>
      <c r="D66" s="592">
        <f ca="1"/>
        <v>0</v>
      </c>
      <c r="E66" s="592">
        <f ca="1"/>
        <v>0</v>
      </c>
      <c r="F66" s="592">
        <f ca="1"/>
        <v>0</v>
      </c>
      <c r="G66" s="592">
        <f ca="1"/>
        <v>0</v>
      </c>
      <c r="H66" s="592">
        <f ca="1"/>
        <v>0</v>
      </c>
      <c r="I66" s="592">
        <f ca="1"/>
        <v>0</v>
      </c>
      <c r="J66" s="592">
        <f ca="1"/>
        <v>0</v>
      </c>
      <c r="K66" s="592">
        <f ca="1"/>
        <v>0</v>
      </c>
      <c r="L66" s="592">
        <f ca="1"/>
        <v>0</v>
      </c>
      <c r="M66" s="600">
        <f ca="1"/>
        <v>0</v>
      </c>
      <c r="N66" s="593">
        <f t="shared" ca="1" si="6"/>
        <v>0</v>
      </c>
      <c r="O66" s="61"/>
    </row>
    <row r="67" spans="1:26" ht="15.75" customHeight="1" thickBot="1">
      <c r="A67" s="103" t="str">
        <f>A$28</f>
        <v>Totales</v>
      </c>
      <c r="B67" s="595">
        <f t="shared" ref="B67:M67" ca="1" si="7">SUM(B59:B66)</f>
        <v>64.252347600000007</v>
      </c>
      <c r="C67" s="596">
        <f t="shared" ca="1" si="7"/>
        <v>80.315434500000009</v>
      </c>
      <c r="D67" s="596">
        <f t="shared" ca="1" si="7"/>
        <v>88.34697795000001</v>
      </c>
      <c r="E67" s="596">
        <f t="shared" ca="1" si="7"/>
        <v>84.331206224999988</v>
      </c>
      <c r="F67" s="596">
        <f t="shared" ca="1" si="7"/>
        <v>72.283891050000008</v>
      </c>
      <c r="G67" s="596">
        <f t="shared" ca="1" si="7"/>
        <v>68.268119325000001</v>
      </c>
      <c r="H67" s="596">
        <f t="shared" ca="1" si="7"/>
        <v>64.252347600000007</v>
      </c>
      <c r="I67" s="596">
        <f t="shared" ca="1" si="7"/>
        <v>48.189260700000005</v>
      </c>
      <c r="J67" s="596">
        <f t="shared" ca="1" si="7"/>
        <v>64.252347600000007</v>
      </c>
      <c r="K67" s="596">
        <f t="shared" ca="1" si="7"/>
        <v>76.299662775000016</v>
      </c>
      <c r="L67" s="596">
        <f t="shared" ca="1" si="7"/>
        <v>80.315434500000009</v>
      </c>
      <c r="M67" s="597">
        <f t="shared" ca="1" si="7"/>
        <v>96.378521400000011</v>
      </c>
      <c r="N67" s="594">
        <f t="shared" ca="1" si="6"/>
        <v>887.48555122500011</v>
      </c>
      <c r="O67" s="61"/>
    </row>
    <row r="68" spans="1:26">
      <c r="A68" s="1003" t="s">
        <v>892</v>
      </c>
      <c r="B68" s="1003">
        <f ca="1">SUM(B125:M125,B143:M143,B161:M161,B179:M179,B197:M197,B215:M215,B233:M233,B251:M251)</f>
        <v>0</v>
      </c>
    </row>
    <row r="69" spans="1:26" ht="15">
      <c r="A69" s="213"/>
    </row>
    <row r="70" spans="1:26" ht="18.75" thickBot="1">
      <c r="A70" s="1969" t="str">
        <f>'Distr CV 0'!A70</f>
        <v>Distribución de los costes de producción por meses de las unidades vendidas en el año</v>
      </c>
      <c r="I70" s="1969" t="str">
        <f>I$18</f>
        <v>IVA NO incluido</v>
      </c>
    </row>
    <row r="71" spans="1:26" s="445" customFormat="1" ht="32.25" customHeight="1" thickBot="1">
      <c r="A71" s="446" t="str">
        <f>A$19</f>
        <v>Costes producción</v>
      </c>
      <c r="B71" s="1987" t="str">
        <f t="array" ref="B71:M71">'Estimaciones Ventas'!B44:M44</f>
        <v>enero 
2029</v>
      </c>
      <c r="C71" s="1987" t="str">
        <v>febrero 
2029</v>
      </c>
      <c r="D71" s="1987" t="str">
        <v>marzo 
2029</v>
      </c>
      <c r="E71" s="1987" t="str">
        <v>abril 
2029</v>
      </c>
      <c r="F71" s="1987" t="str">
        <v>mayo 
2029</v>
      </c>
      <c r="G71" s="1987" t="str">
        <v>junio 
2029</v>
      </c>
      <c r="H71" s="1987" t="str">
        <v>julio 
2029</v>
      </c>
      <c r="I71" s="1987" t="str">
        <v>agosto 
2029</v>
      </c>
      <c r="J71" s="1987" t="str">
        <v>septiembre 
2029</v>
      </c>
      <c r="K71" s="1987" t="str">
        <v>octubre 
2029</v>
      </c>
      <c r="L71" s="1987" t="str">
        <v>noviembre 
2029</v>
      </c>
      <c r="M71" s="1987" t="str">
        <v>diciembre 
2029</v>
      </c>
      <c r="N71" s="2703" t="str">
        <f t="array" ref="N71:Y71">'Estimaciones Ventas'!B57:M57</f>
        <v>enero 
2030</v>
      </c>
      <c r="O71" s="2704" t="str">
        <v>febrero 
2030</v>
      </c>
      <c r="P71" s="2704" t="str">
        <v>marzo 
2030</v>
      </c>
      <c r="Q71" s="2704" t="str">
        <v>abril 
2030</v>
      </c>
      <c r="R71" s="2704" t="str">
        <v>mayo 
2030</v>
      </c>
      <c r="S71" s="2704" t="str">
        <v>junio 
2030</v>
      </c>
      <c r="T71" s="2704" t="str">
        <v>julio 
2030</v>
      </c>
      <c r="U71" s="2704" t="str">
        <v>agosto 
2030</v>
      </c>
      <c r="V71" s="2704" t="str">
        <v>septiembre 
2030</v>
      </c>
      <c r="W71" s="2704" t="str">
        <v>octubre 
2030</v>
      </c>
      <c r="X71" s="2704" t="str">
        <v>noviembre 
2030</v>
      </c>
      <c r="Y71" s="2705" t="str">
        <v>diciembre 
2030</v>
      </c>
      <c r="Z71" s="61"/>
    </row>
    <row r="72" spans="1:26" ht="15.75" customHeight="1">
      <c r="A72" s="1970" t="s">
        <v>862</v>
      </c>
      <c r="B72" s="1967"/>
      <c r="C72" s="1967"/>
      <c r="D72" s="1967"/>
      <c r="E72" s="1967"/>
      <c r="F72" s="1967"/>
      <c r="G72" s="1967"/>
      <c r="H72" s="1965">
        <v>0</v>
      </c>
      <c r="I72" s="1966">
        <v>0</v>
      </c>
      <c r="J72" s="1966">
        <v>0</v>
      </c>
      <c r="K72" s="1966">
        <v>0</v>
      </c>
      <c r="L72" s="1966">
        <v>0</v>
      </c>
      <c r="M72" s="1966">
        <v>0</v>
      </c>
      <c r="N72" s="588">
        <f t="array" aca="1" ref="N72" ca="1">SUM(B20:B27*Produccion!$N$8:$N$15)</f>
        <v>305.96356000000003</v>
      </c>
      <c r="O72" s="588">
        <f t="array" aca="1" ref="O72" ca="1">SUM(C20:C27*Produccion!$N$8:$N$15)</f>
        <v>382.45445000000007</v>
      </c>
      <c r="P72" s="588">
        <f t="array" aca="1" ref="P72" ca="1">SUM(D20:D27*Produccion!$N$8:$N$15)</f>
        <v>420.69989500000008</v>
      </c>
      <c r="Q72" s="588">
        <f t="array" aca="1" ref="Q72" ca="1">SUM(E20:E27*Produccion!$N$8:$N$15)</f>
        <v>401.57717249999996</v>
      </c>
      <c r="R72" s="588">
        <f t="array" aca="1" ref="R72" ca="1">SUM(F20:F27*Produccion!$N$8:$N$15)</f>
        <v>344.20900500000005</v>
      </c>
      <c r="S72" s="588">
        <f t="array" aca="1" ref="S72" ca="1">SUM(G20:G27*Produccion!$N$8:$N$15)</f>
        <v>325.08628250000004</v>
      </c>
      <c r="T72" s="588">
        <f t="array" aca="1" ref="T72" ca="1">SUM(H20:H27*Produccion!$N$8:$N$15)</f>
        <v>305.96356000000003</v>
      </c>
      <c r="U72" s="588">
        <f t="array" aca="1" ref="U72" ca="1">SUM(I20:I27*Produccion!$N$8:$N$15)</f>
        <v>229.47267000000002</v>
      </c>
      <c r="V72" s="588">
        <f t="array" aca="1" ref="V72" ca="1">SUM(J20:J27*Produccion!$N$8:$N$15)</f>
        <v>305.96356000000003</v>
      </c>
      <c r="W72" s="588">
        <f t="array" aca="1" ref="W72" ca="1">SUM(K20:K27*Produccion!$N$8:$N$15)</f>
        <v>363.33172750000006</v>
      </c>
      <c r="X72" s="588">
        <f t="array" aca="1" ref="X72" ca="1">SUM(L20:L27*Produccion!$N$8:$N$15)</f>
        <v>382.45445000000007</v>
      </c>
      <c r="Y72" s="1985">
        <f t="array" aca="1" ref="Y72" ca="1">SUM(M20:M27*Produccion!$N$8:$N$15)</f>
        <v>458.94534000000004</v>
      </c>
    </row>
    <row r="73" spans="1:26" ht="15.75" customHeight="1">
      <c r="A73" s="1971" t="s">
        <v>864</v>
      </c>
      <c r="B73" s="1967"/>
      <c r="C73" s="1967"/>
      <c r="D73" s="1967"/>
      <c r="E73" s="1967"/>
      <c r="F73" s="1967"/>
      <c r="G73" s="1967"/>
      <c r="H73" s="1967"/>
      <c r="I73" s="1964"/>
      <c r="J73" s="1964"/>
      <c r="K73" s="1964"/>
      <c r="L73" s="1964"/>
      <c r="M73" s="590">
        <f t="array" aca="1" ref="M73" ca="1">SUM(B20:B27*Produccion!$M$8:$M$15)</f>
        <v>0</v>
      </c>
      <c r="N73" s="590">
        <f t="array" aca="1" ref="N73" ca="1">SUM(C20:C27*Produccion!$M$8:$M$15)</f>
        <v>0</v>
      </c>
      <c r="O73" s="590">
        <f t="array" aca="1" ref="O73" ca="1">SUM(D20:D27*Produccion!$M$8:$M$15)</f>
        <v>0</v>
      </c>
      <c r="P73" s="590">
        <f t="array" aca="1" ref="P73" ca="1">SUM(E20:E27*Produccion!$M$8:$M$15)</f>
        <v>0</v>
      </c>
      <c r="Q73" s="590">
        <f t="array" aca="1" ref="Q73" ca="1">SUM(F20:F27*Produccion!$M$8:$M$15)</f>
        <v>0</v>
      </c>
      <c r="R73" s="590">
        <f t="array" aca="1" ref="R73" ca="1">SUM(G20:G27*Produccion!$M$8:$M$15)</f>
        <v>0</v>
      </c>
      <c r="S73" s="590">
        <f t="array" aca="1" ref="S73" ca="1">SUM(H20:H27*Produccion!$M$8:$M$15)</f>
        <v>0</v>
      </c>
      <c r="T73" s="590">
        <f t="array" aca="1" ref="T73" ca="1">SUM(I20:I27*Produccion!$M$8:$M$15)</f>
        <v>0</v>
      </c>
      <c r="U73" s="590">
        <f t="array" aca="1" ref="U73" ca="1">SUM(J20:J27*Produccion!$M$8:$M$15)</f>
        <v>0</v>
      </c>
      <c r="V73" s="590">
        <f t="array" aca="1" ref="V73" ca="1">SUM(K20:K27*Produccion!$M$8:$M$15)</f>
        <v>0</v>
      </c>
      <c r="W73" s="590">
        <f t="array" aca="1" ref="W73" ca="1">SUM(L20:L27*Produccion!$M$8:$M$15)</f>
        <v>0</v>
      </c>
      <c r="X73" s="590">
        <f t="array" aca="1" ref="X73" ca="1">SUM(M20:M27*Produccion!$M$8:$M$15)</f>
        <v>0</v>
      </c>
      <c r="Y73" s="1983">
        <f t="array" aca="1" ref="Y73:Y84" ca="1">'Distr CV 5'!M73:M84</f>
        <v>0</v>
      </c>
    </row>
    <row r="74" spans="1:26" ht="15.75" customHeight="1">
      <c r="A74" s="1971" t="s">
        <v>865</v>
      </c>
      <c r="B74" s="1967"/>
      <c r="C74" s="1967"/>
      <c r="D74" s="1967"/>
      <c r="E74" s="1967"/>
      <c r="F74" s="1967"/>
      <c r="G74" s="1967"/>
      <c r="H74" s="1967"/>
      <c r="I74" s="1964"/>
      <c r="J74" s="1964"/>
      <c r="K74" s="1964"/>
      <c r="L74" s="590">
        <f t="array" aca="1" ref="L74" ca="1">SUM(B20:B27*Produccion!$L$8:$L$15)</f>
        <v>0</v>
      </c>
      <c r="M74" s="590">
        <f t="array" aca="1" ref="M74" ca="1">SUM(C20:C27*Produccion!$L$8:$L$15)</f>
        <v>0</v>
      </c>
      <c r="N74" s="590">
        <f t="array" aca="1" ref="N74" ca="1">SUM(D20:D27*Produccion!$L$8:$L$15)</f>
        <v>0</v>
      </c>
      <c r="O74" s="590">
        <f t="array" aca="1" ref="O74" ca="1">SUM(E20:E27*Produccion!$L$8:$L$15)</f>
        <v>0</v>
      </c>
      <c r="P74" s="590">
        <f t="array" aca="1" ref="P74" ca="1">SUM(F20:F27*Produccion!$L$8:$L$15)</f>
        <v>0</v>
      </c>
      <c r="Q74" s="590">
        <f t="array" aca="1" ref="Q74" ca="1">SUM(G20:G27*Produccion!$L$8:$L$15)</f>
        <v>0</v>
      </c>
      <c r="R74" s="590">
        <f t="array" aca="1" ref="R74" ca="1">SUM(H20:H27*Produccion!$L$8:$L$15)</f>
        <v>0</v>
      </c>
      <c r="S74" s="590">
        <f t="array" aca="1" ref="S74" ca="1">SUM(I20:I27*Produccion!$L$8:$L$15)</f>
        <v>0</v>
      </c>
      <c r="T74" s="590">
        <f t="array" aca="1" ref="T74" ca="1">SUM(J20:J27*Produccion!$L$8:$L$15)</f>
        <v>0</v>
      </c>
      <c r="U74" s="590">
        <f t="array" aca="1" ref="U74" ca="1">SUM(K20:K27*Produccion!$L$8:$L$15)</f>
        <v>0</v>
      </c>
      <c r="V74" s="590">
        <f t="array" aca="1" ref="V74" ca="1">SUM(L20:L27*Produccion!$L$8:$L$15)</f>
        <v>0</v>
      </c>
      <c r="W74" s="590">
        <f t="array" aca="1" ref="W74" ca="1">SUM(M20:M27*Produccion!$L$8:$L$15)</f>
        <v>0</v>
      </c>
      <c r="X74" s="1964">
        <f t="array" aca="1" ref="X74:X84" ca="1">'Distr CV 5'!L74:L84</f>
        <v>0</v>
      </c>
      <c r="Y74" s="1983">
        <f ca="1"/>
        <v>0</v>
      </c>
    </row>
    <row r="75" spans="1:26" ht="15.75" customHeight="1">
      <c r="A75" s="1971" t="s">
        <v>866</v>
      </c>
      <c r="B75" s="1967"/>
      <c r="C75" s="1967"/>
      <c r="D75" s="1967"/>
      <c r="E75" s="1967"/>
      <c r="F75" s="1967"/>
      <c r="G75" s="1967"/>
      <c r="H75" s="1967"/>
      <c r="I75" s="1964"/>
      <c r="J75" s="1964"/>
      <c r="K75" s="590">
        <f t="array" aca="1" ref="K75" ca="1">SUM(B20:B27*Produccion!$K$8:$K$15)</f>
        <v>0</v>
      </c>
      <c r="L75" s="590">
        <f t="array" aca="1" ref="L75" ca="1">SUM(C20:C27*Produccion!$K$8:$K$15)</f>
        <v>0</v>
      </c>
      <c r="M75" s="590">
        <f t="array" aca="1" ref="M75" ca="1">SUM(D20:D27*Produccion!$K$8:$K$15)</f>
        <v>0</v>
      </c>
      <c r="N75" s="590">
        <f t="array" aca="1" ref="N75" ca="1">SUM(E20:E27*Produccion!$K$8:$K$15)</f>
        <v>0</v>
      </c>
      <c r="O75" s="590">
        <f t="array" aca="1" ref="O75" ca="1">SUM(F20:F27*Produccion!$K$8:$K$15)</f>
        <v>0</v>
      </c>
      <c r="P75" s="590">
        <f t="array" aca="1" ref="P75" ca="1">SUM(G20:G27*Produccion!$K$8:$K$15)</f>
        <v>0</v>
      </c>
      <c r="Q75" s="590">
        <f t="array" aca="1" ref="Q75" ca="1">SUM(H20:H27*Produccion!$K$8:$K$15)</f>
        <v>0</v>
      </c>
      <c r="R75" s="590">
        <f t="array" aca="1" ref="R75" ca="1">SUM(I20:I27*Produccion!$K$8:$K$15)</f>
        <v>0</v>
      </c>
      <c r="S75" s="590">
        <f t="array" aca="1" ref="S75" ca="1">SUM(J20:J27*Produccion!$K$8:$K$15)</f>
        <v>0</v>
      </c>
      <c r="T75" s="590">
        <f t="array" aca="1" ref="T75" ca="1">SUM(K20:K27*Produccion!$K$8:$K$15)</f>
        <v>0</v>
      </c>
      <c r="U75" s="590">
        <f t="array" aca="1" ref="U75" ca="1">SUM(L20:L27*Produccion!$K$8:$K$15)</f>
        <v>0</v>
      </c>
      <c r="V75" s="590">
        <f t="array" aca="1" ref="V75" ca="1">SUM(M20:M27*Produccion!$K$8:$K$15)</f>
        <v>0</v>
      </c>
      <c r="W75" s="1964">
        <f t="array" aca="1" ref="W75:W84" ca="1">'Distr CV 5'!K75:K84</f>
        <v>0</v>
      </c>
      <c r="X75" s="1964">
        <f ca="1"/>
        <v>0</v>
      </c>
      <c r="Y75" s="1983">
        <f ca="1"/>
        <v>0</v>
      </c>
    </row>
    <row r="76" spans="1:26" ht="15.75" customHeight="1">
      <c r="A76" s="1971" t="s">
        <v>867</v>
      </c>
      <c r="B76" s="1967"/>
      <c r="C76" s="1967"/>
      <c r="D76" s="1967"/>
      <c r="E76" s="1967"/>
      <c r="F76" s="1967"/>
      <c r="G76" s="1967"/>
      <c r="H76" s="1967"/>
      <c r="I76" s="1964"/>
      <c r="J76" s="590">
        <f t="array" aca="1" ref="J76" ca="1">SUM(B20:B27*Produccion!$J$8:$J$15)</f>
        <v>0</v>
      </c>
      <c r="K76" s="590">
        <f t="array" aca="1" ref="K76" ca="1">SUM(C20:C27*Produccion!$J$8:$J$15)</f>
        <v>0</v>
      </c>
      <c r="L76" s="590">
        <f t="array" aca="1" ref="L76" ca="1">SUM(D20:D27*Produccion!$J$8:$J$15)</f>
        <v>0</v>
      </c>
      <c r="M76" s="590">
        <f t="array" aca="1" ref="M76" ca="1">SUM(E20:E27*Produccion!$J$8:$J$15)</f>
        <v>0</v>
      </c>
      <c r="N76" s="590">
        <f t="array" aca="1" ref="N76" ca="1">SUM(F20:F27*Produccion!$J$8:$J$15)</f>
        <v>0</v>
      </c>
      <c r="O76" s="590">
        <f t="array" aca="1" ref="O76" ca="1">SUM(G20:G27*Produccion!$J$8:$J$15)</f>
        <v>0</v>
      </c>
      <c r="P76" s="590">
        <f t="array" aca="1" ref="P76" ca="1">SUM(H20:H27*Produccion!$J$8:$J$15)</f>
        <v>0</v>
      </c>
      <c r="Q76" s="590">
        <f t="array" aca="1" ref="Q76" ca="1">SUM(I20:I27*Produccion!$J$8:$J$15)</f>
        <v>0</v>
      </c>
      <c r="R76" s="590">
        <f t="array" aca="1" ref="R76" ca="1">SUM(J20:J27*Produccion!$J$8:$J$15)</f>
        <v>0</v>
      </c>
      <c r="S76" s="590">
        <f t="array" aca="1" ref="S76" ca="1">SUM(K20:K27*Produccion!$J$8:$J$15)</f>
        <v>0</v>
      </c>
      <c r="T76" s="590">
        <f t="array" aca="1" ref="T76" ca="1">SUM(L20:L27*Produccion!$J$8:$J$15)</f>
        <v>0</v>
      </c>
      <c r="U76" s="590">
        <f t="array" aca="1" ref="U76" ca="1">SUM(M20:M27*Produccion!$J$8:$J$15)</f>
        <v>0</v>
      </c>
      <c r="V76" s="1964">
        <f t="array" aca="1" ref="V76:V84" ca="1">'Distr CV 5'!J76:J84</f>
        <v>0</v>
      </c>
      <c r="W76" s="1964">
        <f ca="1"/>
        <v>0</v>
      </c>
      <c r="X76" s="1964">
        <f ca="1"/>
        <v>0</v>
      </c>
      <c r="Y76" s="1983">
        <f ca="1"/>
        <v>0</v>
      </c>
    </row>
    <row r="77" spans="1:26" ht="15.75" customHeight="1">
      <c r="A77" s="1971" t="s">
        <v>868</v>
      </c>
      <c r="B77" s="1967"/>
      <c r="C77" s="1967"/>
      <c r="D77" s="1967"/>
      <c r="E77" s="1967"/>
      <c r="F77" s="1967"/>
      <c r="G77" s="1967"/>
      <c r="H77" s="1967"/>
      <c r="I77" s="590">
        <f t="array" aca="1" ref="I77" ca="1">SUM(B20:B27*Produccion!$I$8:$I$15)</f>
        <v>0</v>
      </c>
      <c r="J77" s="590">
        <f t="array" aca="1" ref="J77" ca="1">SUM(C20:C27*Produccion!$I$8:$I$15)</f>
        <v>0</v>
      </c>
      <c r="K77" s="590">
        <f t="array" aca="1" ref="K77" ca="1">SUM(D20:D27*Produccion!$I$8:$I$15)</f>
        <v>0</v>
      </c>
      <c r="L77" s="590">
        <f t="array" aca="1" ref="L77" ca="1">SUM(E20:E27*Produccion!$I$8:$I$15)</f>
        <v>0</v>
      </c>
      <c r="M77" s="590">
        <f t="array" aca="1" ref="M77" ca="1">SUM(F20:F27*Produccion!$I$8:$I$15)</f>
        <v>0</v>
      </c>
      <c r="N77" s="590">
        <f t="array" aca="1" ref="N77" ca="1">SUM(G20:G27*Produccion!$I$8:$I$15)</f>
        <v>0</v>
      </c>
      <c r="O77" s="590">
        <f t="array" aca="1" ref="O77" ca="1">SUM(H20:H27*Produccion!$I$8:$I$15)</f>
        <v>0</v>
      </c>
      <c r="P77" s="590">
        <f t="array" aca="1" ref="P77" ca="1">SUM(I20:I27*Produccion!$I$8:$I$15)</f>
        <v>0</v>
      </c>
      <c r="Q77" s="590">
        <f t="array" aca="1" ref="Q77" ca="1">SUM(J20:J27*Produccion!$I$8:$I$15)</f>
        <v>0</v>
      </c>
      <c r="R77" s="590">
        <f t="array" aca="1" ref="R77" ca="1">SUM(K20:K27*Produccion!$I$8:$I$15)</f>
        <v>0</v>
      </c>
      <c r="S77" s="590">
        <f t="array" aca="1" ref="S77" ca="1">SUM(L20:L27*Produccion!$I$8:$I$15)</f>
        <v>0</v>
      </c>
      <c r="T77" s="590">
        <f t="array" aca="1" ref="T77" ca="1">SUM(M20:M27*Produccion!$I$8:$I$15)</f>
        <v>0</v>
      </c>
      <c r="U77" s="1964">
        <f t="array" aca="1" ref="U77:U84" ca="1">'Distr CV 5'!I77:I84</f>
        <v>0</v>
      </c>
      <c r="V77" s="1964">
        <f ca="1"/>
        <v>0</v>
      </c>
      <c r="W77" s="1964">
        <f ca="1"/>
        <v>0</v>
      </c>
      <c r="X77" s="1964">
        <f ca="1"/>
        <v>0</v>
      </c>
      <c r="Y77" s="1983">
        <f ca="1"/>
        <v>0</v>
      </c>
    </row>
    <row r="78" spans="1:26" ht="15.75" customHeight="1">
      <c r="A78" s="1971" t="s">
        <v>869</v>
      </c>
      <c r="B78" s="1967"/>
      <c r="C78" s="1967"/>
      <c r="D78" s="1967"/>
      <c r="E78" s="1967"/>
      <c r="F78" s="1967"/>
      <c r="G78" s="1967"/>
      <c r="H78" s="590">
        <f t="array" aca="1" ref="H78" ca="1">SUM(B20:B27*Produccion!$H$8:$H$15)</f>
        <v>0</v>
      </c>
      <c r="I78" s="590">
        <f t="array" aca="1" ref="I78" ca="1">SUM(C20:C27*Produccion!$H$8:$H$15)</f>
        <v>0</v>
      </c>
      <c r="J78" s="590">
        <f t="array" aca="1" ref="J78" ca="1">SUM(D20:D27*Produccion!$H$8:$H$15)</f>
        <v>0</v>
      </c>
      <c r="K78" s="590">
        <f t="array" aca="1" ref="K78" ca="1">SUM(E20:E27*Produccion!$H$8:$H$15)</f>
        <v>0</v>
      </c>
      <c r="L78" s="590">
        <f t="array" aca="1" ref="L78" ca="1">SUM(F20:F27*Produccion!$H$8:$H$15)</f>
        <v>0</v>
      </c>
      <c r="M78" s="590">
        <f t="array" aca="1" ref="M78" ca="1">SUM(G20:G27*Produccion!$H$8:$H$15)</f>
        <v>0</v>
      </c>
      <c r="N78" s="590">
        <f t="array" aca="1" ref="N78" ca="1">SUM(H20:H27*Produccion!$H$8:$H$15)</f>
        <v>0</v>
      </c>
      <c r="O78" s="590">
        <f t="array" aca="1" ref="O78" ca="1">SUM(I20:I27*Produccion!$H$8:$H$15)</f>
        <v>0</v>
      </c>
      <c r="P78" s="590">
        <f t="array" aca="1" ref="P78" ca="1">SUM(J20:J27*Produccion!$H$8:$H$15)</f>
        <v>0</v>
      </c>
      <c r="Q78" s="590">
        <f t="array" aca="1" ref="Q78" ca="1">SUM(K20:K27*Produccion!$H$8:$H$15)</f>
        <v>0</v>
      </c>
      <c r="R78" s="590">
        <f t="array" aca="1" ref="R78" ca="1">SUM(L20:L27*Produccion!$H$8:$H$15)</f>
        <v>0</v>
      </c>
      <c r="S78" s="590">
        <f t="array" aca="1" ref="S78" ca="1">SUM(M20:M27*Produccion!$H$8:$H$15)</f>
        <v>0</v>
      </c>
      <c r="T78" s="1964">
        <f t="array" aca="1" ref="T78:T84" ca="1">'Distr CV 5'!H78:H84</f>
        <v>0</v>
      </c>
      <c r="U78" s="1964">
        <f ca="1"/>
        <v>0</v>
      </c>
      <c r="V78" s="1964">
        <f ca="1"/>
        <v>0</v>
      </c>
      <c r="W78" s="1964">
        <f ca="1"/>
        <v>0</v>
      </c>
      <c r="X78" s="1964">
        <f ca="1"/>
        <v>0</v>
      </c>
      <c r="Y78" s="1983">
        <f ca="1"/>
        <v>0</v>
      </c>
    </row>
    <row r="79" spans="1:26" ht="15.75" customHeight="1">
      <c r="A79" s="1971" t="s">
        <v>870</v>
      </c>
      <c r="B79" s="1967"/>
      <c r="C79" s="1967"/>
      <c r="D79" s="1967"/>
      <c r="E79" s="1967"/>
      <c r="F79" s="1967"/>
      <c r="G79" s="592">
        <f t="array" aca="1" ref="G79" ca="1">SUM(B20:B27*Produccion!$G$8:$G$15)</f>
        <v>0</v>
      </c>
      <c r="H79" s="592">
        <f t="array" aca="1" ref="H79" ca="1">SUM(C20:C27*Produccion!$G$8:$G$15)</f>
        <v>0</v>
      </c>
      <c r="I79" s="592">
        <f t="array" aca="1" ref="I79" ca="1">SUM(D20:D27*Produccion!$G$8:$G$15)</f>
        <v>0</v>
      </c>
      <c r="J79" s="592">
        <f t="array" aca="1" ref="J79" ca="1">SUM(E20:E27*Produccion!$G$8:$G$15)</f>
        <v>0</v>
      </c>
      <c r="K79" s="592">
        <f t="array" aca="1" ref="K79" ca="1">SUM(F20:F27*Produccion!$G$8:$G$15)</f>
        <v>0</v>
      </c>
      <c r="L79" s="592">
        <f t="array" aca="1" ref="L79" ca="1">SUM(G20:G27*Produccion!$G$8:$G$15)</f>
        <v>0</v>
      </c>
      <c r="M79" s="592">
        <f t="array" aca="1" ref="M79" ca="1">SUM(H20:H27*Produccion!$G$8:$G$15)</f>
        <v>0</v>
      </c>
      <c r="N79" s="592">
        <f t="array" aca="1" ref="N79" ca="1">SUM(I20:I27*Produccion!$G$8:$G$15)</f>
        <v>0</v>
      </c>
      <c r="O79" s="592">
        <f t="array" aca="1" ref="O79" ca="1">SUM(J20:J27*Produccion!$G$8:$G$15)</f>
        <v>0</v>
      </c>
      <c r="P79" s="592">
        <f t="array" aca="1" ref="P79" ca="1">SUM(K20:K27*Produccion!$G$8:$G$15)</f>
        <v>0</v>
      </c>
      <c r="Q79" s="592">
        <f t="array" aca="1" ref="Q79" ca="1">SUM(L20:L27*Produccion!$G$8:$G$15)</f>
        <v>0</v>
      </c>
      <c r="R79" s="592">
        <f t="array" aca="1" ref="R79" ca="1">SUM(M20:M27*Produccion!$G$8:$G$15)</f>
        <v>0</v>
      </c>
      <c r="S79" s="1968">
        <f t="array" aca="1" ref="S79:S84" ca="1">'Distr CV 5'!G79:G84</f>
        <v>0</v>
      </c>
      <c r="T79" s="1968">
        <f ca="1"/>
        <v>0</v>
      </c>
      <c r="U79" s="1968">
        <f ca="1"/>
        <v>0</v>
      </c>
      <c r="V79" s="1968">
        <f ca="1"/>
        <v>0</v>
      </c>
      <c r="W79" s="1968">
        <f ca="1"/>
        <v>0</v>
      </c>
      <c r="X79" s="1968">
        <f ca="1"/>
        <v>0</v>
      </c>
      <c r="Y79" s="1986">
        <f ca="1"/>
        <v>0</v>
      </c>
    </row>
    <row r="80" spans="1:26" ht="15.75" customHeight="1">
      <c r="A80" s="1971" t="s">
        <v>871</v>
      </c>
      <c r="B80" s="1967"/>
      <c r="C80" s="1967"/>
      <c r="D80" s="1967"/>
      <c r="E80" s="1967"/>
      <c r="F80" s="592">
        <f t="array" aca="1" ref="F80" ca="1">SUM(B20:B27*Produccion!$F$8:$F$15)</f>
        <v>0</v>
      </c>
      <c r="G80" s="592">
        <f t="array" aca="1" ref="G80" ca="1">SUM(C20:C27*Produccion!$F$8:$F$15)</f>
        <v>0</v>
      </c>
      <c r="H80" s="592">
        <f t="array" aca="1" ref="H80" ca="1">SUM(D20:D27*Produccion!$F$8:$F$15)</f>
        <v>0</v>
      </c>
      <c r="I80" s="592">
        <f t="array" aca="1" ref="I80" ca="1">SUM(E20:E27*Produccion!$F$8:$F$15)</f>
        <v>0</v>
      </c>
      <c r="J80" s="592">
        <f t="array" aca="1" ref="J80" ca="1">SUM(F20:F27*Produccion!$F$8:$F$15)</f>
        <v>0</v>
      </c>
      <c r="K80" s="592">
        <f t="array" aca="1" ref="K80" ca="1">SUM(G20:G27*Produccion!$F$8:$F$15)</f>
        <v>0</v>
      </c>
      <c r="L80" s="592">
        <f t="array" aca="1" ref="L80" ca="1">SUM(H20:H27*Produccion!$F$8:$F$15)</f>
        <v>0</v>
      </c>
      <c r="M80" s="592">
        <f t="array" aca="1" ref="M80" ca="1">SUM(I20:I27*Produccion!$F$8:$F$15)</f>
        <v>0</v>
      </c>
      <c r="N80" s="592">
        <f t="array" aca="1" ref="N80" ca="1">SUM(J20:J27*Produccion!$F$8:$F$15)</f>
        <v>0</v>
      </c>
      <c r="O80" s="592">
        <f t="array" aca="1" ref="O80" ca="1">SUM(K20:K27*Produccion!$F$8:$F$15)</f>
        <v>0</v>
      </c>
      <c r="P80" s="592">
        <f t="array" aca="1" ref="P80" ca="1">SUM(L20:L27*Produccion!$F$8:$F$15)</f>
        <v>0</v>
      </c>
      <c r="Q80" s="592">
        <f t="array" aca="1" ref="Q80" ca="1">SUM(M20:M27*Produccion!$F$8:$F$15)</f>
        <v>0</v>
      </c>
      <c r="R80" s="1968">
        <f t="array" aca="1" ref="R80:R84" ca="1">'Distr CV 5'!F80:F84</f>
        <v>0</v>
      </c>
      <c r="S80" s="1968">
        <f ca="1"/>
        <v>0</v>
      </c>
      <c r="T80" s="1968">
        <f ca="1"/>
        <v>0</v>
      </c>
      <c r="U80" s="1968">
        <f ca="1"/>
        <v>0</v>
      </c>
      <c r="V80" s="1968">
        <f ca="1"/>
        <v>0</v>
      </c>
      <c r="W80" s="1968">
        <f ca="1"/>
        <v>0</v>
      </c>
      <c r="X80" s="1968">
        <f ca="1"/>
        <v>0</v>
      </c>
      <c r="Y80" s="1986">
        <f ca="1"/>
        <v>0</v>
      </c>
    </row>
    <row r="81" spans="1:26" ht="15.75" customHeight="1">
      <c r="A81" s="1971" t="s">
        <v>872</v>
      </c>
      <c r="B81" s="1967"/>
      <c r="C81" s="1967"/>
      <c r="D81" s="1967"/>
      <c r="E81" s="592">
        <f t="array" aca="1" ref="E81" ca="1">SUM(B20:B27*Produccion!$E$8:$E$15)</f>
        <v>0</v>
      </c>
      <c r="F81" s="592">
        <f t="array" aca="1" ref="F81" ca="1">SUM(C20:C27*Produccion!$E$8:$E$15)</f>
        <v>0</v>
      </c>
      <c r="G81" s="592">
        <f t="array" aca="1" ref="G81" ca="1">SUM(D20:D27*Produccion!$E$8:$E$15)</f>
        <v>0</v>
      </c>
      <c r="H81" s="592">
        <f t="array" aca="1" ref="H81" ca="1">SUM(E20:E27*Produccion!$E$8:$E$15)</f>
        <v>0</v>
      </c>
      <c r="I81" s="592">
        <f t="array" aca="1" ref="I81" ca="1">SUM(F20:F27*Produccion!$E$8:$E$15)</f>
        <v>0</v>
      </c>
      <c r="J81" s="592">
        <f t="array" aca="1" ref="J81" ca="1">SUM(G20:G27*Produccion!$E$8:$E$15)</f>
        <v>0</v>
      </c>
      <c r="K81" s="592">
        <f t="array" aca="1" ref="K81" ca="1">SUM(H20:H27*Produccion!$E$8:$E$15)</f>
        <v>0</v>
      </c>
      <c r="L81" s="592">
        <f t="array" aca="1" ref="L81" ca="1">SUM(I20:I27*Produccion!$E$8:$E$15)</f>
        <v>0</v>
      </c>
      <c r="M81" s="592">
        <f t="array" aca="1" ref="M81" ca="1">SUM(J20:J27*Produccion!$E$8:$E$15)</f>
        <v>0</v>
      </c>
      <c r="N81" s="592">
        <f t="array" aca="1" ref="N81" ca="1">SUM(K20:K27*Produccion!$E$8:$E$15)</f>
        <v>0</v>
      </c>
      <c r="O81" s="592">
        <f t="array" aca="1" ref="O81" ca="1">SUM(L20:L27*Produccion!$E$8:$E$15)</f>
        <v>0</v>
      </c>
      <c r="P81" s="592">
        <f t="array" aca="1" ref="P81" ca="1">SUM(M20:M27*Produccion!$E$8:$E$15)</f>
        <v>0</v>
      </c>
      <c r="Q81" s="1968">
        <f t="array" aca="1" ref="Q81:Q84" ca="1">'Distr CV 5'!E81:E84</f>
        <v>0</v>
      </c>
      <c r="R81" s="1968">
        <f ca="1"/>
        <v>0</v>
      </c>
      <c r="S81" s="1968">
        <f ca="1"/>
        <v>0</v>
      </c>
      <c r="T81" s="1968">
        <f ca="1"/>
        <v>0</v>
      </c>
      <c r="U81" s="1968">
        <f ca="1"/>
        <v>0</v>
      </c>
      <c r="V81" s="1968">
        <f ca="1"/>
        <v>0</v>
      </c>
      <c r="W81" s="1968">
        <f ca="1"/>
        <v>0</v>
      </c>
      <c r="X81" s="1968">
        <f ca="1"/>
        <v>0</v>
      </c>
      <c r="Y81" s="1986">
        <f ca="1"/>
        <v>0</v>
      </c>
    </row>
    <row r="82" spans="1:26" ht="15.75" customHeight="1">
      <c r="A82" s="1971" t="s">
        <v>873</v>
      </c>
      <c r="B82" s="1967"/>
      <c r="C82" s="1967"/>
      <c r="D82" s="591">
        <f t="array" aca="1" ref="D82" ca="1">SUM(B20:B27*Produccion!$D$8:$D$15)</f>
        <v>0</v>
      </c>
      <c r="E82" s="591">
        <f t="array" aca="1" ref="E82" ca="1">SUM(C20:C27*Produccion!$D$8:$D$15)</f>
        <v>0</v>
      </c>
      <c r="F82" s="591">
        <f t="array" aca="1" ref="F82" ca="1">SUM(D20:D27*Produccion!$D$8:$D$15)</f>
        <v>0</v>
      </c>
      <c r="G82" s="591">
        <f t="array" aca="1" ref="G82" ca="1">SUM(E20:E27*Produccion!$D$8:$D$15)</f>
        <v>0</v>
      </c>
      <c r="H82" s="591">
        <f t="array" aca="1" ref="H82" ca="1">SUM(F20:F27*Produccion!$D$8:$D$15)</f>
        <v>0</v>
      </c>
      <c r="I82" s="591">
        <f t="array" aca="1" ref="I82" ca="1">SUM(G20:G27*Produccion!$D$8:$D$15)</f>
        <v>0</v>
      </c>
      <c r="J82" s="591">
        <f t="array" aca="1" ref="J82" ca="1">SUM(H20:H27*Produccion!$D$8:$D$15)</f>
        <v>0</v>
      </c>
      <c r="K82" s="591">
        <f t="array" aca="1" ref="K82" ca="1">SUM(I20:I27*Produccion!$D$8:$D$15)</f>
        <v>0</v>
      </c>
      <c r="L82" s="591">
        <f t="array" aca="1" ref="L82" ca="1">SUM(J20:J27*Produccion!$D$8:$D$15)</f>
        <v>0</v>
      </c>
      <c r="M82" s="591">
        <f t="array" aca="1" ref="M82" ca="1">SUM(K20:K27*Produccion!$D$8:$D$15)</f>
        <v>0</v>
      </c>
      <c r="N82" s="591">
        <f t="array" aca="1" ref="N82" ca="1">SUM(L20:L27*Produccion!$D$8:$D$15)</f>
        <v>0</v>
      </c>
      <c r="O82" s="591">
        <f t="array" aca="1" ref="O82" ca="1">SUM(M20:M27*Produccion!$D$8:$D$15)</f>
        <v>0</v>
      </c>
      <c r="P82" s="1968">
        <f t="array" aca="1" ref="P82:P84" ca="1">'Distr CV 5'!D82:D84</f>
        <v>0</v>
      </c>
      <c r="Q82" s="1968">
        <f ca="1"/>
        <v>0</v>
      </c>
      <c r="R82" s="1968">
        <f ca="1"/>
        <v>0</v>
      </c>
      <c r="S82" s="1968">
        <f ca="1"/>
        <v>0</v>
      </c>
      <c r="T82" s="1968">
        <f ca="1"/>
        <v>0</v>
      </c>
      <c r="U82" s="1968">
        <f ca="1"/>
        <v>0</v>
      </c>
      <c r="V82" s="1968">
        <f ca="1"/>
        <v>0</v>
      </c>
      <c r="W82" s="1968">
        <f ca="1"/>
        <v>0</v>
      </c>
      <c r="X82" s="1968">
        <f ca="1"/>
        <v>0</v>
      </c>
      <c r="Y82" s="1986">
        <f ca="1"/>
        <v>0</v>
      </c>
    </row>
    <row r="83" spans="1:26" ht="15.75" customHeight="1">
      <c r="A83" s="1971" t="s">
        <v>874</v>
      </c>
      <c r="B83" s="1967"/>
      <c r="C83" s="592">
        <f t="array" aca="1" ref="C83" ca="1">SUM(B20:B27*Produccion!$C$8:$C$15)</f>
        <v>0</v>
      </c>
      <c r="D83" s="592">
        <f t="array" aca="1" ref="D83" ca="1">SUM(C20:C27*Produccion!$C$8:$C$15)</f>
        <v>0</v>
      </c>
      <c r="E83" s="592">
        <f t="array" aca="1" ref="E83" ca="1">SUM(D20:D27*Produccion!$C$8:$C$15)</f>
        <v>0</v>
      </c>
      <c r="F83" s="592">
        <f t="array" aca="1" ref="F83" ca="1">SUM(E20:E27*Produccion!$C$8:$C$15)</f>
        <v>0</v>
      </c>
      <c r="G83" s="592">
        <f t="array" aca="1" ref="G83" ca="1">SUM(F20:F27*Produccion!$C$8:$C$15)</f>
        <v>0</v>
      </c>
      <c r="H83" s="592">
        <f t="array" aca="1" ref="H83" ca="1">SUM(G20:G27*Produccion!$C$8:$C$15)</f>
        <v>0</v>
      </c>
      <c r="I83" s="592">
        <f t="array" aca="1" ref="I83" ca="1">SUM(H20:H27*Produccion!$C$8:$C$15)</f>
        <v>0</v>
      </c>
      <c r="J83" s="592">
        <f t="array" aca="1" ref="J83" ca="1">SUM(I20:I27*Produccion!$C$8:$C$15)</f>
        <v>0</v>
      </c>
      <c r="K83" s="592">
        <f t="array" aca="1" ref="K83" ca="1">SUM(J20:J27*Produccion!$C$8:$C$15)</f>
        <v>0</v>
      </c>
      <c r="L83" s="592">
        <f t="array" aca="1" ref="L83" ca="1">SUM(K20:K27*Produccion!$C$8:$C$15)</f>
        <v>0</v>
      </c>
      <c r="M83" s="592">
        <f t="array" aca="1" ref="M83" ca="1">SUM(L20:L27*Produccion!$C$8:$C$15)</f>
        <v>0</v>
      </c>
      <c r="N83" s="592">
        <f t="array" aca="1" ref="N83" ca="1">SUM(M20:M27*Produccion!$C$8:$C$15)</f>
        <v>0</v>
      </c>
      <c r="O83" s="1968">
        <f t="array" aca="1" ref="O83:O84" ca="1">'Distr CV 5'!C83:C84</f>
        <v>0</v>
      </c>
      <c r="P83" s="1968">
        <f ca="1"/>
        <v>0</v>
      </c>
      <c r="Q83" s="1968">
        <f ca="1"/>
        <v>0</v>
      </c>
      <c r="R83" s="1968">
        <f ca="1"/>
        <v>0</v>
      </c>
      <c r="S83" s="1968">
        <f ca="1"/>
        <v>0</v>
      </c>
      <c r="T83" s="1968">
        <f ca="1"/>
        <v>0</v>
      </c>
      <c r="U83" s="1968">
        <f ca="1"/>
        <v>0</v>
      </c>
      <c r="V83" s="1968">
        <f ca="1"/>
        <v>0</v>
      </c>
      <c r="W83" s="1968">
        <f ca="1"/>
        <v>0</v>
      </c>
      <c r="X83" s="1968">
        <f ca="1"/>
        <v>0</v>
      </c>
      <c r="Y83" s="1986">
        <f ca="1"/>
        <v>0</v>
      </c>
    </row>
    <row r="84" spans="1:26" ht="15.75" customHeight="1" thickBot="1">
      <c r="A84" s="1971" t="s">
        <v>875</v>
      </c>
      <c r="B84" s="592">
        <f t="array" aca="1" ref="B84" ca="1">SUM(B20:B27*Produccion!$B$8:$B$15)</f>
        <v>0</v>
      </c>
      <c r="C84" s="592">
        <f t="array" aca="1" ref="C84" ca="1">SUM(C20:C27*Produccion!$B$8:$B$15)</f>
        <v>0</v>
      </c>
      <c r="D84" s="592">
        <f t="array" aca="1" ref="D84" ca="1">SUM(D20:D27*Produccion!$B$8:$B$15)</f>
        <v>0</v>
      </c>
      <c r="E84" s="592">
        <f t="array" aca="1" ref="E84" ca="1">SUM(E20:E27*Produccion!$B$8:$B$15)</f>
        <v>0</v>
      </c>
      <c r="F84" s="592">
        <f t="array" aca="1" ref="F84" ca="1">SUM(F20:F27*Produccion!$B$8:$B$15)</f>
        <v>0</v>
      </c>
      <c r="G84" s="592">
        <f t="array" aca="1" ref="G84" ca="1">SUM(G20:G27*Produccion!$B$8:$B$15)</f>
        <v>0</v>
      </c>
      <c r="H84" s="592">
        <f t="array" aca="1" ref="H84" ca="1">SUM(H20:H27*Produccion!$B$8:$B$15)</f>
        <v>0</v>
      </c>
      <c r="I84" s="592">
        <f t="array" aca="1" ref="I84" ca="1">SUM(I20:I27*Produccion!$B$8:$B$15)</f>
        <v>0</v>
      </c>
      <c r="J84" s="592">
        <f t="array" aca="1" ref="J84" ca="1">SUM(J20:J27*Produccion!$B$8:$B$15)</f>
        <v>0</v>
      </c>
      <c r="K84" s="592">
        <f t="array" aca="1" ref="K84" ca="1">SUM(K20:K27*Produccion!$B$8:$B$15)</f>
        <v>0</v>
      </c>
      <c r="L84" s="592">
        <f t="array" aca="1" ref="L84" ca="1">SUM(L20:L27*Produccion!$B$8:$B$15)</f>
        <v>0</v>
      </c>
      <c r="M84" s="592">
        <f t="array" aca="1" ref="M84" ca="1">SUM(M20:M27*Produccion!$B$8:$B$15)</f>
        <v>0</v>
      </c>
      <c r="N84" s="1968">
        <f ca="1">'Distr CV 5'!B84</f>
        <v>0</v>
      </c>
      <c r="O84" s="1968">
        <f ca="1"/>
        <v>0</v>
      </c>
      <c r="P84" s="1968">
        <f ca="1"/>
        <v>0</v>
      </c>
      <c r="Q84" s="1968">
        <f ca="1"/>
        <v>0</v>
      </c>
      <c r="R84" s="1968">
        <f ca="1"/>
        <v>0</v>
      </c>
      <c r="S84" s="1968">
        <f ca="1"/>
        <v>0</v>
      </c>
      <c r="T84" s="1968">
        <f ca="1"/>
        <v>0</v>
      </c>
      <c r="U84" s="1968">
        <f ca="1"/>
        <v>0</v>
      </c>
      <c r="V84" s="1968">
        <f ca="1"/>
        <v>0</v>
      </c>
      <c r="W84" s="1968">
        <f ca="1"/>
        <v>0</v>
      </c>
      <c r="X84" s="1968">
        <f ca="1"/>
        <v>0</v>
      </c>
      <c r="Y84" s="1986">
        <f ca="1"/>
        <v>0</v>
      </c>
    </row>
    <row r="85" spans="1:26" ht="15.75" customHeight="1" thickBot="1">
      <c r="A85" s="103" t="str">
        <f>A$28</f>
        <v>Totales</v>
      </c>
      <c r="B85" s="596">
        <f t="shared" ref="B85:Y85" ca="1" si="8">SUM(B72:B84)</f>
        <v>0</v>
      </c>
      <c r="C85" s="596">
        <f t="shared" ca="1" si="8"/>
        <v>0</v>
      </c>
      <c r="D85" s="596">
        <f t="shared" ca="1" si="8"/>
        <v>0</v>
      </c>
      <c r="E85" s="596">
        <f t="shared" ca="1" si="8"/>
        <v>0</v>
      </c>
      <c r="F85" s="596">
        <f t="shared" ca="1" si="8"/>
        <v>0</v>
      </c>
      <c r="G85" s="596">
        <f t="shared" ca="1" si="8"/>
        <v>0</v>
      </c>
      <c r="H85" s="596">
        <f t="shared" ca="1" si="8"/>
        <v>0</v>
      </c>
      <c r="I85" s="596">
        <f t="shared" ca="1" si="8"/>
        <v>0</v>
      </c>
      <c r="J85" s="596">
        <f t="shared" ca="1" si="8"/>
        <v>0</v>
      </c>
      <c r="K85" s="596">
        <f t="shared" ca="1" si="8"/>
        <v>0</v>
      </c>
      <c r="L85" s="596">
        <f t="shared" ca="1" si="8"/>
        <v>0</v>
      </c>
      <c r="M85" s="596">
        <f t="shared" ca="1" si="8"/>
        <v>0</v>
      </c>
      <c r="N85" s="596">
        <f t="shared" ca="1" si="8"/>
        <v>305.96356000000003</v>
      </c>
      <c r="O85" s="596">
        <f t="shared" ca="1" si="8"/>
        <v>382.45445000000007</v>
      </c>
      <c r="P85" s="596">
        <f t="shared" ca="1" si="8"/>
        <v>420.69989500000008</v>
      </c>
      <c r="Q85" s="596">
        <f t="shared" ca="1" si="8"/>
        <v>401.57717249999996</v>
      </c>
      <c r="R85" s="596">
        <f t="shared" ca="1" si="8"/>
        <v>344.20900500000005</v>
      </c>
      <c r="S85" s="596">
        <f t="shared" ca="1" si="8"/>
        <v>325.08628250000004</v>
      </c>
      <c r="T85" s="596">
        <f t="shared" ca="1" si="8"/>
        <v>305.96356000000003</v>
      </c>
      <c r="U85" s="596">
        <f t="shared" ca="1" si="8"/>
        <v>229.47267000000002</v>
      </c>
      <c r="V85" s="596">
        <f t="shared" ca="1" si="8"/>
        <v>305.96356000000003</v>
      </c>
      <c r="W85" s="596">
        <f t="shared" ca="1" si="8"/>
        <v>363.33172750000006</v>
      </c>
      <c r="X85" s="596">
        <f t="shared" ca="1" si="8"/>
        <v>382.45445000000007</v>
      </c>
      <c r="Y85" s="1984">
        <f t="shared" ca="1" si="8"/>
        <v>458.94534000000004</v>
      </c>
    </row>
    <row r="86" spans="1:26">
      <c r="B86" s="61"/>
    </row>
    <row r="87" spans="1:26">
      <c r="B87" s="61">
        <f ca="1">SUM(B85:M85)</f>
        <v>0</v>
      </c>
    </row>
    <row r="88" spans="1:26">
      <c r="B88" s="61"/>
    </row>
    <row r="89" spans="1:26" ht="18.75" thickBot="1">
      <c r="A89" s="1969" t="str">
        <f>'Distr CV 0'!A89</f>
        <v>IVA de los costes de producción por meses de compra</v>
      </c>
      <c r="I89" s="1969"/>
    </row>
    <row r="90" spans="1:26" s="445" customFormat="1" ht="35.25" customHeight="1" thickBot="1">
      <c r="A90" s="446" t="str">
        <f>A$19</f>
        <v>Costes producción</v>
      </c>
      <c r="B90" s="1987" t="str">
        <f t="array" ref="B90:Y90">B$71:Y$71</f>
        <v>enero 
2029</v>
      </c>
      <c r="C90" s="1987" t="str">
        <v>febrero 
2029</v>
      </c>
      <c r="D90" s="1987" t="str">
        <v>marzo 
2029</v>
      </c>
      <c r="E90" s="1987" t="str">
        <v>abril 
2029</v>
      </c>
      <c r="F90" s="1987" t="str">
        <v>mayo 
2029</v>
      </c>
      <c r="G90" s="1987" t="str">
        <v>junio 
2029</v>
      </c>
      <c r="H90" s="1987" t="str">
        <v>julio 
2029</v>
      </c>
      <c r="I90" s="1987" t="str">
        <v>agosto 
2029</v>
      </c>
      <c r="J90" s="1987" t="str">
        <v>septiembre 
2029</v>
      </c>
      <c r="K90" s="1987" t="str">
        <v>octubre 
2029</v>
      </c>
      <c r="L90" s="1987" t="str">
        <v>noviembre 
2029</v>
      </c>
      <c r="M90" s="1987" t="str">
        <v>diciembre 
2029</v>
      </c>
      <c r="N90" s="2703" t="str">
        <v>enero 
2030</v>
      </c>
      <c r="O90" s="2704" t="str">
        <v>febrero 
2030</v>
      </c>
      <c r="P90" s="2704" t="str">
        <v>marzo 
2030</v>
      </c>
      <c r="Q90" s="2704" t="str">
        <v>abril 
2030</v>
      </c>
      <c r="R90" s="2704" t="str">
        <v>mayo 
2030</v>
      </c>
      <c r="S90" s="2704" t="str">
        <v>junio 
2030</v>
      </c>
      <c r="T90" s="2704" t="str">
        <v>julio 
2030</v>
      </c>
      <c r="U90" s="2704" t="str">
        <v>agosto 
2030</v>
      </c>
      <c r="V90" s="2704" t="str">
        <v>septiembre 
2030</v>
      </c>
      <c r="W90" s="2704" t="str">
        <v>octubre 
2030</v>
      </c>
      <c r="X90" s="2704" t="str">
        <v>noviembre 
2030</v>
      </c>
      <c r="Y90" s="2705" t="str">
        <v>diciembre 
2030</v>
      </c>
      <c r="Z90" s="61"/>
    </row>
    <row r="91" spans="1:26" ht="15.75" customHeight="1">
      <c r="A91" s="1970" t="str">
        <f t="array" ref="A91:A104">A$72:A$85</f>
        <v>mismo mes</v>
      </c>
      <c r="B91" s="1967"/>
      <c r="C91" s="1967"/>
      <c r="D91" s="1967"/>
      <c r="E91" s="1967"/>
      <c r="F91" s="1967"/>
      <c r="G91" s="1967"/>
      <c r="H91" s="1965">
        <v>0</v>
      </c>
      <c r="I91" s="1966">
        <v>0</v>
      </c>
      <c r="J91" s="1966">
        <v>0</v>
      </c>
      <c r="K91" s="1966">
        <v>0</v>
      </c>
      <c r="L91" s="1966">
        <v>0</v>
      </c>
      <c r="M91" s="1966">
        <v>0</v>
      </c>
      <c r="N91" s="588">
        <f t="array" aca="1" ref="N91" ca="1">SUM(B32:B39*Produccion!$N$8:$N$15)</f>
        <v>64.252347600000007</v>
      </c>
      <c r="O91" s="588">
        <f t="array" aca="1" ref="O91" ca="1">SUM(C32:C39*Produccion!$N$8:$N$15)</f>
        <v>80.315434500000009</v>
      </c>
      <c r="P91" s="588">
        <f t="array" aca="1" ref="P91" ca="1">SUM(D32:D39*Produccion!$N$8:$N$15)</f>
        <v>88.34697795000001</v>
      </c>
      <c r="Q91" s="588">
        <f t="array" aca="1" ref="Q91" ca="1">SUM(E32:E39*Produccion!$N$8:$N$15)</f>
        <v>84.331206224999988</v>
      </c>
      <c r="R91" s="588">
        <f t="array" aca="1" ref="R91" ca="1">SUM(F32:F39*Produccion!$N$8:$N$15)</f>
        <v>72.283891050000008</v>
      </c>
      <c r="S91" s="588">
        <f t="array" aca="1" ref="S91" ca="1">SUM(G32:G39*Produccion!$N$8:$N$15)</f>
        <v>68.268119325000001</v>
      </c>
      <c r="T91" s="588">
        <f t="array" aca="1" ref="T91" ca="1">SUM(H32:H39*Produccion!$N$8:$N$15)</f>
        <v>64.252347600000007</v>
      </c>
      <c r="U91" s="588">
        <f t="array" aca="1" ref="U91" ca="1">SUM(I32:I39*Produccion!$N$8:$N$15)</f>
        <v>48.189260700000005</v>
      </c>
      <c r="V91" s="588">
        <f t="array" aca="1" ref="V91" ca="1">SUM(J32:J39*Produccion!$N$8:$N$15)</f>
        <v>64.252347600000007</v>
      </c>
      <c r="W91" s="588">
        <f t="array" aca="1" ref="W91" ca="1">SUM(K32:K39*Produccion!$N$8:$N$15)</f>
        <v>76.299662775000016</v>
      </c>
      <c r="X91" s="588">
        <f t="array" aca="1" ref="X91" ca="1">SUM(L32:L39*Produccion!$N$8:$N$15)</f>
        <v>80.315434500000009</v>
      </c>
      <c r="Y91" s="1985">
        <f t="array" aca="1" ref="Y91" ca="1">SUM(M32:M39*Produccion!$N$8:$N$15)</f>
        <v>96.378521400000011</v>
      </c>
    </row>
    <row r="92" spans="1:26" ht="15.75" customHeight="1">
      <c r="A92" s="1971" t="str">
        <v>1 mes antes</v>
      </c>
      <c r="B92" s="1967"/>
      <c r="C92" s="1967"/>
      <c r="D92" s="1967"/>
      <c r="E92" s="1967"/>
      <c r="F92" s="1967"/>
      <c r="G92" s="1967"/>
      <c r="H92" s="1967"/>
      <c r="I92" s="1964"/>
      <c r="J92" s="1964"/>
      <c r="K92" s="1964"/>
      <c r="L92" s="1964"/>
      <c r="M92" s="590">
        <f t="array" aca="1" ref="M92" ca="1">SUM(B32:B39*Produccion!$M$8:$M$15)</f>
        <v>0</v>
      </c>
      <c r="N92" s="590">
        <f t="array" aca="1" ref="N92" ca="1">SUM(C32:C39*Produccion!$M$8:$M$15)</f>
        <v>0</v>
      </c>
      <c r="O92" s="590">
        <f t="array" aca="1" ref="O92" ca="1">SUM(D32:D39*Produccion!$M$8:$M$15)</f>
        <v>0</v>
      </c>
      <c r="P92" s="590">
        <f t="array" aca="1" ref="P92" ca="1">SUM(E32:E39*Produccion!$M$8:$M$15)</f>
        <v>0</v>
      </c>
      <c r="Q92" s="590">
        <f t="array" aca="1" ref="Q92" ca="1">SUM(F32:F39*Produccion!$M$8:$M$15)</f>
        <v>0</v>
      </c>
      <c r="R92" s="590">
        <f t="array" aca="1" ref="R92" ca="1">SUM(G32:G39*Produccion!$M$8:$M$15)</f>
        <v>0</v>
      </c>
      <c r="S92" s="590">
        <f t="array" aca="1" ref="S92" ca="1">SUM(H32:H39*Produccion!$M$8:$M$15)</f>
        <v>0</v>
      </c>
      <c r="T92" s="590">
        <f t="array" aca="1" ref="T92" ca="1">SUM(I32:I39*Produccion!$M$8:$M$15)</f>
        <v>0</v>
      </c>
      <c r="U92" s="590">
        <f t="array" aca="1" ref="U92" ca="1">SUM(J32:J39*Produccion!$M$8:$M$15)</f>
        <v>0</v>
      </c>
      <c r="V92" s="590">
        <f t="array" aca="1" ref="V92" ca="1">SUM(K32:K39*Produccion!$M$8:$M$15)</f>
        <v>0</v>
      </c>
      <c r="W92" s="590">
        <f t="array" aca="1" ref="W92" ca="1">SUM(L32:L39*Produccion!$M$8:$M$15)</f>
        <v>0</v>
      </c>
      <c r="X92" s="590">
        <f t="array" aca="1" ref="X92" ca="1">SUM(M32:M39*Produccion!$M$8:$M$15)</f>
        <v>0</v>
      </c>
      <c r="Y92" s="1983">
        <f t="array" aca="1" ref="Y92:Y103" ca="1">'Distr CV 5'!M92:M103</f>
        <v>0</v>
      </c>
    </row>
    <row r="93" spans="1:26" ht="15.75" customHeight="1">
      <c r="A93" s="1971" t="str">
        <v>2 meses antes</v>
      </c>
      <c r="B93" s="1967"/>
      <c r="C93" s="1967"/>
      <c r="D93" s="1967"/>
      <c r="E93" s="1967"/>
      <c r="F93" s="1967"/>
      <c r="G93" s="1967"/>
      <c r="H93" s="1967"/>
      <c r="I93" s="1964"/>
      <c r="J93" s="1964"/>
      <c r="K93" s="1964"/>
      <c r="L93" s="590">
        <f t="array" aca="1" ref="L93" ca="1">SUM(B32:B39*Produccion!$L$8:$L$15)</f>
        <v>0</v>
      </c>
      <c r="M93" s="590">
        <f t="array" aca="1" ref="M93" ca="1">SUM(C32:C39*Produccion!$L$8:$L$15)</f>
        <v>0</v>
      </c>
      <c r="N93" s="590">
        <f t="array" aca="1" ref="N93" ca="1">SUM(D32:D39*Produccion!$L$8:$L$15)</f>
        <v>0</v>
      </c>
      <c r="O93" s="590">
        <f t="array" aca="1" ref="O93" ca="1">SUM(E32:E39*Produccion!$L$8:$L$15)</f>
        <v>0</v>
      </c>
      <c r="P93" s="590">
        <f t="array" aca="1" ref="P93" ca="1">SUM(F32:F39*Produccion!$L$8:$L$15)</f>
        <v>0</v>
      </c>
      <c r="Q93" s="590">
        <f t="array" aca="1" ref="Q93" ca="1">SUM(G32:G39*Produccion!$L$8:$L$15)</f>
        <v>0</v>
      </c>
      <c r="R93" s="590">
        <f t="array" aca="1" ref="R93" ca="1">SUM(H32:H39*Produccion!$L$8:$L$15)</f>
        <v>0</v>
      </c>
      <c r="S93" s="590">
        <f t="array" aca="1" ref="S93" ca="1">SUM(I32:I39*Produccion!$L$8:$L$15)</f>
        <v>0</v>
      </c>
      <c r="T93" s="590">
        <f t="array" aca="1" ref="T93" ca="1">SUM(J32:J39*Produccion!$L$8:$L$15)</f>
        <v>0</v>
      </c>
      <c r="U93" s="590">
        <f t="array" aca="1" ref="U93" ca="1">SUM(K32:K39*Produccion!$L$8:$L$15)</f>
        <v>0</v>
      </c>
      <c r="V93" s="590">
        <f t="array" aca="1" ref="V93" ca="1">SUM(L32:L39*Produccion!$L$8:$L$15)</f>
        <v>0</v>
      </c>
      <c r="W93" s="590">
        <f t="array" aca="1" ref="W93" ca="1">SUM(M32:M39*Produccion!$L$8:$L$15)</f>
        <v>0</v>
      </c>
      <c r="X93" s="1964">
        <f t="array" aca="1" ref="X93:X103" ca="1">'Distr CV 5'!L93:L103</f>
        <v>0</v>
      </c>
      <c r="Y93" s="1983">
        <f ca="1"/>
        <v>0</v>
      </c>
    </row>
    <row r="94" spans="1:26" ht="15.75" customHeight="1">
      <c r="A94" s="1971" t="str">
        <v>3 meses antes</v>
      </c>
      <c r="B94" s="1967"/>
      <c r="C94" s="1967"/>
      <c r="D94" s="1967"/>
      <c r="E94" s="1967"/>
      <c r="F94" s="1967"/>
      <c r="G94" s="1967"/>
      <c r="H94" s="1967"/>
      <c r="I94" s="1964"/>
      <c r="J94" s="1964"/>
      <c r="K94" s="590">
        <f t="array" aca="1" ref="K94" ca="1">SUM(B32:B39*Produccion!$K$8:$K$15)</f>
        <v>0</v>
      </c>
      <c r="L94" s="590">
        <f t="array" aca="1" ref="L94" ca="1">SUM(C32:C39*Produccion!$K$8:$K$15)</f>
        <v>0</v>
      </c>
      <c r="M94" s="590">
        <f t="array" aca="1" ref="M94" ca="1">SUM(D32:D39*Produccion!$K$8:$K$15)</f>
        <v>0</v>
      </c>
      <c r="N94" s="590">
        <f t="array" aca="1" ref="N94" ca="1">SUM(E32:E39*Produccion!$K$8:$K$15)</f>
        <v>0</v>
      </c>
      <c r="O94" s="590">
        <f t="array" aca="1" ref="O94" ca="1">SUM(F32:F39*Produccion!$K$8:$K$15)</f>
        <v>0</v>
      </c>
      <c r="P94" s="590">
        <f t="array" aca="1" ref="P94" ca="1">SUM(G32:G39*Produccion!$K$8:$K$15)</f>
        <v>0</v>
      </c>
      <c r="Q94" s="590">
        <f t="array" aca="1" ref="Q94" ca="1">SUM(H32:H39*Produccion!$K$8:$K$15)</f>
        <v>0</v>
      </c>
      <c r="R94" s="590">
        <f t="array" aca="1" ref="R94" ca="1">SUM(I32:I39*Produccion!$K$8:$K$15)</f>
        <v>0</v>
      </c>
      <c r="S94" s="590">
        <f t="array" aca="1" ref="S94" ca="1">SUM(J32:J39*Produccion!$K$8:$K$15)</f>
        <v>0</v>
      </c>
      <c r="T94" s="590">
        <f t="array" aca="1" ref="T94" ca="1">SUM(K32:K39*Produccion!$K$8:$K$15)</f>
        <v>0</v>
      </c>
      <c r="U94" s="590">
        <f t="array" aca="1" ref="U94" ca="1">SUM(L32:L39*Produccion!$K$8:$K$15)</f>
        <v>0</v>
      </c>
      <c r="V94" s="590">
        <f t="array" aca="1" ref="V94" ca="1">SUM(M32:M39*Produccion!$K$8:$K$15)</f>
        <v>0</v>
      </c>
      <c r="W94" s="1964">
        <f t="array" aca="1" ref="W94:W103" ca="1">'Distr CV 5'!K94:K103</f>
        <v>0</v>
      </c>
      <c r="X94" s="1964">
        <f ca="1"/>
        <v>0</v>
      </c>
      <c r="Y94" s="1983">
        <f ca="1"/>
        <v>0</v>
      </c>
    </row>
    <row r="95" spans="1:26" ht="15.75" customHeight="1">
      <c r="A95" s="1971" t="str">
        <v>4 meses antes</v>
      </c>
      <c r="B95" s="1967"/>
      <c r="C95" s="1967"/>
      <c r="D95" s="1967"/>
      <c r="E95" s="1967"/>
      <c r="F95" s="1967"/>
      <c r="G95" s="1967"/>
      <c r="H95" s="1967"/>
      <c r="I95" s="1964"/>
      <c r="J95" s="590">
        <f t="array" aca="1" ref="J95" ca="1">SUM(B32:B39*Produccion!$J$8:$J$15)</f>
        <v>0</v>
      </c>
      <c r="K95" s="590">
        <f t="array" aca="1" ref="K95" ca="1">SUM(C32:C39*Produccion!$J$8:$J$15)</f>
        <v>0</v>
      </c>
      <c r="L95" s="590">
        <f t="array" aca="1" ref="L95" ca="1">SUM(D32:D39*Produccion!$J$8:$J$15)</f>
        <v>0</v>
      </c>
      <c r="M95" s="590">
        <f t="array" aca="1" ref="M95" ca="1">SUM(E32:E39*Produccion!$J$8:$J$15)</f>
        <v>0</v>
      </c>
      <c r="N95" s="590">
        <f t="array" aca="1" ref="N95" ca="1">SUM(F32:F39*Produccion!$J$8:$J$15)</f>
        <v>0</v>
      </c>
      <c r="O95" s="590">
        <f t="array" aca="1" ref="O95" ca="1">SUM(G32:G39*Produccion!$J$8:$J$15)</f>
        <v>0</v>
      </c>
      <c r="P95" s="590">
        <f t="array" aca="1" ref="P95" ca="1">SUM(H32:H39*Produccion!$J$8:$J$15)</f>
        <v>0</v>
      </c>
      <c r="Q95" s="590">
        <f t="array" aca="1" ref="Q95" ca="1">SUM(I32:I39*Produccion!$J$8:$J$15)</f>
        <v>0</v>
      </c>
      <c r="R95" s="590">
        <f t="array" aca="1" ref="R95" ca="1">SUM(J32:J39*Produccion!$J$8:$J$15)</f>
        <v>0</v>
      </c>
      <c r="S95" s="590">
        <f t="array" aca="1" ref="S95" ca="1">SUM(K32:K39*Produccion!$J$8:$J$15)</f>
        <v>0</v>
      </c>
      <c r="T95" s="590">
        <f t="array" aca="1" ref="T95" ca="1">SUM(L32:L39*Produccion!$J$8:$J$15)</f>
        <v>0</v>
      </c>
      <c r="U95" s="590">
        <f t="array" aca="1" ref="U95" ca="1">SUM(M32:M39*Produccion!$J$8:$J$15)</f>
        <v>0</v>
      </c>
      <c r="V95" s="1964">
        <f t="array" aca="1" ref="V95:V103" ca="1">'Distr CV 5'!J95:J103</f>
        <v>0</v>
      </c>
      <c r="W95" s="1964">
        <f ca="1"/>
        <v>0</v>
      </c>
      <c r="X95" s="1964">
        <f ca="1"/>
        <v>0</v>
      </c>
      <c r="Y95" s="1983">
        <f ca="1"/>
        <v>0</v>
      </c>
    </row>
    <row r="96" spans="1:26" ht="15.75" customHeight="1">
      <c r="A96" s="1971" t="str">
        <v>5 meses antes</v>
      </c>
      <c r="B96" s="1967"/>
      <c r="C96" s="1967"/>
      <c r="D96" s="1967"/>
      <c r="E96" s="1967"/>
      <c r="F96" s="1967"/>
      <c r="G96" s="1967"/>
      <c r="H96" s="1967"/>
      <c r="I96" s="590">
        <f t="array" aca="1" ref="I96" ca="1">SUM(B32:B39*Produccion!$I$8:$I$15)</f>
        <v>0</v>
      </c>
      <c r="J96" s="590">
        <f t="array" aca="1" ref="J96" ca="1">SUM(C32:C39*Produccion!$I$8:$I$15)</f>
        <v>0</v>
      </c>
      <c r="K96" s="590">
        <f t="array" aca="1" ref="K96" ca="1">SUM(D32:D39*Produccion!$I$8:$I$15)</f>
        <v>0</v>
      </c>
      <c r="L96" s="590">
        <f t="array" aca="1" ref="L96" ca="1">SUM(E32:E39*Produccion!$I$8:$I$15)</f>
        <v>0</v>
      </c>
      <c r="M96" s="590">
        <f t="array" aca="1" ref="M96" ca="1">SUM(F32:F39*Produccion!$I$8:$I$15)</f>
        <v>0</v>
      </c>
      <c r="N96" s="590">
        <f t="array" aca="1" ref="N96" ca="1">SUM(G32:G39*Produccion!$I$8:$I$15)</f>
        <v>0</v>
      </c>
      <c r="O96" s="590">
        <f t="array" aca="1" ref="O96" ca="1">SUM(H32:H39*Produccion!$I$8:$I$15)</f>
        <v>0</v>
      </c>
      <c r="P96" s="590">
        <f t="array" aca="1" ref="P96" ca="1">SUM(I32:I39*Produccion!$I$8:$I$15)</f>
        <v>0</v>
      </c>
      <c r="Q96" s="590">
        <f t="array" aca="1" ref="Q96" ca="1">SUM(J32:J39*Produccion!$I$8:$I$15)</f>
        <v>0</v>
      </c>
      <c r="R96" s="590">
        <f t="array" aca="1" ref="R96" ca="1">SUM(K32:K39*Produccion!$I$8:$I$15)</f>
        <v>0</v>
      </c>
      <c r="S96" s="590">
        <f t="array" aca="1" ref="S96" ca="1">SUM(L32:L39*Produccion!$I$8:$I$15)</f>
        <v>0</v>
      </c>
      <c r="T96" s="590">
        <f t="array" aca="1" ref="T96" ca="1">SUM(M32:M39*Produccion!$I$8:$I$15)</f>
        <v>0</v>
      </c>
      <c r="U96" s="1964">
        <f t="array" aca="1" ref="U96:U103" ca="1">'Distr CV 5'!I96:I103</f>
        <v>0</v>
      </c>
      <c r="V96" s="1964">
        <f ca="1"/>
        <v>0</v>
      </c>
      <c r="W96" s="1964">
        <f ca="1"/>
        <v>0</v>
      </c>
      <c r="X96" s="1964">
        <f ca="1"/>
        <v>0</v>
      </c>
      <c r="Y96" s="1983">
        <f ca="1"/>
        <v>0</v>
      </c>
    </row>
    <row r="97" spans="1:26" ht="15.75" customHeight="1">
      <c r="A97" s="1971" t="str">
        <v>6 meses antes</v>
      </c>
      <c r="B97" s="1967"/>
      <c r="C97" s="1967"/>
      <c r="D97" s="1967"/>
      <c r="E97" s="1967"/>
      <c r="F97" s="1967"/>
      <c r="G97" s="1967"/>
      <c r="H97" s="590">
        <f t="array" aca="1" ref="H97" ca="1">SUM(B32:B39*Produccion!$H$8:$H$15)</f>
        <v>0</v>
      </c>
      <c r="I97" s="590">
        <f t="array" aca="1" ref="I97" ca="1">SUM(C32:C39*Produccion!$H$8:$H$15)</f>
        <v>0</v>
      </c>
      <c r="J97" s="590">
        <f t="array" aca="1" ref="J97" ca="1">SUM(D32:D39*Produccion!$H$8:$H$15)</f>
        <v>0</v>
      </c>
      <c r="K97" s="590">
        <f t="array" aca="1" ref="K97" ca="1">SUM(E32:E39*Produccion!$H$8:$H$15)</f>
        <v>0</v>
      </c>
      <c r="L97" s="590">
        <f t="array" aca="1" ref="L97" ca="1">SUM(F32:F39*Produccion!$H$8:$H$15)</f>
        <v>0</v>
      </c>
      <c r="M97" s="590">
        <f t="array" aca="1" ref="M97" ca="1">SUM(G32:G39*Produccion!$H$8:$H$15)</f>
        <v>0</v>
      </c>
      <c r="N97" s="590">
        <f t="array" aca="1" ref="N97" ca="1">SUM(H32:H39*Produccion!$H$8:$H$15)</f>
        <v>0</v>
      </c>
      <c r="O97" s="590">
        <f t="array" aca="1" ref="O97" ca="1">SUM(I32:I39*Produccion!$H$8:$H$15)</f>
        <v>0</v>
      </c>
      <c r="P97" s="590">
        <f t="array" aca="1" ref="P97" ca="1">SUM(J32:J39*Produccion!$H$8:$H$15)</f>
        <v>0</v>
      </c>
      <c r="Q97" s="590">
        <f t="array" aca="1" ref="Q97" ca="1">SUM(K32:K39*Produccion!$H$8:$H$15)</f>
        <v>0</v>
      </c>
      <c r="R97" s="590">
        <f t="array" aca="1" ref="R97" ca="1">SUM(L32:L39*Produccion!$H$8:$H$15)</f>
        <v>0</v>
      </c>
      <c r="S97" s="590">
        <f t="array" aca="1" ref="S97" ca="1">SUM(M32:M39*Produccion!$H$8:$H$15)</f>
        <v>0</v>
      </c>
      <c r="T97" s="1964">
        <f t="array" aca="1" ref="T97:T103" ca="1">'Distr CV 5'!H97:H103</f>
        <v>0</v>
      </c>
      <c r="U97" s="1964">
        <f ca="1"/>
        <v>0</v>
      </c>
      <c r="V97" s="1964">
        <f ca="1"/>
        <v>0</v>
      </c>
      <c r="W97" s="1964">
        <f ca="1"/>
        <v>0</v>
      </c>
      <c r="X97" s="1964">
        <f ca="1"/>
        <v>0</v>
      </c>
      <c r="Y97" s="1983">
        <f ca="1"/>
        <v>0</v>
      </c>
    </row>
    <row r="98" spans="1:26" ht="15.75" customHeight="1">
      <c r="A98" s="1971" t="str">
        <v>7 meses antes</v>
      </c>
      <c r="B98" s="1967"/>
      <c r="C98" s="1967"/>
      <c r="D98" s="1967"/>
      <c r="E98" s="1967"/>
      <c r="F98" s="1967"/>
      <c r="G98" s="592">
        <f t="array" aca="1" ref="G98" ca="1">SUM(B32:B39*Produccion!$G$8:$G$15)</f>
        <v>0</v>
      </c>
      <c r="H98" s="592">
        <f t="array" aca="1" ref="H98" ca="1">SUM(C32:C39*Produccion!$G$8:$G$15)</f>
        <v>0</v>
      </c>
      <c r="I98" s="592">
        <f t="array" aca="1" ref="I98" ca="1">SUM(D32:D39*Produccion!$G$8:$G$15)</f>
        <v>0</v>
      </c>
      <c r="J98" s="592">
        <f t="array" aca="1" ref="J98" ca="1">SUM(E32:E39*Produccion!$G$8:$G$15)</f>
        <v>0</v>
      </c>
      <c r="K98" s="592">
        <f t="array" aca="1" ref="K98" ca="1">SUM(F32:F39*Produccion!$G$8:$G$15)</f>
        <v>0</v>
      </c>
      <c r="L98" s="592">
        <f t="array" aca="1" ref="L98" ca="1">SUM(G32:G39*Produccion!$G$8:$G$15)</f>
        <v>0</v>
      </c>
      <c r="M98" s="592">
        <f t="array" aca="1" ref="M98" ca="1">SUM(H32:H39*Produccion!$G$8:$G$15)</f>
        <v>0</v>
      </c>
      <c r="N98" s="592">
        <f t="array" aca="1" ref="N98" ca="1">SUM(I32:I39*Produccion!$G$8:$G$15)</f>
        <v>0</v>
      </c>
      <c r="O98" s="592">
        <f t="array" aca="1" ref="O98" ca="1">SUM(J32:J39*Produccion!$G$8:$G$15)</f>
        <v>0</v>
      </c>
      <c r="P98" s="592">
        <f t="array" aca="1" ref="P98" ca="1">SUM(K32:K39*Produccion!$G$8:$G$15)</f>
        <v>0</v>
      </c>
      <c r="Q98" s="592">
        <f t="array" aca="1" ref="Q98" ca="1">SUM(L32:L39*Produccion!$G$8:$G$15)</f>
        <v>0</v>
      </c>
      <c r="R98" s="592">
        <f t="array" aca="1" ref="R98" ca="1">SUM(M32:M39*Produccion!$G$8:$G$15)</f>
        <v>0</v>
      </c>
      <c r="S98" s="1968">
        <f t="array" aca="1" ref="S98:S103" ca="1">'Distr CV 5'!G98:G103</f>
        <v>0</v>
      </c>
      <c r="T98" s="1968">
        <f ca="1"/>
        <v>0</v>
      </c>
      <c r="U98" s="1968">
        <f ca="1"/>
        <v>0</v>
      </c>
      <c r="V98" s="1968">
        <f ca="1"/>
        <v>0</v>
      </c>
      <c r="W98" s="1968">
        <f ca="1"/>
        <v>0</v>
      </c>
      <c r="X98" s="1968">
        <f ca="1"/>
        <v>0</v>
      </c>
      <c r="Y98" s="1986">
        <f ca="1"/>
        <v>0</v>
      </c>
    </row>
    <row r="99" spans="1:26" ht="15.75" customHeight="1">
      <c r="A99" s="1971" t="str">
        <v>8 meses antes</v>
      </c>
      <c r="B99" s="1967"/>
      <c r="C99" s="1967"/>
      <c r="D99" s="1967"/>
      <c r="E99" s="1967"/>
      <c r="F99" s="592">
        <f t="array" aca="1" ref="F99" ca="1">SUM(B32:B39*Produccion!$F$8:$F$15)</f>
        <v>0</v>
      </c>
      <c r="G99" s="592">
        <f t="array" aca="1" ref="G99" ca="1">SUM(C32:C39*Produccion!$F$8:$F$15)</f>
        <v>0</v>
      </c>
      <c r="H99" s="592">
        <f t="array" aca="1" ref="H99" ca="1">SUM(D32:D39*Produccion!$F$8:$F$15)</f>
        <v>0</v>
      </c>
      <c r="I99" s="592">
        <f t="array" aca="1" ref="I99" ca="1">SUM(E32:E39*Produccion!$F$8:$F$15)</f>
        <v>0</v>
      </c>
      <c r="J99" s="592">
        <f t="array" aca="1" ref="J99" ca="1">SUM(F32:F39*Produccion!$F$8:$F$15)</f>
        <v>0</v>
      </c>
      <c r="K99" s="592">
        <f t="array" aca="1" ref="K99" ca="1">SUM(G32:G39*Produccion!$F$8:$F$15)</f>
        <v>0</v>
      </c>
      <c r="L99" s="592">
        <f t="array" aca="1" ref="L99" ca="1">SUM(H32:H39*Produccion!$F$8:$F$15)</f>
        <v>0</v>
      </c>
      <c r="M99" s="592">
        <f t="array" aca="1" ref="M99" ca="1">SUM(I32:I39*Produccion!$F$8:$F$15)</f>
        <v>0</v>
      </c>
      <c r="N99" s="592">
        <f t="array" aca="1" ref="N99" ca="1">SUM(J32:J39*Produccion!$F$8:$F$15)</f>
        <v>0</v>
      </c>
      <c r="O99" s="592">
        <f t="array" aca="1" ref="O99" ca="1">SUM(K32:K39*Produccion!$F$8:$F$15)</f>
        <v>0</v>
      </c>
      <c r="P99" s="592">
        <f t="array" aca="1" ref="P99" ca="1">SUM(L32:L39*Produccion!$F$8:$F$15)</f>
        <v>0</v>
      </c>
      <c r="Q99" s="592">
        <f t="array" aca="1" ref="Q99" ca="1">SUM(M32:M39*Produccion!$F$8:$F$15)</f>
        <v>0</v>
      </c>
      <c r="R99" s="1968">
        <f t="array" aca="1" ref="R99:R103" ca="1">'Distr CV 5'!F99:F103</f>
        <v>0</v>
      </c>
      <c r="S99" s="1968">
        <f ca="1"/>
        <v>0</v>
      </c>
      <c r="T99" s="1968">
        <f ca="1"/>
        <v>0</v>
      </c>
      <c r="U99" s="1968">
        <f ca="1"/>
        <v>0</v>
      </c>
      <c r="V99" s="1968">
        <f ca="1"/>
        <v>0</v>
      </c>
      <c r="W99" s="1968">
        <f ca="1"/>
        <v>0</v>
      </c>
      <c r="X99" s="1968">
        <f ca="1"/>
        <v>0</v>
      </c>
      <c r="Y99" s="1986">
        <f ca="1"/>
        <v>0</v>
      </c>
    </row>
    <row r="100" spans="1:26" ht="15.75" customHeight="1">
      <c r="A100" s="1971" t="str">
        <v>9 meses antes</v>
      </c>
      <c r="B100" s="1967"/>
      <c r="C100" s="1967"/>
      <c r="D100" s="1967"/>
      <c r="E100" s="592">
        <f t="array" aca="1" ref="E100" ca="1">SUM(B32:B39*Produccion!$E$8:$E$15)</f>
        <v>0</v>
      </c>
      <c r="F100" s="592">
        <f t="array" aca="1" ref="F100" ca="1">SUM(C32:C39*Produccion!$E$8:$E$15)</f>
        <v>0</v>
      </c>
      <c r="G100" s="592">
        <f t="array" aca="1" ref="G100" ca="1">SUM(D32:D39*Produccion!$E$8:$E$15)</f>
        <v>0</v>
      </c>
      <c r="H100" s="592">
        <f t="array" aca="1" ref="H100" ca="1">SUM(E32:E39*Produccion!$E$8:$E$15)</f>
        <v>0</v>
      </c>
      <c r="I100" s="592">
        <f t="array" aca="1" ref="I100" ca="1">SUM(F32:F39*Produccion!$E$8:$E$15)</f>
        <v>0</v>
      </c>
      <c r="J100" s="592">
        <f t="array" aca="1" ref="J100" ca="1">SUM(G32:G39*Produccion!$E$8:$E$15)</f>
        <v>0</v>
      </c>
      <c r="K100" s="592">
        <f t="array" aca="1" ref="K100" ca="1">SUM(H32:H39*Produccion!$E$8:$E$15)</f>
        <v>0</v>
      </c>
      <c r="L100" s="592">
        <f t="array" aca="1" ref="L100" ca="1">SUM(I32:I39*Produccion!$E$8:$E$15)</f>
        <v>0</v>
      </c>
      <c r="M100" s="592">
        <f t="array" aca="1" ref="M100" ca="1">SUM(J32:J39*Produccion!$E$8:$E$15)</f>
        <v>0</v>
      </c>
      <c r="N100" s="592">
        <f t="array" aca="1" ref="N100" ca="1">SUM(K32:K39*Produccion!$E$8:$E$15)</f>
        <v>0</v>
      </c>
      <c r="O100" s="592">
        <f t="array" aca="1" ref="O100" ca="1">SUM(L32:L39*Produccion!$E$8:$E$15)</f>
        <v>0</v>
      </c>
      <c r="P100" s="592">
        <f t="array" aca="1" ref="P100" ca="1">SUM(M32:M39*Produccion!$E$8:$E$15)</f>
        <v>0</v>
      </c>
      <c r="Q100" s="1968">
        <f t="array" aca="1" ref="Q100:Q103" ca="1">'Distr CV 5'!E100:E103</f>
        <v>0</v>
      </c>
      <c r="R100" s="1968">
        <f ca="1"/>
        <v>0</v>
      </c>
      <c r="S100" s="1968">
        <f ca="1"/>
        <v>0</v>
      </c>
      <c r="T100" s="1968">
        <f ca="1"/>
        <v>0</v>
      </c>
      <c r="U100" s="1968">
        <f ca="1"/>
        <v>0</v>
      </c>
      <c r="V100" s="1968">
        <f ca="1"/>
        <v>0</v>
      </c>
      <c r="W100" s="1968">
        <f ca="1"/>
        <v>0</v>
      </c>
      <c r="X100" s="1968">
        <f ca="1"/>
        <v>0</v>
      </c>
      <c r="Y100" s="1986">
        <f ca="1"/>
        <v>0</v>
      </c>
    </row>
    <row r="101" spans="1:26" ht="15.75" customHeight="1">
      <c r="A101" s="1971" t="str">
        <v>10 meses antes</v>
      </c>
      <c r="B101" s="1967"/>
      <c r="C101" s="1967"/>
      <c r="D101" s="591">
        <f t="array" aca="1" ref="D101" ca="1">SUM(B32:B39*Produccion!$D$8:$D$15)</f>
        <v>0</v>
      </c>
      <c r="E101" s="591">
        <f t="array" aca="1" ref="E101" ca="1">SUM(C32:C39*Produccion!$D$8:$D$15)</f>
        <v>0</v>
      </c>
      <c r="F101" s="591">
        <f t="array" aca="1" ref="F101" ca="1">SUM(D32:D39*Produccion!$D$8:$D$15)</f>
        <v>0</v>
      </c>
      <c r="G101" s="591">
        <f t="array" aca="1" ref="G101" ca="1">SUM(E32:E39*Produccion!$D$8:$D$15)</f>
        <v>0</v>
      </c>
      <c r="H101" s="591">
        <f t="array" aca="1" ref="H101" ca="1">SUM(F32:F39*Produccion!$D$8:$D$15)</f>
        <v>0</v>
      </c>
      <c r="I101" s="591">
        <f t="array" aca="1" ref="I101" ca="1">SUM(G32:G39*Produccion!$D$8:$D$15)</f>
        <v>0</v>
      </c>
      <c r="J101" s="591">
        <f t="array" aca="1" ref="J101" ca="1">SUM(H32:H39*Produccion!$D$8:$D$15)</f>
        <v>0</v>
      </c>
      <c r="K101" s="591">
        <f t="array" aca="1" ref="K101" ca="1">SUM(I32:I39*Produccion!$D$8:$D$15)</f>
        <v>0</v>
      </c>
      <c r="L101" s="591">
        <f t="array" aca="1" ref="L101" ca="1">SUM(J32:J39*Produccion!$D$8:$D$15)</f>
        <v>0</v>
      </c>
      <c r="M101" s="591">
        <f t="array" aca="1" ref="M101" ca="1">SUM(K32:K39*Produccion!$D$8:$D$15)</f>
        <v>0</v>
      </c>
      <c r="N101" s="591">
        <f t="array" aca="1" ref="N101" ca="1">SUM(L32:L39*Produccion!$D$8:$D$15)</f>
        <v>0</v>
      </c>
      <c r="O101" s="591">
        <f t="array" aca="1" ref="O101" ca="1">SUM(M32:M39*Produccion!$D$8:$D$15)</f>
        <v>0</v>
      </c>
      <c r="P101" s="1968">
        <f t="array" aca="1" ref="P101:P103" ca="1">'Distr CV 5'!D101:D103</f>
        <v>0</v>
      </c>
      <c r="Q101" s="1968">
        <f ca="1"/>
        <v>0</v>
      </c>
      <c r="R101" s="1968">
        <f ca="1"/>
        <v>0</v>
      </c>
      <c r="S101" s="1968">
        <f ca="1"/>
        <v>0</v>
      </c>
      <c r="T101" s="1968">
        <f ca="1"/>
        <v>0</v>
      </c>
      <c r="U101" s="1968">
        <f ca="1"/>
        <v>0</v>
      </c>
      <c r="V101" s="1968">
        <f ca="1"/>
        <v>0</v>
      </c>
      <c r="W101" s="1968">
        <f ca="1"/>
        <v>0</v>
      </c>
      <c r="X101" s="1968">
        <f ca="1"/>
        <v>0</v>
      </c>
      <c r="Y101" s="1986">
        <f ca="1"/>
        <v>0</v>
      </c>
    </row>
    <row r="102" spans="1:26" ht="15.75" customHeight="1">
      <c r="A102" s="1971" t="str">
        <v>11 meses antes</v>
      </c>
      <c r="B102" s="1967"/>
      <c r="C102" s="592">
        <f t="array" aca="1" ref="C102" ca="1">SUM(B32:B39*Produccion!$C$8:$C$15)</f>
        <v>0</v>
      </c>
      <c r="D102" s="592">
        <f t="array" aca="1" ref="D102" ca="1">SUM(C32:C39*Produccion!$C$8:$C$15)</f>
        <v>0</v>
      </c>
      <c r="E102" s="592">
        <f t="array" aca="1" ref="E102" ca="1">SUM(D32:D39*Produccion!$C$8:$C$15)</f>
        <v>0</v>
      </c>
      <c r="F102" s="592">
        <f t="array" aca="1" ref="F102" ca="1">SUM(E32:E39*Produccion!$C$8:$C$15)</f>
        <v>0</v>
      </c>
      <c r="G102" s="592">
        <f t="array" aca="1" ref="G102" ca="1">SUM(F32:F39*Produccion!$C$8:$C$15)</f>
        <v>0</v>
      </c>
      <c r="H102" s="592">
        <f t="array" aca="1" ref="H102" ca="1">SUM(G32:G39*Produccion!$C$8:$C$15)</f>
        <v>0</v>
      </c>
      <c r="I102" s="592">
        <f t="array" aca="1" ref="I102" ca="1">SUM(H32:H39*Produccion!$C$8:$C$15)</f>
        <v>0</v>
      </c>
      <c r="J102" s="592">
        <f t="array" aca="1" ref="J102" ca="1">SUM(I32:I39*Produccion!$C$8:$C$15)</f>
        <v>0</v>
      </c>
      <c r="K102" s="592">
        <f t="array" aca="1" ref="K102" ca="1">SUM(J32:J39*Produccion!$C$8:$C$15)</f>
        <v>0</v>
      </c>
      <c r="L102" s="592">
        <f t="array" aca="1" ref="L102" ca="1">SUM(K32:K39*Produccion!$C$8:$C$15)</f>
        <v>0</v>
      </c>
      <c r="M102" s="592">
        <f t="array" aca="1" ref="M102" ca="1">SUM(L32:L39*Produccion!$C$8:$C$15)</f>
        <v>0</v>
      </c>
      <c r="N102" s="592">
        <f t="array" aca="1" ref="N102" ca="1">SUM(M32:M39*Produccion!$C$8:$C$15)</f>
        <v>0</v>
      </c>
      <c r="O102" s="1968">
        <f ca="1">'Distr CV 5'!C102</f>
        <v>0</v>
      </c>
      <c r="P102" s="1968">
        <f ca="1"/>
        <v>0</v>
      </c>
      <c r="Q102" s="1968">
        <f ca="1"/>
        <v>0</v>
      </c>
      <c r="R102" s="1968">
        <f ca="1"/>
        <v>0</v>
      </c>
      <c r="S102" s="1968">
        <f ca="1"/>
        <v>0</v>
      </c>
      <c r="T102" s="1968">
        <f ca="1"/>
        <v>0</v>
      </c>
      <c r="U102" s="1968">
        <f ca="1"/>
        <v>0</v>
      </c>
      <c r="V102" s="1968">
        <f ca="1"/>
        <v>0</v>
      </c>
      <c r="W102" s="1968">
        <f ca="1"/>
        <v>0</v>
      </c>
      <c r="X102" s="1968">
        <f ca="1"/>
        <v>0</v>
      </c>
      <c r="Y102" s="1986">
        <f ca="1"/>
        <v>0</v>
      </c>
    </row>
    <row r="103" spans="1:26" ht="15.75" customHeight="1" thickBot="1">
      <c r="A103" s="1971" t="str">
        <v>12 meses antes</v>
      </c>
      <c r="B103" s="592">
        <f t="array" aca="1" ref="B103" ca="1">SUM(B32:B39*Produccion!$B$8:$B$15)</f>
        <v>0</v>
      </c>
      <c r="C103" s="592">
        <f t="array" aca="1" ref="C103" ca="1">SUM(C32:C39*Produccion!$B$8:$B$15)</f>
        <v>0</v>
      </c>
      <c r="D103" s="592">
        <f t="array" aca="1" ref="D103" ca="1">SUM(D32:D39*Produccion!$B$8:$B$15)</f>
        <v>0</v>
      </c>
      <c r="E103" s="592">
        <f t="array" aca="1" ref="E103" ca="1">SUM(E32:E39*Produccion!$B$8:$B$15)</f>
        <v>0</v>
      </c>
      <c r="F103" s="592">
        <f t="array" aca="1" ref="F103" ca="1">SUM(F32:F39*Produccion!$B$8:$B$15)</f>
        <v>0</v>
      </c>
      <c r="G103" s="592">
        <f t="array" aca="1" ref="G103" ca="1">SUM(G32:G39*Produccion!$B$8:$B$15)</f>
        <v>0</v>
      </c>
      <c r="H103" s="592">
        <f t="array" aca="1" ref="H103" ca="1">SUM(H32:H39*Produccion!$B$8:$B$15)</f>
        <v>0</v>
      </c>
      <c r="I103" s="592">
        <f t="array" aca="1" ref="I103" ca="1">SUM(I32:I39*Produccion!$B$8:$B$15)</f>
        <v>0</v>
      </c>
      <c r="J103" s="592">
        <f t="array" aca="1" ref="J103" ca="1">SUM(J32:J39*Produccion!$B$8:$B$15)</f>
        <v>0</v>
      </c>
      <c r="K103" s="592">
        <f t="array" aca="1" ref="K103" ca="1">SUM(K32:K39*Produccion!$B$8:$B$15)</f>
        <v>0</v>
      </c>
      <c r="L103" s="592">
        <f t="array" aca="1" ref="L103" ca="1">SUM(L32:L39*Produccion!$B$8:$B$15)</f>
        <v>0</v>
      </c>
      <c r="M103" s="592">
        <f t="array" aca="1" ref="M103" ca="1">SUM(M32:M39*Produccion!$B$8:$B$15)</f>
        <v>0</v>
      </c>
      <c r="N103" s="1968">
        <f ca="1">'Distr CV 5'!B103</f>
        <v>0</v>
      </c>
      <c r="O103" s="1968">
        <f ca="1">'Distr CV 5'!C103</f>
        <v>0</v>
      </c>
      <c r="P103" s="1968">
        <f ca="1"/>
        <v>0</v>
      </c>
      <c r="Q103" s="1968">
        <f ca="1"/>
        <v>0</v>
      </c>
      <c r="R103" s="1968">
        <f ca="1"/>
        <v>0</v>
      </c>
      <c r="S103" s="1968">
        <f ca="1"/>
        <v>0</v>
      </c>
      <c r="T103" s="1968">
        <f ca="1"/>
        <v>0</v>
      </c>
      <c r="U103" s="1968">
        <f ca="1"/>
        <v>0</v>
      </c>
      <c r="V103" s="1968">
        <f ca="1"/>
        <v>0</v>
      </c>
      <c r="W103" s="1968">
        <f ca="1"/>
        <v>0</v>
      </c>
      <c r="X103" s="1968">
        <f ca="1"/>
        <v>0</v>
      </c>
      <c r="Y103" s="1986">
        <f ca="1"/>
        <v>0</v>
      </c>
    </row>
    <row r="104" spans="1:26" ht="15.75" customHeight="1" thickBot="1">
      <c r="A104" s="103" t="str">
        <v>Totales</v>
      </c>
      <c r="B104" s="596">
        <f t="shared" ref="B104:Y104" ca="1" si="9">SUM(B91:B103)</f>
        <v>0</v>
      </c>
      <c r="C104" s="596">
        <f t="shared" ca="1" si="9"/>
        <v>0</v>
      </c>
      <c r="D104" s="596">
        <f t="shared" ca="1" si="9"/>
        <v>0</v>
      </c>
      <c r="E104" s="596">
        <f t="shared" ca="1" si="9"/>
        <v>0</v>
      </c>
      <c r="F104" s="596">
        <f t="shared" ca="1" si="9"/>
        <v>0</v>
      </c>
      <c r="G104" s="596">
        <f t="shared" ca="1" si="9"/>
        <v>0</v>
      </c>
      <c r="H104" s="596">
        <f t="shared" ca="1" si="9"/>
        <v>0</v>
      </c>
      <c r="I104" s="596">
        <f t="shared" ca="1" si="9"/>
        <v>0</v>
      </c>
      <c r="J104" s="596">
        <f t="shared" ca="1" si="9"/>
        <v>0</v>
      </c>
      <c r="K104" s="596">
        <f t="shared" ca="1" si="9"/>
        <v>0</v>
      </c>
      <c r="L104" s="596">
        <f t="shared" ca="1" si="9"/>
        <v>0</v>
      </c>
      <c r="M104" s="596">
        <f t="shared" ca="1" si="9"/>
        <v>0</v>
      </c>
      <c r="N104" s="596">
        <f t="shared" ca="1" si="9"/>
        <v>64.252347600000007</v>
      </c>
      <c r="O104" s="596">
        <f t="shared" ca="1" si="9"/>
        <v>80.315434500000009</v>
      </c>
      <c r="P104" s="596">
        <f t="shared" ca="1" si="9"/>
        <v>88.34697795000001</v>
      </c>
      <c r="Q104" s="596">
        <f t="shared" ca="1" si="9"/>
        <v>84.331206224999988</v>
      </c>
      <c r="R104" s="596">
        <f t="shared" ca="1" si="9"/>
        <v>72.283891050000008</v>
      </c>
      <c r="S104" s="596">
        <f t="shared" ca="1" si="9"/>
        <v>68.268119325000001</v>
      </c>
      <c r="T104" s="596">
        <f t="shared" ca="1" si="9"/>
        <v>64.252347600000007</v>
      </c>
      <c r="U104" s="596">
        <f t="shared" ca="1" si="9"/>
        <v>48.189260700000005</v>
      </c>
      <c r="V104" s="596">
        <f t="shared" ca="1" si="9"/>
        <v>64.252347600000007</v>
      </c>
      <c r="W104" s="596">
        <f t="shared" ca="1" si="9"/>
        <v>76.299662775000016</v>
      </c>
      <c r="X104" s="596">
        <f t="shared" ca="1" si="9"/>
        <v>80.315434500000009</v>
      </c>
      <c r="Y104" s="1984">
        <f t="shared" ca="1" si="9"/>
        <v>96.378521400000011</v>
      </c>
    </row>
    <row r="106" spans="1:26">
      <c r="A106" s="232" t="str">
        <f>'Datos Básicos'!A28&amp;" del pendiente anterior"</f>
        <v>IVA del pendiente anterior</v>
      </c>
      <c r="B106" s="61">
        <f ca="1">SUM(B104:M104)</f>
        <v>0</v>
      </c>
    </row>
    <row r="108" spans="1:26">
      <c r="F108" s="61" t="s">
        <v>885</v>
      </c>
      <c r="K108" s="61" t="s">
        <v>887</v>
      </c>
    </row>
    <row r="109" spans="1:26" ht="18.75" thickBot="1">
      <c r="A109" s="1969" t="str">
        <f>'Distr CV 0'!A109</f>
        <v>Compras / costes de producción por meses de producto o servicio</v>
      </c>
      <c r="I109" s="1969" t="str">
        <f>I$18</f>
        <v>IVA NO incluido</v>
      </c>
      <c r="K109" s="1981">
        <f>Parametros!$F$24</f>
        <v>0.21</v>
      </c>
    </row>
    <row r="110" spans="1:26" s="445" customFormat="1" ht="30" customHeight="1" thickBot="1">
      <c r="A110" s="446" t="s">
        <v>886</v>
      </c>
      <c r="B110" s="1987" t="str">
        <f t="array" ref="B110:Y110">B$71:Y$71</f>
        <v>enero 
2029</v>
      </c>
      <c r="C110" s="1987" t="str">
        <v>febrero 
2029</v>
      </c>
      <c r="D110" s="1987" t="str">
        <v>marzo 
2029</v>
      </c>
      <c r="E110" s="1987" t="str">
        <v>abril 
2029</v>
      </c>
      <c r="F110" s="1987" t="str">
        <v>mayo 
2029</v>
      </c>
      <c r="G110" s="1987" t="str">
        <v>junio 
2029</v>
      </c>
      <c r="H110" s="1987" t="str">
        <v>julio 
2029</v>
      </c>
      <c r="I110" s="1987" t="str">
        <v>agosto 
2029</v>
      </c>
      <c r="J110" s="1987" t="str">
        <v>septiembre 
2029</v>
      </c>
      <c r="K110" s="1987" t="str">
        <v>octubre 
2029</v>
      </c>
      <c r="L110" s="1987" t="str">
        <v>noviembre 
2029</v>
      </c>
      <c r="M110" s="1987" t="str">
        <v>diciembre 
2029</v>
      </c>
      <c r="N110" s="2703" t="str">
        <v>enero 
2030</v>
      </c>
      <c r="O110" s="2704" t="str">
        <v>febrero 
2030</v>
      </c>
      <c r="P110" s="2704" t="str">
        <v>marzo 
2030</v>
      </c>
      <c r="Q110" s="2704" t="str">
        <v>abril 
2030</v>
      </c>
      <c r="R110" s="2704" t="str">
        <v>mayo 
2030</v>
      </c>
      <c r="S110" s="2704" t="str">
        <v>junio 
2030</v>
      </c>
      <c r="T110" s="2704" t="str">
        <v>julio 
2030</v>
      </c>
      <c r="U110" s="2704" t="str">
        <v>agosto 
2030</v>
      </c>
      <c r="V110" s="2704" t="str">
        <v>septiembre 
2030</v>
      </c>
      <c r="W110" s="2704" t="str">
        <v>octubre 
2030</v>
      </c>
      <c r="X110" s="2704" t="str">
        <v>noviembre 
2030</v>
      </c>
      <c r="Y110" s="2705" t="str">
        <v>diciembre 
2030</v>
      </c>
      <c r="Z110" s="61"/>
    </row>
    <row r="111" spans="1:26">
      <c r="A111" s="1970" t="str">
        <f t="array" ref="A111:A123">A$72:A$84</f>
        <v>mismo mes</v>
      </c>
      <c r="B111" s="1967"/>
      <c r="C111" s="1967"/>
      <c r="D111" s="1967"/>
      <c r="E111" s="1967"/>
      <c r="F111" s="1967"/>
      <c r="G111" s="1967"/>
      <c r="H111" s="1967"/>
      <c r="I111" s="1967"/>
      <c r="J111" s="1967"/>
      <c r="K111" s="1967"/>
      <c r="L111" s="1967"/>
      <c r="M111" s="1967"/>
      <c r="N111" s="592">
        <f t="array" aca="1" ref="N111:Y111" ca="1">B$20:M20*Produccion!$N$8</f>
        <v>305.96356000000003</v>
      </c>
      <c r="O111" s="592">
        <f ca="1"/>
        <v>382.45445000000007</v>
      </c>
      <c r="P111" s="592">
        <f ca="1"/>
        <v>420.69989500000008</v>
      </c>
      <c r="Q111" s="592">
        <f ca="1"/>
        <v>401.57717249999996</v>
      </c>
      <c r="R111" s="592">
        <f ca="1"/>
        <v>344.20900500000005</v>
      </c>
      <c r="S111" s="592">
        <f ca="1"/>
        <v>325.08628250000004</v>
      </c>
      <c r="T111" s="592">
        <f ca="1"/>
        <v>305.96356000000003</v>
      </c>
      <c r="U111" s="592">
        <f ca="1"/>
        <v>229.47267000000002</v>
      </c>
      <c r="V111" s="592">
        <f ca="1"/>
        <v>305.96356000000003</v>
      </c>
      <c r="W111" s="592">
        <f ca="1"/>
        <v>363.33172750000006</v>
      </c>
      <c r="X111" s="592">
        <f ca="1"/>
        <v>382.45445000000007</v>
      </c>
      <c r="Y111" s="1982">
        <f ca="1"/>
        <v>458.94534000000004</v>
      </c>
    </row>
    <row r="112" spans="1:26">
      <c r="A112" s="1971" t="str">
        <v>1 mes antes</v>
      </c>
      <c r="B112" s="1967"/>
      <c r="C112" s="1967"/>
      <c r="D112" s="1967"/>
      <c r="E112" s="1967"/>
      <c r="F112" s="1967"/>
      <c r="G112" s="1967"/>
      <c r="H112" s="1967"/>
      <c r="I112" s="1967"/>
      <c r="J112" s="1967"/>
      <c r="K112" s="1967"/>
      <c r="L112" s="1967"/>
      <c r="M112" s="592">
        <f t="array" aca="1" ref="M112:X112" ca="1">B$20:M20*Produccion!$M$8</f>
        <v>0</v>
      </c>
      <c r="N112" s="592">
        <f ca="1"/>
        <v>0</v>
      </c>
      <c r="O112" s="592">
        <f ca="1"/>
        <v>0</v>
      </c>
      <c r="P112" s="592">
        <f ca="1"/>
        <v>0</v>
      </c>
      <c r="Q112" s="592">
        <f ca="1"/>
        <v>0</v>
      </c>
      <c r="R112" s="592">
        <f ca="1"/>
        <v>0</v>
      </c>
      <c r="S112" s="592">
        <f ca="1"/>
        <v>0</v>
      </c>
      <c r="T112" s="592">
        <f ca="1"/>
        <v>0</v>
      </c>
      <c r="U112" s="592">
        <f ca="1"/>
        <v>0</v>
      </c>
      <c r="V112" s="592">
        <f ca="1"/>
        <v>0</v>
      </c>
      <c r="W112" s="592">
        <f ca="1"/>
        <v>0</v>
      </c>
      <c r="X112" s="592">
        <f ca="1"/>
        <v>0</v>
      </c>
      <c r="Y112" s="1983">
        <f t="array" aca="1" ref="Y112:Y123" ca="1">'Distr CV 5'!M112:M123</f>
        <v>0</v>
      </c>
    </row>
    <row r="113" spans="1:25">
      <c r="A113" s="1971" t="str">
        <v>2 meses antes</v>
      </c>
      <c r="B113" s="1967"/>
      <c r="C113" s="1967"/>
      <c r="D113" s="1967"/>
      <c r="E113" s="1967"/>
      <c r="F113" s="1967"/>
      <c r="G113" s="1967"/>
      <c r="H113" s="1967"/>
      <c r="I113" s="1967"/>
      <c r="J113" s="1967"/>
      <c r="K113" s="1967"/>
      <c r="L113" s="592">
        <f t="array" aca="1" ref="L113:W113" ca="1">B$20:M20*Produccion!$L$8</f>
        <v>0</v>
      </c>
      <c r="M113" s="592">
        <f ca="1"/>
        <v>0</v>
      </c>
      <c r="N113" s="592">
        <f ca="1"/>
        <v>0</v>
      </c>
      <c r="O113" s="592">
        <f ca="1"/>
        <v>0</v>
      </c>
      <c r="P113" s="592">
        <f ca="1"/>
        <v>0</v>
      </c>
      <c r="Q113" s="592">
        <f ca="1"/>
        <v>0</v>
      </c>
      <c r="R113" s="592">
        <f ca="1"/>
        <v>0</v>
      </c>
      <c r="S113" s="592">
        <f ca="1"/>
        <v>0</v>
      </c>
      <c r="T113" s="592">
        <f ca="1"/>
        <v>0</v>
      </c>
      <c r="U113" s="592">
        <f ca="1"/>
        <v>0</v>
      </c>
      <c r="V113" s="592">
        <f ca="1"/>
        <v>0</v>
      </c>
      <c r="W113" s="592">
        <f ca="1"/>
        <v>0</v>
      </c>
      <c r="X113" s="1964">
        <f t="array" aca="1" ref="X113:X123" ca="1">'Distr CV 5'!L113:L123</f>
        <v>0</v>
      </c>
      <c r="Y113" s="1983">
        <f ca="1"/>
        <v>0</v>
      </c>
    </row>
    <row r="114" spans="1:25">
      <c r="A114" s="1971" t="str">
        <v>3 meses antes</v>
      </c>
      <c r="B114" s="1967"/>
      <c r="C114" s="1967"/>
      <c r="D114" s="1967"/>
      <c r="E114" s="1967"/>
      <c r="F114" s="1967"/>
      <c r="G114" s="1967"/>
      <c r="H114" s="1967"/>
      <c r="I114" s="1967"/>
      <c r="J114" s="1967"/>
      <c r="K114" s="592">
        <f t="array" aca="1" ref="K114:V114" ca="1">B$20:M20*Produccion!$K$8</f>
        <v>0</v>
      </c>
      <c r="L114" s="592">
        <f ca="1"/>
        <v>0</v>
      </c>
      <c r="M114" s="592">
        <f ca="1"/>
        <v>0</v>
      </c>
      <c r="N114" s="592">
        <f ca="1"/>
        <v>0</v>
      </c>
      <c r="O114" s="592">
        <f ca="1"/>
        <v>0</v>
      </c>
      <c r="P114" s="592">
        <f ca="1"/>
        <v>0</v>
      </c>
      <c r="Q114" s="592">
        <f ca="1"/>
        <v>0</v>
      </c>
      <c r="R114" s="592">
        <f ca="1"/>
        <v>0</v>
      </c>
      <c r="S114" s="592">
        <f ca="1"/>
        <v>0</v>
      </c>
      <c r="T114" s="592">
        <f ca="1"/>
        <v>0</v>
      </c>
      <c r="U114" s="592">
        <f ca="1"/>
        <v>0</v>
      </c>
      <c r="V114" s="592">
        <f ca="1"/>
        <v>0</v>
      </c>
      <c r="W114" s="1964">
        <f t="array" aca="1" ref="W114:W123" ca="1">'Distr CV 5'!K114:K123</f>
        <v>0</v>
      </c>
      <c r="X114" s="1964">
        <f ca="1"/>
        <v>0</v>
      </c>
      <c r="Y114" s="1983">
        <f ca="1"/>
        <v>0</v>
      </c>
    </row>
    <row r="115" spans="1:25">
      <c r="A115" s="1971" t="str">
        <v>4 meses antes</v>
      </c>
      <c r="B115" s="1967"/>
      <c r="C115" s="1967"/>
      <c r="D115" s="1967"/>
      <c r="E115" s="1967"/>
      <c r="F115" s="1967"/>
      <c r="G115" s="1967"/>
      <c r="H115" s="1967"/>
      <c r="I115" s="1967"/>
      <c r="J115" s="592">
        <f t="array" aca="1" ref="J115:U115" ca="1">B$20:M20*Produccion!$J$8</f>
        <v>0</v>
      </c>
      <c r="K115" s="592">
        <f ca="1"/>
        <v>0</v>
      </c>
      <c r="L115" s="592">
        <f ca="1"/>
        <v>0</v>
      </c>
      <c r="M115" s="592">
        <f ca="1"/>
        <v>0</v>
      </c>
      <c r="N115" s="592">
        <f ca="1"/>
        <v>0</v>
      </c>
      <c r="O115" s="592">
        <f ca="1"/>
        <v>0</v>
      </c>
      <c r="P115" s="592">
        <f ca="1"/>
        <v>0</v>
      </c>
      <c r="Q115" s="592">
        <f ca="1"/>
        <v>0</v>
      </c>
      <c r="R115" s="592">
        <f ca="1"/>
        <v>0</v>
      </c>
      <c r="S115" s="592">
        <f ca="1"/>
        <v>0</v>
      </c>
      <c r="T115" s="592">
        <f ca="1"/>
        <v>0</v>
      </c>
      <c r="U115" s="592">
        <f ca="1"/>
        <v>0</v>
      </c>
      <c r="V115" s="1964">
        <f t="array" aca="1" ref="V115:V123" ca="1">'Distr CV 5'!J115:J123</f>
        <v>0</v>
      </c>
      <c r="W115" s="1964">
        <f ca="1"/>
        <v>0</v>
      </c>
      <c r="X115" s="1964">
        <f ca="1"/>
        <v>0</v>
      </c>
      <c r="Y115" s="1983">
        <f ca="1"/>
        <v>0</v>
      </c>
    </row>
    <row r="116" spans="1:25">
      <c r="A116" s="1971" t="str">
        <v>5 meses antes</v>
      </c>
      <c r="B116" s="1967"/>
      <c r="C116" s="1967"/>
      <c r="D116" s="1967"/>
      <c r="E116" s="1967"/>
      <c r="F116" s="1967"/>
      <c r="G116" s="1967"/>
      <c r="H116" s="1967"/>
      <c r="I116" s="592">
        <f t="array" aca="1" ref="I116:T116" ca="1">B$20:M20*Produccion!$I$8</f>
        <v>0</v>
      </c>
      <c r="J116" s="592">
        <f ca="1"/>
        <v>0</v>
      </c>
      <c r="K116" s="592">
        <f ca="1"/>
        <v>0</v>
      </c>
      <c r="L116" s="592">
        <f ca="1"/>
        <v>0</v>
      </c>
      <c r="M116" s="592">
        <f ca="1"/>
        <v>0</v>
      </c>
      <c r="N116" s="592">
        <f ca="1"/>
        <v>0</v>
      </c>
      <c r="O116" s="592">
        <f ca="1"/>
        <v>0</v>
      </c>
      <c r="P116" s="592">
        <f ca="1"/>
        <v>0</v>
      </c>
      <c r="Q116" s="592">
        <f ca="1"/>
        <v>0</v>
      </c>
      <c r="R116" s="592">
        <f ca="1"/>
        <v>0</v>
      </c>
      <c r="S116" s="592">
        <f ca="1"/>
        <v>0</v>
      </c>
      <c r="T116" s="592">
        <f ca="1"/>
        <v>0</v>
      </c>
      <c r="U116" s="1964">
        <f t="array" aca="1" ref="U116:U123" ca="1">'Distr CV 5'!I116:I123</f>
        <v>0</v>
      </c>
      <c r="V116" s="1964">
        <f ca="1"/>
        <v>0</v>
      </c>
      <c r="W116" s="1964">
        <f ca="1"/>
        <v>0</v>
      </c>
      <c r="X116" s="1964">
        <f ca="1"/>
        <v>0</v>
      </c>
      <c r="Y116" s="1983">
        <f ca="1"/>
        <v>0</v>
      </c>
    </row>
    <row r="117" spans="1:25">
      <c r="A117" s="1971" t="str">
        <v>6 meses antes</v>
      </c>
      <c r="B117" s="1967"/>
      <c r="C117" s="1967"/>
      <c r="D117" s="1967"/>
      <c r="E117" s="1967"/>
      <c r="F117" s="1967"/>
      <c r="G117" s="1967"/>
      <c r="H117" s="592">
        <f t="array" aca="1" ref="H117:S117" ca="1">B$20:M20*Produccion!$H$8</f>
        <v>0</v>
      </c>
      <c r="I117" s="592">
        <f ca="1"/>
        <v>0</v>
      </c>
      <c r="J117" s="592">
        <f ca="1"/>
        <v>0</v>
      </c>
      <c r="K117" s="592">
        <f ca="1"/>
        <v>0</v>
      </c>
      <c r="L117" s="592">
        <f ca="1"/>
        <v>0</v>
      </c>
      <c r="M117" s="592">
        <f ca="1"/>
        <v>0</v>
      </c>
      <c r="N117" s="592">
        <f ca="1"/>
        <v>0</v>
      </c>
      <c r="O117" s="592">
        <f ca="1"/>
        <v>0</v>
      </c>
      <c r="P117" s="592">
        <f ca="1"/>
        <v>0</v>
      </c>
      <c r="Q117" s="592">
        <f ca="1"/>
        <v>0</v>
      </c>
      <c r="R117" s="592">
        <f ca="1"/>
        <v>0</v>
      </c>
      <c r="S117" s="592">
        <f ca="1"/>
        <v>0</v>
      </c>
      <c r="T117" s="1964">
        <f t="array" aca="1" ref="T117:T123" ca="1">'Distr CV 5'!H117:H123</f>
        <v>0</v>
      </c>
      <c r="U117" s="1964">
        <f ca="1"/>
        <v>0</v>
      </c>
      <c r="V117" s="1964">
        <f ca="1"/>
        <v>0</v>
      </c>
      <c r="W117" s="1964">
        <f ca="1"/>
        <v>0</v>
      </c>
      <c r="X117" s="1964">
        <f ca="1"/>
        <v>0</v>
      </c>
      <c r="Y117" s="1983">
        <f ca="1"/>
        <v>0</v>
      </c>
    </row>
    <row r="118" spans="1:25">
      <c r="A118" s="1971" t="str">
        <v>7 meses antes</v>
      </c>
      <c r="B118" s="1967"/>
      <c r="C118" s="1967"/>
      <c r="D118" s="1967"/>
      <c r="E118" s="1967"/>
      <c r="F118" s="1967"/>
      <c r="G118" s="592">
        <f t="array" aca="1" ref="G118:R118" ca="1">B$20:M20*Produccion!$G$8</f>
        <v>0</v>
      </c>
      <c r="H118" s="592">
        <f ca="1"/>
        <v>0</v>
      </c>
      <c r="I118" s="592">
        <f ca="1"/>
        <v>0</v>
      </c>
      <c r="J118" s="592">
        <f ca="1"/>
        <v>0</v>
      </c>
      <c r="K118" s="592">
        <f ca="1"/>
        <v>0</v>
      </c>
      <c r="L118" s="592">
        <f ca="1"/>
        <v>0</v>
      </c>
      <c r="M118" s="592">
        <f ca="1"/>
        <v>0</v>
      </c>
      <c r="N118" s="592">
        <f ca="1"/>
        <v>0</v>
      </c>
      <c r="O118" s="592">
        <f ca="1"/>
        <v>0</v>
      </c>
      <c r="P118" s="592">
        <f ca="1"/>
        <v>0</v>
      </c>
      <c r="Q118" s="592">
        <f ca="1"/>
        <v>0</v>
      </c>
      <c r="R118" s="592">
        <f ca="1"/>
        <v>0</v>
      </c>
      <c r="S118" s="1968">
        <f t="array" aca="1" ref="S118:S123" ca="1">'Distr CV 5'!G118:G123</f>
        <v>0</v>
      </c>
      <c r="T118" s="1968">
        <f ca="1"/>
        <v>0</v>
      </c>
      <c r="U118" s="1968">
        <f ca="1"/>
        <v>0</v>
      </c>
      <c r="V118" s="1968">
        <f ca="1"/>
        <v>0</v>
      </c>
      <c r="W118" s="1968">
        <f ca="1"/>
        <v>0</v>
      </c>
      <c r="X118" s="1968">
        <f ca="1"/>
        <v>0</v>
      </c>
      <c r="Y118" s="1986">
        <f ca="1"/>
        <v>0</v>
      </c>
    </row>
    <row r="119" spans="1:25">
      <c r="A119" s="1971" t="str">
        <v>8 meses antes</v>
      </c>
      <c r="B119" s="1967"/>
      <c r="C119" s="1967"/>
      <c r="D119" s="1967"/>
      <c r="E119" s="1967"/>
      <c r="F119" s="592">
        <f t="array" aca="1" ref="F119:Q119" ca="1">B$20:M20*Produccion!$F$8</f>
        <v>0</v>
      </c>
      <c r="G119" s="592">
        <f ca="1"/>
        <v>0</v>
      </c>
      <c r="H119" s="592">
        <f ca="1"/>
        <v>0</v>
      </c>
      <c r="I119" s="592">
        <f ca="1"/>
        <v>0</v>
      </c>
      <c r="J119" s="592">
        <f ca="1"/>
        <v>0</v>
      </c>
      <c r="K119" s="592">
        <f ca="1"/>
        <v>0</v>
      </c>
      <c r="L119" s="592">
        <f ca="1"/>
        <v>0</v>
      </c>
      <c r="M119" s="592">
        <f ca="1"/>
        <v>0</v>
      </c>
      <c r="N119" s="592">
        <f ca="1"/>
        <v>0</v>
      </c>
      <c r="O119" s="592">
        <f ca="1"/>
        <v>0</v>
      </c>
      <c r="P119" s="592">
        <f ca="1"/>
        <v>0</v>
      </c>
      <c r="Q119" s="592">
        <f ca="1"/>
        <v>0</v>
      </c>
      <c r="R119" s="1968">
        <f t="array" aca="1" ref="R119:R123" ca="1">'Distr CV 5'!F119:F123</f>
        <v>0</v>
      </c>
      <c r="S119" s="1968">
        <f ca="1"/>
        <v>0</v>
      </c>
      <c r="T119" s="1968">
        <f ca="1"/>
        <v>0</v>
      </c>
      <c r="U119" s="1968">
        <f ca="1"/>
        <v>0</v>
      </c>
      <c r="V119" s="1968">
        <f ca="1"/>
        <v>0</v>
      </c>
      <c r="W119" s="1968">
        <f ca="1"/>
        <v>0</v>
      </c>
      <c r="X119" s="1968">
        <f ca="1"/>
        <v>0</v>
      </c>
      <c r="Y119" s="1986">
        <f ca="1"/>
        <v>0</v>
      </c>
    </row>
    <row r="120" spans="1:25">
      <c r="A120" s="1971" t="str">
        <v>9 meses antes</v>
      </c>
      <c r="B120" s="1967"/>
      <c r="C120" s="1967"/>
      <c r="D120" s="1967"/>
      <c r="E120" s="592">
        <f t="array" aca="1" ref="E120:P120" ca="1">B$20:M20*Produccion!$E$8</f>
        <v>0</v>
      </c>
      <c r="F120" s="592">
        <f ca="1"/>
        <v>0</v>
      </c>
      <c r="G120" s="592">
        <f ca="1"/>
        <v>0</v>
      </c>
      <c r="H120" s="592">
        <f ca="1"/>
        <v>0</v>
      </c>
      <c r="I120" s="592">
        <f ca="1"/>
        <v>0</v>
      </c>
      <c r="J120" s="592">
        <f ca="1"/>
        <v>0</v>
      </c>
      <c r="K120" s="592">
        <f ca="1"/>
        <v>0</v>
      </c>
      <c r="L120" s="592">
        <f ca="1"/>
        <v>0</v>
      </c>
      <c r="M120" s="592">
        <f ca="1"/>
        <v>0</v>
      </c>
      <c r="N120" s="592">
        <f ca="1"/>
        <v>0</v>
      </c>
      <c r="O120" s="592">
        <f ca="1"/>
        <v>0</v>
      </c>
      <c r="P120" s="592">
        <f ca="1"/>
        <v>0</v>
      </c>
      <c r="Q120" s="1968">
        <f t="array" aca="1" ref="Q120:Q123" ca="1">'Distr CV 5'!E120:E123</f>
        <v>0</v>
      </c>
      <c r="R120" s="1968">
        <f ca="1"/>
        <v>0</v>
      </c>
      <c r="S120" s="1968">
        <f ca="1"/>
        <v>0</v>
      </c>
      <c r="T120" s="1968">
        <f ca="1"/>
        <v>0</v>
      </c>
      <c r="U120" s="1968">
        <f ca="1"/>
        <v>0</v>
      </c>
      <c r="V120" s="1968">
        <f ca="1"/>
        <v>0</v>
      </c>
      <c r="W120" s="1968">
        <f ca="1"/>
        <v>0</v>
      </c>
      <c r="X120" s="1968">
        <f ca="1"/>
        <v>0</v>
      </c>
      <c r="Y120" s="1986">
        <f ca="1"/>
        <v>0</v>
      </c>
    </row>
    <row r="121" spans="1:25">
      <c r="A121" s="1971" t="str">
        <v>10 meses antes</v>
      </c>
      <c r="B121" s="1967"/>
      <c r="C121" s="1967"/>
      <c r="D121" s="592">
        <f t="array" aca="1" ref="D121:O121" ca="1">B$20:M20*Produccion!$D$8</f>
        <v>0</v>
      </c>
      <c r="E121" s="592">
        <f ca="1"/>
        <v>0</v>
      </c>
      <c r="F121" s="592">
        <f ca="1"/>
        <v>0</v>
      </c>
      <c r="G121" s="592">
        <f ca="1"/>
        <v>0</v>
      </c>
      <c r="H121" s="592">
        <f ca="1"/>
        <v>0</v>
      </c>
      <c r="I121" s="592">
        <f ca="1"/>
        <v>0</v>
      </c>
      <c r="J121" s="592">
        <f ca="1"/>
        <v>0</v>
      </c>
      <c r="K121" s="592">
        <f ca="1"/>
        <v>0</v>
      </c>
      <c r="L121" s="592">
        <f ca="1"/>
        <v>0</v>
      </c>
      <c r="M121" s="592">
        <f ca="1"/>
        <v>0</v>
      </c>
      <c r="N121" s="592">
        <f ca="1"/>
        <v>0</v>
      </c>
      <c r="O121" s="592">
        <f ca="1"/>
        <v>0</v>
      </c>
      <c r="P121" s="1968">
        <f t="array" aca="1" ref="P121:P123" ca="1">'Distr CV 5'!D121:D123</f>
        <v>0</v>
      </c>
      <c r="Q121" s="1968">
        <f ca="1"/>
        <v>0</v>
      </c>
      <c r="R121" s="1968">
        <f ca="1"/>
        <v>0</v>
      </c>
      <c r="S121" s="1968">
        <f ca="1"/>
        <v>0</v>
      </c>
      <c r="T121" s="1968">
        <f ca="1"/>
        <v>0</v>
      </c>
      <c r="U121" s="1968">
        <f ca="1"/>
        <v>0</v>
      </c>
      <c r="V121" s="1968">
        <f ca="1"/>
        <v>0</v>
      </c>
      <c r="W121" s="1968">
        <f ca="1"/>
        <v>0</v>
      </c>
      <c r="X121" s="1968">
        <f ca="1"/>
        <v>0</v>
      </c>
      <c r="Y121" s="1986">
        <f ca="1"/>
        <v>0</v>
      </c>
    </row>
    <row r="122" spans="1:25">
      <c r="A122" s="1971" t="str">
        <v>11 meses antes</v>
      </c>
      <c r="B122" s="1967"/>
      <c r="C122" s="592">
        <f t="array" aca="1" ref="C122:N122" ca="1">B$20:M20*Produccion!$C$8</f>
        <v>0</v>
      </c>
      <c r="D122" s="592">
        <f ca="1"/>
        <v>0</v>
      </c>
      <c r="E122" s="592">
        <f ca="1"/>
        <v>0</v>
      </c>
      <c r="F122" s="592">
        <f ca="1"/>
        <v>0</v>
      </c>
      <c r="G122" s="592">
        <f ca="1"/>
        <v>0</v>
      </c>
      <c r="H122" s="592">
        <f ca="1"/>
        <v>0</v>
      </c>
      <c r="I122" s="592">
        <f ca="1"/>
        <v>0</v>
      </c>
      <c r="J122" s="592">
        <f ca="1"/>
        <v>0</v>
      </c>
      <c r="K122" s="592">
        <f ca="1"/>
        <v>0</v>
      </c>
      <c r="L122" s="592">
        <f ca="1"/>
        <v>0</v>
      </c>
      <c r="M122" s="592">
        <f ca="1"/>
        <v>0</v>
      </c>
      <c r="N122" s="592">
        <f ca="1"/>
        <v>0</v>
      </c>
      <c r="O122" s="1968">
        <f ca="1">'Distr CV 5'!C122</f>
        <v>0</v>
      </c>
      <c r="P122" s="1968">
        <f ca="1"/>
        <v>0</v>
      </c>
      <c r="Q122" s="1968">
        <f ca="1"/>
        <v>0</v>
      </c>
      <c r="R122" s="1968">
        <f ca="1"/>
        <v>0</v>
      </c>
      <c r="S122" s="1968">
        <f ca="1"/>
        <v>0</v>
      </c>
      <c r="T122" s="1968">
        <f ca="1"/>
        <v>0</v>
      </c>
      <c r="U122" s="1968">
        <f ca="1"/>
        <v>0</v>
      </c>
      <c r="V122" s="1968">
        <f ca="1"/>
        <v>0</v>
      </c>
      <c r="W122" s="1968">
        <f ca="1"/>
        <v>0</v>
      </c>
      <c r="X122" s="1968">
        <f ca="1"/>
        <v>0</v>
      </c>
      <c r="Y122" s="1986">
        <f ca="1"/>
        <v>0</v>
      </c>
    </row>
    <row r="123" spans="1:25" ht="13.5" thickBot="1">
      <c r="A123" s="1971" t="str">
        <v>12 meses antes</v>
      </c>
      <c r="B123" s="592">
        <f t="array" aca="1" ref="B123:M123" ca="1">B$20:M20*Produccion!$B$8</f>
        <v>0</v>
      </c>
      <c r="C123" s="592">
        <f ca="1"/>
        <v>0</v>
      </c>
      <c r="D123" s="592">
        <f ca="1"/>
        <v>0</v>
      </c>
      <c r="E123" s="592">
        <f ca="1"/>
        <v>0</v>
      </c>
      <c r="F123" s="592">
        <f ca="1"/>
        <v>0</v>
      </c>
      <c r="G123" s="592">
        <f ca="1"/>
        <v>0</v>
      </c>
      <c r="H123" s="592">
        <f ca="1"/>
        <v>0</v>
      </c>
      <c r="I123" s="592">
        <f ca="1"/>
        <v>0</v>
      </c>
      <c r="J123" s="592">
        <f ca="1"/>
        <v>0</v>
      </c>
      <c r="K123" s="592">
        <f ca="1"/>
        <v>0</v>
      </c>
      <c r="L123" s="592">
        <f ca="1"/>
        <v>0</v>
      </c>
      <c r="M123" s="592">
        <f ca="1"/>
        <v>0</v>
      </c>
      <c r="N123" s="1968">
        <f ca="1">'Distr CV 5'!B123</f>
        <v>0</v>
      </c>
      <c r="O123" s="1968">
        <f ca="1">'Distr CV 5'!C123</f>
        <v>0</v>
      </c>
      <c r="P123" s="1968">
        <f ca="1"/>
        <v>0</v>
      </c>
      <c r="Q123" s="1968">
        <f ca="1"/>
        <v>0</v>
      </c>
      <c r="R123" s="1968">
        <f ca="1"/>
        <v>0</v>
      </c>
      <c r="S123" s="1968">
        <f ca="1"/>
        <v>0</v>
      </c>
      <c r="T123" s="1968">
        <f ca="1"/>
        <v>0</v>
      </c>
      <c r="U123" s="1968">
        <f ca="1"/>
        <v>0</v>
      </c>
      <c r="V123" s="1968">
        <f ca="1"/>
        <v>0</v>
      </c>
      <c r="W123" s="1968">
        <f ca="1"/>
        <v>0</v>
      </c>
      <c r="X123" s="1968">
        <f ca="1"/>
        <v>0</v>
      </c>
      <c r="Y123" s="1986">
        <f ca="1"/>
        <v>0</v>
      </c>
    </row>
    <row r="124" spans="1:25" ht="15.75" customHeight="1" thickBot="1">
      <c r="A124" s="103" t="str">
        <f>"Totales CV "&amp;A$8</f>
        <v>Totales CV producto o servicio</v>
      </c>
      <c r="B124" s="596">
        <f t="shared" ref="B124:Y124" ca="1" si="10">SUM(B111:B123)</f>
        <v>0</v>
      </c>
      <c r="C124" s="596">
        <f t="shared" ca="1" si="10"/>
        <v>0</v>
      </c>
      <c r="D124" s="596">
        <f t="shared" ca="1" si="10"/>
        <v>0</v>
      </c>
      <c r="E124" s="596">
        <f t="shared" ca="1" si="10"/>
        <v>0</v>
      </c>
      <c r="F124" s="596">
        <f t="shared" ca="1" si="10"/>
        <v>0</v>
      </c>
      <c r="G124" s="596">
        <f t="shared" ca="1" si="10"/>
        <v>0</v>
      </c>
      <c r="H124" s="596">
        <f t="shared" ca="1" si="10"/>
        <v>0</v>
      </c>
      <c r="I124" s="596">
        <f t="shared" ca="1" si="10"/>
        <v>0</v>
      </c>
      <c r="J124" s="596">
        <f t="shared" ca="1" si="10"/>
        <v>0</v>
      </c>
      <c r="K124" s="596">
        <f t="shared" ca="1" si="10"/>
        <v>0</v>
      </c>
      <c r="L124" s="596">
        <f t="shared" ca="1" si="10"/>
        <v>0</v>
      </c>
      <c r="M124" s="596">
        <f t="shared" ca="1" si="10"/>
        <v>0</v>
      </c>
      <c r="N124" s="596">
        <f t="shared" ca="1" si="10"/>
        <v>305.96356000000003</v>
      </c>
      <c r="O124" s="596">
        <f t="shared" ca="1" si="10"/>
        <v>382.45445000000007</v>
      </c>
      <c r="P124" s="596">
        <f t="shared" ca="1" si="10"/>
        <v>420.69989500000008</v>
      </c>
      <c r="Q124" s="596">
        <f t="shared" ca="1" si="10"/>
        <v>401.57717249999996</v>
      </c>
      <c r="R124" s="596">
        <f t="shared" ca="1" si="10"/>
        <v>344.20900500000005</v>
      </c>
      <c r="S124" s="596">
        <f t="shared" ca="1" si="10"/>
        <v>325.08628250000004</v>
      </c>
      <c r="T124" s="596">
        <f t="shared" ca="1" si="10"/>
        <v>305.96356000000003</v>
      </c>
      <c r="U124" s="596">
        <f t="shared" ca="1" si="10"/>
        <v>229.47267000000002</v>
      </c>
      <c r="V124" s="596">
        <f t="shared" ca="1" si="10"/>
        <v>305.96356000000003</v>
      </c>
      <c r="W124" s="596">
        <f t="shared" ca="1" si="10"/>
        <v>363.33172750000006</v>
      </c>
      <c r="X124" s="596">
        <f t="shared" ca="1" si="10"/>
        <v>382.45445000000007</v>
      </c>
      <c r="Y124" s="1984">
        <f t="shared" ca="1" si="10"/>
        <v>458.94534000000004</v>
      </c>
    </row>
    <row r="125" spans="1:25" ht="15.75" customHeight="1" thickBot="1">
      <c r="A125" s="103" t="str">
        <f>'Datos Básicos'!A28&amp;" sop. CV "&amp;$A$8</f>
        <v>IVA sop. CV producto o servicio</v>
      </c>
      <c r="B125" s="596">
        <f t="array" aca="1" ref="B125:Y125" ca="1">$K$109*B124:Y124</f>
        <v>0</v>
      </c>
      <c r="C125" s="596">
        <f ca="1"/>
        <v>0</v>
      </c>
      <c r="D125" s="596">
        <f ca="1"/>
        <v>0</v>
      </c>
      <c r="E125" s="596">
        <f ca="1"/>
        <v>0</v>
      </c>
      <c r="F125" s="596">
        <f ca="1"/>
        <v>0</v>
      </c>
      <c r="G125" s="596">
        <f ca="1"/>
        <v>0</v>
      </c>
      <c r="H125" s="596">
        <f ca="1"/>
        <v>0</v>
      </c>
      <c r="I125" s="596">
        <f ca="1"/>
        <v>0</v>
      </c>
      <c r="J125" s="596">
        <f ca="1"/>
        <v>0</v>
      </c>
      <c r="K125" s="596">
        <f ca="1"/>
        <v>0</v>
      </c>
      <c r="L125" s="596">
        <f ca="1"/>
        <v>0</v>
      </c>
      <c r="M125" s="596">
        <f ca="1"/>
        <v>0</v>
      </c>
      <c r="N125" s="596">
        <f ca="1"/>
        <v>64.252347600000007</v>
      </c>
      <c r="O125" s="596">
        <f ca="1"/>
        <v>80.315434500000009</v>
      </c>
      <c r="P125" s="596">
        <f ca="1"/>
        <v>88.34697795000001</v>
      </c>
      <c r="Q125" s="596">
        <f ca="1"/>
        <v>84.331206224999988</v>
      </c>
      <c r="R125" s="596">
        <f ca="1"/>
        <v>72.283891050000008</v>
      </c>
      <c r="S125" s="596">
        <f ca="1"/>
        <v>68.268119325000001</v>
      </c>
      <c r="T125" s="596">
        <f ca="1"/>
        <v>64.252347600000007</v>
      </c>
      <c r="U125" s="596">
        <f ca="1"/>
        <v>48.189260700000005</v>
      </c>
      <c r="V125" s="596">
        <f ca="1"/>
        <v>64.252347600000007</v>
      </c>
      <c r="W125" s="596">
        <f ca="1"/>
        <v>76.299662775000016</v>
      </c>
      <c r="X125" s="596">
        <f ca="1"/>
        <v>80.315434500000009</v>
      </c>
      <c r="Y125" s="1984">
        <f ca="1"/>
        <v>96.378521400000011</v>
      </c>
    </row>
    <row r="127" spans="1:25" ht="18.75" thickBot="1">
      <c r="A127" s="1969" t="str">
        <f>'Distr CV 0'!A127</f>
        <v xml:space="preserve">Compras / costes de producción por meses de </v>
      </c>
      <c r="I127" s="1969" t="str">
        <f>I$18</f>
        <v>IVA NO incluido</v>
      </c>
      <c r="K127" s="1981">
        <f>Parametros!$F$25</f>
        <v>0.21</v>
      </c>
    </row>
    <row r="128" spans="1:25" ht="30" customHeight="1" thickBot="1">
      <c r="A128" s="446" t="str">
        <f>A$110</f>
        <v>mes de compra / coste</v>
      </c>
      <c r="B128" s="1987" t="str">
        <f t="array" ref="B128:Y128">B$71:Y$71</f>
        <v>enero 
2029</v>
      </c>
      <c r="C128" s="1987" t="str">
        <v>febrero 
2029</v>
      </c>
      <c r="D128" s="1987" t="str">
        <v>marzo 
2029</v>
      </c>
      <c r="E128" s="1987" t="str">
        <v>abril 
2029</v>
      </c>
      <c r="F128" s="1987" t="str">
        <v>mayo 
2029</v>
      </c>
      <c r="G128" s="1987" t="str">
        <v>junio 
2029</v>
      </c>
      <c r="H128" s="1987" t="str">
        <v>julio 
2029</v>
      </c>
      <c r="I128" s="1987" t="str">
        <v>agosto 
2029</v>
      </c>
      <c r="J128" s="1987" t="str">
        <v>septiembre 
2029</v>
      </c>
      <c r="K128" s="1987" t="str">
        <v>octubre 
2029</v>
      </c>
      <c r="L128" s="1987" t="str">
        <v>noviembre 
2029</v>
      </c>
      <c r="M128" s="1987" t="str">
        <v>diciembre 
2029</v>
      </c>
      <c r="N128" s="2703" t="str">
        <v>enero 
2030</v>
      </c>
      <c r="O128" s="2704" t="str">
        <v>febrero 
2030</v>
      </c>
      <c r="P128" s="2704" t="str">
        <v>marzo 
2030</v>
      </c>
      <c r="Q128" s="2704" t="str">
        <v>abril 
2030</v>
      </c>
      <c r="R128" s="2704" t="str">
        <v>mayo 
2030</v>
      </c>
      <c r="S128" s="2704" t="str">
        <v>junio 
2030</v>
      </c>
      <c r="T128" s="2704" t="str">
        <v>julio 
2030</v>
      </c>
      <c r="U128" s="2704" t="str">
        <v>agosto 
2030</v>
      </c>
      <c r="V128" s="2704" t="str">
        <v>septiembre 
2030</v>
      </c>
      <c r="W128" s="2704" t="str">
        <v>octubre 
2030</v>
      </c>
      <c r="X128" s="2704" t="str">
        <v>noviembre 
2030</v>
      </c>
      <c r="Y128" s="2705" t="str">
        <v>diciembre 
2030</v>
      </c>
    </row>
    <row r="129" spans="1:25">
      <c r="A129" s="1970" t="str">
        <f t="array" ref="A129:A141">A$72:A$84</f>
        <v>mismo mes</v>
      </c>
      <c r="B129" s="1967"/>
      <c r="C129" s="1967"/>
      <c r="D129" s="1967"/>
      <c r="E129" s="1967"/>
      <c r="F129" s="1967"/>
      <c r="G129" s="1967"/>
      <c r="H129" s="1967"/>
      <c r="I129" s="1967"/>
      <c r="J129" s="1967"/>
      <c r="K129" s="1967"/>
      <c r="L129" s="1967"/>
      <c r="M129" s="1967"/>
      <c r="N129" s="592">
        <f t="array" aca="1" ref="N129:Y129" ca="1">B21:M21*Produccion!$N$9</f>
        <v>0</v>
      </c>
      <c r="O129" s="592">
        <f ca="1"/>
        <v>0</v>
      </c>
      <c r="P129" s="592">
        <f ca="1"/>
        <v>0</v>
      </c>
      <c r="Q129" s="592">
        <f ca="1"/>
        <v>0</v>
      </c>
      <c r="R129" s="592">
        <f ca="1"/>
        <v>0</v>
      </c>
      <c r="S129" s="592">
        <f ca="1"/>
        <v>0</v>
      </c>
      <c r="T129" s="592">
        <f ca="1"/>
        <v>0</v>
      </c>
      <c r="U129" s="592">
        <f ca="1"/>
        <v>0</v>
      </c>
      <c r="V129" s="592">
        <f ca="1"/>
        <v>0</v>
      </c>
      <c r="W129" s="592">
        <f ca="1"/>
        <v>0</v>
      </c>
      <c r="X129" s="592">
        <f ca="1"/>
        <v>0</v>
      </c>
      <c r="Y129" s="1982">
        <f ca="1"/>
        <v>0</v>
      </c>
    </row>
    <row r="130" spans="1:25">
      <c r="A130" s="1971" t="str">
        <v>1 mes antes</v>
      </c>
      <c r="B130" s="1967"/>
      <c r="C130" s="1967"/>
      <c r="D130" s="1967"/>
      <c r="E130" s="1967"/>
      <c r="F130" s="1967"/>
      <c r="G130" s="1967"/>
      <c r="H130" s="1967"/>
      <c r="I130" s="1967"/>
      <c r="J130" s="1967"/>
      <c r="K130" s="1967"/>
      <c r="L130" s="1967"/>
      <c r="M130" s="592">
        <f t="array" aca="1" ref="M130:X130" ca="1">B21:M21*Produccion!$M$9</f>
        <v>0</v>
      </c>
      <c r="N130" s="592">
        <f ca="1"/>
        <v>0</v>
      </c>
      <c r="O130" s="592">
        <f ca="1"/>
        <v>0</v>
      </c>
      <c r="P130" s="592">
        <f ca="1"/>
        <v>0</v>
      </c>
      <c r="Q130" s="592">
        <f ca="1"/>
        <v>0</v>
      </c>
      <c r="R130" s="592">
        <f ca="1"/>
        <v>0</v>
      </c>
      <c r="S130" s="592">
        <f ca="1"/>
        <v>0</v>
      </c>
      <c r="T130" s="592">
        <f ca="1"/>
        <v>0</v>
      </c>
      <c r="U130" s="592">
        <f ca="1"/>
        <v>0</v>
      </c>
      <c r="V130" s="592">
        <f ca="1"/>
        <v>0</v>
      </c>
      <c r="W130" s="592">
        <f ca="1"/>
        <v>0</v>
      </c>
      <c r="X130" s="592">
        <f ca="1"/>
        <v>0</v>
      </c>
      <c r="Y130" s="1983">
        <f t="array" aca="1" ref="Y130:Y141" ca="1">'Distr CV 5'!M130:M141</f>
        <v>0</v>
      </c>
    </row>
    <row r="131" spans="1:25">
      <c r="A131" s="1971" t="str">
        <v>2 meses antes</v>
      </c>
      <c r="B131" s="1967"/>
      <c r="C131" s="1967"/>
      <c r="D131" s="1967"/>
      <c r="E131" s="1967"/>
      <c r="F131" s="1967"/>
      <c r="G131" s="1967"/>
      <c r="H131" s="1967"/>
      <c r="I131" s="1967"/>
      <c r="J131" s="1967"/>
      <c r="K131" s="1967"/>
      <c r="L131" s="592">
        <f t="array" aca="1" ref="L131:W131" ca="1">B21:M21*Produccion!$L$9</f>
        <v>0</v>
      </c>
      <c r="M131" s="592">
        <f ca="1"/>
        <v>0</v>
      </c>
      <c r="N131" s="592">
        <f ca="1"/>
        <v>0</v>
      </c>
      <c r="O131" s="592">
        <f ca="1"/>
        <v>0</v>
      </c>
      <c r="P131" s="592">
        <f ca="1"/>
        <v>0</v>
      </c>
      <c r="Q131" s="592">
        <f ca="1"/>
        <v>0</v>
      </c>
      <c r="R131" s="592">
        <f ca="1"/>
        <v>0</v>
      </c>
      <c r="S131" s="592">
        <f ca="1"/>
        <v>0</v>
      </c>
      <c r="T131" s="592">
        <f ca="1"/>
        <v>0</v>
      </c>
      <c r="U131" s="592">
        <f ca="1"/>
        <v>0</v>
      </c>
      <c r="V131" s="592">
        <f ca="1"/>
        <v>0</v>
      </c>
      <c r="W131" s="592">
        <f ca="1"/>
        <v>0</v>
      </c>
      <c r="X131" s="1964">
        <f t="array" aca="1" ref="X131:X141" ca="1">'Distr CV 5'!L131:L141</f>
        <v>0</v>
      </c>
      <c r="Y131" s="1983">
        <f ca="1"/>
        <v>0</v>
      </c>
    </row>
    <row r="132" spans="1:25">
      <c r="A132" s="1971" t="str">
        <v>3 meses antes</v>
      </c>
      <c r="B132" s="1967"/>
      <c r="C132" s="1967"/>
      <c r="D132" s="1967"/>
      <c r="E132" s="1967"/>
      <c r="F132" s="1967"/>
      <c r="G132" s="1967"/>
      <c r="H132" s="1967"/>
      <c r="I132" s="1967"/>
      <c r="J132" s="1967"/>
      <c r="K132" s="592">
        <f t="array" aca="1" ref="K132:V132" ca="1">B21:M21*Produccion!$K$9</f>
        <v>0</v>
      </c>
      <c r="L132" s="592">
        <f ca="1"/>
        <v>0</v>
      </c>
      <c r="M132" s="592">
        <f ca="1"/>
        <v>0</v>
      </c>
      <c r="N132" s="592">
        <f ca="1"/>
        <v>0</v>
      </c>
      <c r="O132" s="592">
        <f ca="1"/>
        <v>0</v>
      </c>
      <c r="P132" s="592">
        <f ca="1"/>
        <v>0</v>
      </c>
      <c r="Q132" s="592">
        <f ca="1"/>
        <v>0</v>
      </c>
      <c r="R132" s="592">
        <f ca="1"/>
        <v>0</v>
      </c>
      <c r="S132" s="592">
        <f ca="1"/>
        <v>0</v>
      </c>
      <c r="T132" s="592">
        <f ca="1"/>
        <v>0</v>
      </c>
      <c r="U132" s="592">
        <f ca="1"/>
        <v>0</v>
      </c>
      <c r="V132" s="592">
        <f ca="1"/>
        <v>0</v>
      </c>
      <c r="W132" s="1964">
        <f t="array" aca="1" ref="W132:W141" ca="1">'Distr CV 5'!K132:K141</f>
        <v>0</v>
      </c>
      <c r="X132" s="1964">
        <f ca="1"/>
        <v>0</v>
      </c>
      <c r="Y132" s="1983">
        <f ca="1"/>
        <v>0</v>
      </c>
    </row>
    <row r="133" spans="1:25">
      <c r="A133" s="1971" t="str">
        <v>4 meses antes</v>
      </c>
      <c r="B133" s="1967"/>
      <c r="C133" s="1967"/>
      <c r="D133" s="1967"/>
      <c r="E133" s="1967"/>
      <c r="F133" s="1967"/>
      <c r="G133" s="1967"/>
      <c r="H133" s="1967"/>
      <c r="I133" s="1967"/>
      <c r="J133" s="592">
        <f t="array" aca="1" ref="J133:U133" ca="1">B21:M21*Produccion!$J$9</f>
        <v>0</v>
      </c>
      <c r="K133" s="592">
        <f ca="1"/>
        <v>0</v>
      </c>
      <c r="L133" s="592">
        <f ca="1"/>
        <v>0</v>
      </c>
      <c r="M133" s="592">
        <f ca="1"/>
        <v>0</v>
      </c>
      <c r="N133" s="592">
        <f ca="1"/>
        <v>0</v>
      </c>
      <c r="O133" s="592">
        <f ca="1"/>
        <v>0</v>
      </c>
      <c r="P133" s="592">
        <f ca="1"/>
        <v>0</v>
      </c>
      <c r="Q133" s="592">
        <f ca="1"/>
        <v>0</v>
      </c>
      <c r="R133" s="592">
        <f ca="1"/>
        <v>0</v>
      </c>
      <c r="S133" s="592">
        <f ca="1"/>
        <v>0</v>
      </c>
      <c r="T133" s="592">
        <f ca="1"/>
        <v>0</v>
      </c>
      <c r="U133" s="592">
        <f ca="1"/>
        <v>0</v>
      </c>
      <c r="V133" s="1964">
        <f t="array" aca="1" ref="V133:V141" ca="1">'Distr CV 5'!J133:J141</f>
        <v>0</v>
      </c>
      <c r="W133" s="1964">
        <f ca="1"/>
        <v>0</v>
      </c>
      <c r="X133" s="1964">
        <f ca="1"/>
        <v>0</v>
      </c>
      <c r="Y133" s="1983">
        <f ca="1"/>
        <v>0</v>
      </c>
    </row>
    <row r="134" spans="1:25">
      <c r="A134" s="1971" t="str">
        <v>5 meses antes</v>
      </c>
      <c r="B134" s="1967"/>
      <c r="C134" s="1967"/>
      <c r="D134" s="1967"/>
      <c r="E134" s="1967"/>
      <c r="F134" s="1967"/>
      <c r="G134" s="1967"/>
      <c r="H134" s="1967"/>
      <c r="I134" s="592">
        <f t="array" aca="1" ref="I134:T134" ca="1">B21:M21*Produccion!$I$9</f>
        <v>0</v>
      </c>
      <c r="J134" s="592">
        <f ca="1"/>
        <v>0</v>
      </c>
      <c r="K134" s="592">
        <f ca="1"/>
        <v>0</v>
      </c>
      <c r="L134" s="592">
        <f ca="1"/>
        <v>0</v>
      </c>
      <c r="M134" s="592">
        <f ca="1"/>
        <v>0</v>
      </c>
      <c r="N134" s="592">
        <f ca="1"/>
        <v>0</v>
      </c>
      <c r="O134" s="592">
        <f ca="1"/>
        <v>0</v>
      </c>
      <c r="P134" s="592">
        <f ca="1"/>
        <v>0</v>
      </c>
      <c r="Q134" s="592">
        <f ca="1"/>
        <v>0</v>
      </c>
      <c r="R134" s="592">
        <f ca="1"/>
        <v>0</v>
      </c>
      <c r="S134" s="592">
        <f ca="1"/>
        <v>0</v>
      </c>
      <c r="T134" s="592">
        <f ca="1"/>
        <v>0</v>
      </c>
      <c r="U134" s="1964">
        <f t="array" aca="1" ref="U134:U141" ca="1">'Distr CV 5'!I134:I141</f>
        <v>0</v>
      </c>
      <c r="V134" s="1964">
        <f ca="1"/>
        <v>0</v>
      </c>
      <c r="W134" s="1964">
        <f ca="1"/>
        <v>0</v>
      </c>
      <c r="X134" s="1964">
        <f ca="1"/>
        <v>0</v>
      </c>
      <c r="Y134" s="1983">
        <f ca="1"/>
        <v>0</v>
      </c>
    </row>
    <row r="135" spans="1:25">
      <c r="A135" s="1971" t="str">
        <v>6 meses antes</v>
      </c>
      <c r="B135" s="1967"/>
      <c r="C135" s="1967"/>
      <c r="D135" s="1967"/>
      <c r="E135" s="1967"/>
      <c r="F135" s="1967"/>
      <c r="G135" s="1967"/>
      <c r="H135" s="592">
        <f t="array" aca="1" ref="H135:S135" ca="1">B21:M21*Produccion!$H$9</f>
        <v>0</v>
      </c>
      <c r="I135" s="592">
        <f ca="1"/>
        <v>0</v>
      </c>
      <c r="J135" s="592">
        <f ca="1"/>
        <v>0</v>
      </c>
      <c r="K135" s="592">
        <f ca="1"/>
        <v>0</v>
      </c>
      <c r="L135" s="592">
        <f ca="1"/>
        <v>0</v>
      </c>
      <c r="M135" s="592">
        <f ca="1"/>
        <v>0</v>
      </c>
      <c r="N135" s="592">
        <f ca="1"/>
        <v>0</v>
      </c>
      <c r="O135" s="592">
        <f ca="1"/>
        <v>0</v>
      </c>
      <c r="P135" s="592">
        <f ca="1"/>
        <v>0</v>
      </c>
      <c r="Q135" s="592">
        <f ca="1"/>
        <v>0</v>
      </c>
      <c r="R135" s="592">
        <f ca="1"/>
        <v>0</v>
      </c>
      <c r="S135" s="592">
        <f ca="1"/>
        <v>0</v>
      </c>
      <c r="T135" s="1964">
        <f t="array" aca="1" ref="T135:T141" ca="1">'Distr CV 5'!H135:H141</f>
        <v>0</v>
      </c>
      <c r="U135" s="1964">
        <f ca="1"/>
        <v>0</v>
      </c>
      <c r="V135" s="1964">
        <f ca="1"/>
        <v>0</v>
      </c>
      <c r="W135" s="1964">
        <f ca="1"/>
        <v>0</v>
      </c>
      <c r="X135" s="1964">
        <f ca="1"/>
        <v>0</v>
      </c>
      <c r="Y135" s="1983">
        <f ca="1"/>
        <v>0</v>
      </c>
    </row>
    <row r="136" spans="1:25">
      <c r="A136" s="1971" t="str">
        <v>7 meses antes</v>
      </c>
      <c r="B136" s="1967"/>
      <c r="C136" s="1967"/>
      <c r="D136" s="1967"/>
      <c r="E136" s="1967"/>
      <c r="F136" s="1967"/>
      <c r="G136" s="592">
        <f t="array" aca="1" ref="G136:R136" ca="1">B21:M21*Produccion!$G$9</f>
        <v>0</v>
      </c>
      <c r="H136" s="592">
        <f ca="1"/>
        <v>0</v>
      </c>
      <c r="I136" s="592">
        <f ca="1"/>
        <v>0</v>
      </c>
      <c r="J136" s="592">
        <f ca="1"/>
        <v>0</v>
      </c>
      <c r="K136" s="592">
        <f ca="1"/>
        <v>0</v>
      </c>
      <c r="L136" s="592">
        <f ca="1"/>
        <v>0</v>
      </c>
      <c r="M136" s="592">
        <f ca="1"/>
        <v>0</v>
      </c>
      <c r="N136" s="592">
        <f ca="1"/>
        <v>0</v>
      </c>
      <c r="O136" s="592">
        <f ca="1"/>
        <v>0</v>
      </c>
      <c r="P136" s="592">
        <f ca="1"/>
        <v>0</v>
      </c>
      <c r="Q136" s="592">
        <f ca="1"/>
        <v>0</v>
      </c>
      <c r="R136" s="592">
        <f ca="1"/>
        <v>0</v>
      </c>
      <c r="S136" s="1968">
        <f t="array" aca="1" ref="S136:S141" ca="1">'Distr CV 5'!G136:G141</f>
        <v>0</v>
      </c>
      <c r="T136" s="1968">
        <f ca="1"/>
        <v>0</v>
      </c>
      <c r="U136" s="1968">
        <f ca="1"/>
        <v>0</v>
      </c>
      <c r="V136" s="1968">
        <f ca="1"/>
        <v>0</v>
      </c>
      <c r="W136" s="1968">
        <f ca="1"/>
        <v>0</v>
      </c>
      <c r="X136" s="1968">
        <f ca="1"/>
        <v>0</v>
      </c>
      <c r="Y136" s="1986">
        <f ca="1"/>
        <v>0</v>
      </c>
    </row>
    <row r="137" spans="1:25">
      <c r="A137" s="1971" t="str">
        <v>8 meses antes</v>
      </c>
      <c r="B137" s="1967"/>
      <c r="C137" s="1967"/>
      <c r="D137" s="1967"/>
      <c r="E137" s="1967"/>
      <c r="F137" s="592">
        <f t="array" aca="1" ref="F137:Q137" ca="1">B21:M21*Produccion!$F$9</f>
        <v>0</v>
      </c>
      <c r="G137" s="592">
        <f ca="1"/>
        <v>0</v>
      </c>
      <c r="H137" s="592">
        <f ca="1"/>
        <v>0</v>
      </c>
      <c r="I137" s="592">
        <f ca="1"/>
        <v>0</v>
      </c>
      <c r="J137" s="592">
        <f ca="1"/>
        <v>0</v>
      </c>
      <c r="K137" s="592">
        <f ca="1"/>
        <v>0</v>
      </c>
      <c r="L137" s="592">
        <f ca="1"/>
        <v>0</v>
      </c>
      <c r="M137" s="592">
        <f ca="1"/>
        <v>0</v>
      </c>
      <c r="N137" s="592">
        <f ca="1"/>
        <v>0</v>
      </c>
      <c r="O137" s="592">
        <f ca="1"/>
        <v>0</v>
      </c>
      <c r="P137" s="592">
        <f ca="1"/>
        <v>0</v>
      </c>
      <c r="Q137" s="592">
        <f ca="1"/>
        <v>0</v>
      </c>
      <c r="R137" s="1968">
        <f t="array" aca="1" ref="R137:R141" ca="1">'Distr CV 5'!F137:F141</f>
        <v>0</v>
      </c>
      <c r="S137" s="1968">
        <f ca="1"/>
        <v>0</v>
      </c>
      <c r="T137" s="1968">
        <f ca="1"/>
        <v>0</v>
      </c>
      <c r="U137" s="1968">
        <f ca="1"/>
        <v>0</v>
      </c>
      <c r="V137" s="1968">
        <f ca="1"/>
        <v>0</v>
      </c>
      <c r="W137" s="1968">
        <f ca="1"/>
        <v>0</v>
      </c>
      <c r="X137" s="1968">
        <f ca="1"/>
        <v>0</v>
      </c>
      <c r="Y137" s="1986">
        <f ca="1"/>
        <v>0</v>
      </c>
    </row>
    <row r="138" spans="1:25">
      <c r="A138" s="1971" t="str">
        <v>9 meses antes</v>
      </c>
      <c r="B138" s="1967"/>
      <c r="C138" s="1967"/>
      <c r="D138" s="1967"/>
      <c r="E138" s="592">
        <f t="array" aca="1" ref="E138:P138" ca="1">B21:M21*Produccion!$E$9</f>
        <v>0</v>
      </c>
      <c r="F138" s="592">
        <f ca="1"/>
        <v>0</v>
      </c>
      <c r="G138" s="592">
        <f ca="1"/>
        <v>0</v>
      </c>
      <c r="H138" s="592">
        <f ca="1"/>
        <v>0</v>
      </c>
      <c r="I138" s="592">
        <f ca="1"/>
        <v>0</v>
      </c>
      <c r="J138" s="592">
        <f ca="1"/>
        <v>0</v>
      </c>
      <c r="K138" s="592">
        <f ca="1"/>
        <v>0</v>
      </c>
      <c r="L138" s="592">
        <f ca="1"/>
        <v>0</v>
      </c>
      <c r="M138" s="592">
        <f ca="1"/>
        <v>0</v>
      </c>
      <c r="N138" s="592">
        <f ca="1"/>
        <v>0</v>
      </c>
      <c r="O138" s="592">
        <f ca="1"/>
        <v>0</v>
      </c>
      <c r="P138" s="592">
        <f ca="1"/>
        <v>0</v>
      </c>
      <c r="Q138" s="1968">
        <f t="array" aca="1" ref="Q138:Q141" ca="1">'Distr CV 5'!E138:E141</f>
        <v>0</v>
      </c>
      <c r="R138" s="1968">
        <f ca="1"/>
        <v>0</v>
      </c>
      <c r="S138" s="1968">
        <f ca="1"/>
        <v>0</v>
      </c>
      <c r="T138" s="1968">
        <f ca="1"/>
        <v>0</v>
      </c>
      <c r="U138" s="1968">
        <f ca="1"/>
        <v>0</v>
      </c>
      <c r="V138" s="1968">
        <f ca="1"/>
        <v>0</v>
      </c>
      <c r="W138" s="1968">
        <f ca="1"/>
        <v>0</v>
      </c>
      <c r="X138" s="1968">
        <f ca="1"/>
        <v>0</v>
      </c>
      <c r="Y138" s="1986">
        <f ca="1"/>
        <v>0</v>
      </c>
    </row>
    <row r="139" spans="1:25">
      <c r="A139" s="1971" t="str">
        <v>10 meses antes</v>
      </c>
      <c r="B139" s="1967"/>
      <c r="C139" s="1967"/>
      <c r="D139" s="592">
        <f t="array" aca="1" ref="D139:O139" ca="1">B21:M21*Produccion!$D$9</f>
        <v>0</v>
      </c>
      <c r="E139" s="592">
        <f ca="1"/>
        <v>0</v>
      </c>
      <c r="F139" s="592">
        <f ca="1"/>
        <v>0</v>
      </c>
      <c r="G139" s="592">
        <f ca="1"/>
        <v>0</v>
      </c>
      <c r="H139" s="592">
        <f ca="1"/>
        <v>0</v>
      </c>
      <c r="I139" s="592">
        <f ca="1"/>
        <v>0</v>
      </c>
      <c r="J139" s="592">
        <f ca="1"/>
        <v>0</v>
      </c>
      <c r="K139" s="592">
        <f ca="1"/>
        <v>0</v>
      </c>
      <c r="L139" s="592">
        <f ca="1"/>
        <v>0</v>
      </c>
      <c r="M139" s="592">
        <f ca="1"/>
        <v>0</v>
      </c>
      <c r="N139" s="592">
        <f ca="1"/>
        <v>0</v>
      </c>
      <c r="O139" s="592">
        <f ca="1"/>
        <v>0</v>
      </c>
      <c r="P139" s="1968">
        <f t="array" aca="1" ref="P139:P141" ca="1">'Distr CV 5'!D139:D141</f>
        <v>0</v>
      </c>
      <c r="Q139" s="1968">
        <f ca="1"/>
        <v>0</v>
      </c>
      <c r="R139" s="1968">
        <f ca="1"/>
        <v>0</v>
      </c>
      <c r="S139" s="1968">
        <f ca="1"/>
        <v>0</v>
      </c>
      <c r="T139" s="1968">
        <f ca="1"/>
        <v>0</v>
      </c>
      <c r="U139" s="1968">
        <f ca="1"/>
        <v>0</v>
      </c>
      <c r="V139" s="1968">
        <f ca="1"/>
        <v>0</v>
      </c>
      <c r="W139" s="1968">
        <f ca="1"/>
        <v>0</v>
      </c>
      <c r="X139" s="1968">
        <f ca="1"/>
        <v>0</v>
      </c>
      <c r="Y139" s="1986">
        <f ca="1"/>
        <v>0</v>
      </c>
    </row>
    <row r="140" spans="1:25">
      <c r="A140" s="1971" t="str">
        <v>11 meses antes</v>
      </c>
      <c r="B140" s="1967"/>
      <c r="C140" s="592">
        <f t="array" aca="1" ref="C140:N140" ca="1">B21:M21*Produccion!$C$9</f>
        <v>0</v>
      </c>
      <c r="D140" s="592">
        <f ca="1"/>
        <v>0</v>
      </c>
      <c r="E140" s="592">
        <f ca="1"/>
        <v>0</v>
      </c>
      <c r="F140" s="592">
        <f ca="1"/>
        <v>0</v>
      </c>
      <c r="G140" s="592">
        <f ca="1"/>
        <v>0</v>
      </c>
      <c r="H140" s="592">
        <f ca="1"/>
        <v>0</v>
      </c>
      <c r="I140" s="592">
        <f ca="1"/>
        <v>0</v>
      </c>
      <c r="J140" s="592">
        <f ca="1"/>
        <v>0</v>
      </c>
      <c r="K140" s="592">
        <f ca="1"/>
        <v>0</v>
      </c>
      <c r="L140" s="592">
        <f ca="1"/>
        <v>0</v>
      </c>
      <c r="M140" s="592">
        <f ca="1"/>
        <v>0</v>
      </c>
      <c r="N140" s="592">
        <f ca="1"/>
        <v>0</v>
      </c>
      <c r="O140" s="1968">
        <f ca="1">'Distr CV 5'!C140</f>
        <v>0</v>
      </c>
      <c r="P140" s="1968">
        <f ca="1"/>
        <v>0</v>
      </c>
      <c r="Q140" s="1968">
        <f ca="1"/>
        <v>0</v>
      </c>
      <c r="R140" s="1968">
        <f ca="1"/>
        <v>0</v>
      </c>
      <c r="S140" s="1968">
        <f ca="1"/>
        <v>0</v>
      </c>
      <c r="T140" s="1968">
        <f ca="1"/>
        <v>0</v>
      </c>
      <c r="U140" s="1968">
        <f ca="1"/>
        <v>0</v>
      </c>
      <c r="V140" s="1968">
        <f ca="1"/>
        <v>0</v>
      </c>
      <c r="W140" s="1968">
        <f ca="1"/>
        <v>0</v>
      </c>
      <c r="X140" s="1968">
        <f ca="1"/>
        <v>0</v>
      </c>
      <c r="Y140" s="1986">
        <f ca="1"/>
        <v>0</v>
      </c>
    </row>
    <row r="141" spans="1:25" ht="13.5" thickBot="1">
      <c r="A141" s="1971" t="str">
        <v>12 meses antes</v>
      </c>
      <c r="B141" s="592">
        <f t="array" aca="1" ref="B141:M141" ca="1">B21:M21*Produccion!$B$9</f>
        <v>0</v>
      </c>
      <c r="C141" s="592">
        <f ca="1"/>
        <v>0</v>
      </c>
      <c r="D141" s="592">
        <f ca="1"/>
        <v>0</v>
      </c>
      <c r="E141" s="592">
        <f ca="1"/>
        <v>0</v>
      </c>
      <c r="F141" s="592">
        <f ca="1"/>
        <v>0</v>
      </c>
      <c r="G141" s="592">
        <f ca="1"/>
        <v>0</v>
      </c>
      <c r="H141" s="592">
        <f ca="1"/>
        <v>0</v>
      </c>
      <c r="I141" s="592">
        <f ca="1"/>
        <v>0</v>
      </c>
      <c r="J141" s="592">
        <f ca="1"/>
        <v>0</v>
      </c>
      <c r="K141" s="592">
        <f ca="1"/>
        <v>0</v>
      </c>
      <c r="L141" s="592">
        <f ca="1"/>
        <v>0</v>
      </c>
      <c r="M141" s="592">
        <f ca="1"/>
        <v>0</v>
      </c>
      <c r="N141" s="1967">
        <f ca="1">'Distr CV 5'!B141</f>
        <v>0</v>
      </c>
      <c r="O141" s="1968">
        <f ca="1">'Distr CV 5'!C141</f>
        <v>0</v>
      </c>
      <c r="P141" s="1968">
        <f ca="1"/>
        <v>0</v>
      </c>
      <c r="Q141" s="1968">
        <f ca="1"/>
        <v>0</v>
      </c>
      <c r="R141" s="1968">
        <f ca="1"/>
        <v>0</v>
      </c>
      <c r="S141" s="1968">
        <f ca="1"/>
        <v>0</v>
      </c>
      <c r="T141" s="1968">
        <f ca="1"/>
        <v>0</v>
      </c>
      <c r="U141" s="1968">
        <f ca="1"/>
        <v>0</v>
      </c>
      <c r="V141" s="1968">
        <f ca="1"/>
        <v>0</v>
      </c>
      <c r="W141" s="1968">
        <f ca="1"/>
        <v>0</v>
      </c>
      <c r="X141" s="1968">
        <f ca="1"/>
        <v>0</v>
      </c>
      <c r="Y141" s="1986">
        <f ca="1"/>
        <v>0</v>
      </c>
    </row>
    <row r="142" spans="1:25" ht="13.5" thickBot="1">
      <c r="A142" s="103" t="str">
        <f>"Totales CV "&amp;A$9</f>
        <v xml:space="preserve">Totales CV </v>
      </c>
      <c r="B142" s="596">
        <f t="shared" ref="B142:Y142" ca="1" si="11">SUM(B129:B141)</f>
        <v>0</v>
      </c>
      <c r="C142" s="596">
        <f t="shared" ca="1" si="11"/>
        <v>0</v>
      </c>
      <c r="D142" s="596">
        <f t="shared" ca="1" si="11"/>
        <v>0</v>
      </c>
      <c r="E142" s="596">
        <f t="shared" ca="1" si="11"/>
        <v>0</v>
      </c>
      <c r="F142" s="596">
        <f t="shared" ca="1" si="11"/>
        <v>0</v>
      </c>
      <c r="G142" s="596">
        <f t="shared" ca="1" si="11"/>
        <v>0</v>
      </c>
      <c r="H142" s="596">
        <f t="shared" ca="1" si="11"/>
        <v>0</v>
      </c>
      <c r="I142" s="596">
        <f t="shared" ca="1" si="11"/>
        <v>0</v>
      </c>
      <c r="J142" s="596">
        <f t="shared" ca="1" si="11"/>
        <v>0</v>
      </c>
      <c r="K142" s="596">
        <f t="shared" ca="1" si="11"/>
        <v>0</v>
      </c>
      <c r="L142" s="596">
        <f t="shared" ca="1" si="11"/>
        <v>0</v>
      </c>
      <c r="M142" s="596">
        <f t="shared" ca="1" si="11"/>
        <v>0</v>
      </c>
      <c r="N142" s="596">
        <f t="shared" ca="1" si="11"/>
        <v>0</v>
      </c>
      <c r="O142" s="596">
        <f t="shared" ca="1" si="11"/>
        <v>0</v>
      </c>
      <c r="P142" s="596">
        <f t="shared" ca="1" si="11"/>
        <v>0</v>
      </c>
      <c r="Q142" s="596">
        <f t="shared" ca="1" si="11"/>
        <v>0</v>
      </c>
      <c r="R142" s="596">
        <f t="shared" ca="1" si="11"/>
        <v>0</v>
      </c>
      <c r="S142" s="596">
        <f t="shared" ca="1" si="11"/>
        <v>0</v>
      </c>
      <c r="T142" s="596">
        <f t="shared" ca="1" si="11"/>
        <v>0</v>
      </c>
      <c r="U142" s="596">
        <f t="shared" ca="1" si="11"/>
        <v>0</v>
      </c>
      <c r="V142" s="596">
        <f t="shared" ca="1" si="11"/>
        <v>0</v>
      </c>
      <c r="W142" s="596">
        <f t="shared" ca="1" si="11"/>
        <v>0</v>
      </c>
      <c r="X142" s="596">
        <f t="shared" ca="1" si="11"/>
        <v>0</v>
      </c>
      <c r="Y142" s="1984">
        <f t="shared" ca="1" si="11"/>
        <v>0</v>
      </c>
    </row>
    <row r="143" spans="1:25" ht="13.5" thickBot="1">
      <c r="A143" s="103" t="str">
        <f>'Datos Básicos'!A28&amp;" sop. CV "&amp;$A$9</f>
        <v xml:space="preserve">IVA sop. CV </v>
      </c>
      <c r="B143" s="596">
        <f t="array" aca="1" ref="B143:Y143" ca="1">$K$127*B142:Y142</f>
        <v>0</v>
      </c>
      <c r="C143" s="596">
        <f ca="1"/>
        <v>0</v>
      </c>
      <c r="D143" s="596">
        <f ca="1"/>
        <v>0</v>
      </c>
      <c r="E143" s="596">
        <f ca="1"/>
        <v>0</v>
      </c>
      <c r="F143" s="596">
        <f ca="1"/>
        <v>0</v>
      </c>
      <c r="G143" s="596">
        <f ca="1"/>
        <v>0</v>
      </c>
      <c r="H143" s="596">
        <f ca="1"/>
        <v>0</v>
      </c>
      <c r="I143" s="596">
        <f ca="1"/>
        <v>0</v>
      </c>
      <c r="J143" s="596">
        <f ca="1"/>
        <v>0</v>
      </c>
      <c r="K143" s="596">
        <f ca="1"/>
        <v>0</v>
      </c>
      <c r="L143" s="596">
        <f ca="1"/>
        <v>0</v>
      </c>
      <c r="M143" s="596">
        <f ca="1"/>
        <v>0</v>
      </c>
      <c r="N143" s="596">
        <f ca="1"/>
        <v>0</v>
      </c>
      <c r="O143" s="596">
        <f ca="1"/>
        <v>0</v>
      </c>
      <c r="P143" s="596">
        <f ca="1"/>
        <v>0</v>
      </c>
      <c r="Q143" s="596">
        <f ca="1"/>
        <v>0</v>
      </c>
      <c r="R143" s="596">
        <f ca="1"/>
        <v>0</v>
      </c>
      <c r="S143" s="596">
        <f ca="1"/>
        <v>0</v>
      </c>
      <c r="T143" s="596">
        <f ca="1"/>
        <v>0</v>
      </c>
      <c r="U143" s="596">
        <f ca="1"/>
        <v>0</v>
      </c>
      <c r="V143" s="596">
        <f ca="1"/>
        <v>0</v>
      </c>
      <c r="W143" s="596">
        <f ca="1"/>
        <v>0</v>
      </c>
      <c r="X143" s="596">
        <f ca="1"/>
        <v>0</v>
      </c>
      <c r="Y143" s="1984">
        <f ca="1"/>
        <v>0</v>
      </c>
    </row>
    <row r="145" spans="1:25" ht="18.75" thickBot="1">
      <c r="A145" s="1969" t="str">
        <f>'Distr CV 0'!A145</f>
        <v xml:space="preserve">Compras / costes de producción por meses de </v>
      </c>
      <c r="I145" s="1969" t="str">
        <f>I$18</f>
        <v>IVA NO incluido</v>
      </c>
      <c r="K145" s="1981">
        <f>Parametros!$F$26</f>
        <v>0.21</v>
      </c>
    </row>
    <row r="146" spans="1:25" ht="30" customHeight="1" thickBot="1">
      <c r="A146" s="446" t="str">
        <f>A$110</f>
        <v>mes de compra / coste</v>
      </c>
      <c r="B146" s="1987" t="str">
        <f t="array" ref="B146:Y146">B$71:Y$71</f>
        <v>enero 
2029</v>
      </c>
      <c r="C146" s="1987" t="str">
        <v>febrero 
2029</v>
      </c>
      <c r="D146" s="1987" t="str">
        <v>marzo 
2029</v>
      </c>
      <c r="E146" s="1987" t="str">
        <v>abril 
2029</v>
      </c>
      <c r="F146" s="1987" t="str">
        <v>mayo 
2029</v>
      </c>
      <c r="G146" s="1987" t="str">
        <v>junio 
2029</v>
      </c>
      <c r="H146" s="1987" t="str">
        <v>julio 
2029</v>
      </c>
      <c r="I146" s="1987" t="str">
        <v>agosto 
2029</v>
      </c>
      <c r="J146" s="1987" t="str">
        <v>septiembre 
2029</v>
      </c>
      <c r="K146" s="1987" t="str">
        <v>octubre 
2029</v>
      </c>
      <c r="L146" s="1987" t="str">
        <v>noviembre 
2029</v>
      </c>
      <c r="M146" s="1987" t="str">
        <v>diciembre 
2029</v>
      </c>
      <c r="N146" s="2703" t="str">
        <v>enero 
2030</v>
      </c>
      <c r="O146" s="2704" t="str">
        <v>febrero 
2030</v>
      </c>
      <c r="P146" s="2704" t="str">
        <v>marzo 
2030</v>
      </c>
      <c r="Q146" s="2704" t="str">
        <v>abril 
2030</v>
      </c>
      <c r="R146" s="2704" t="str">
        <v>mayo 
2030</v>
      </c>
      <c r="S146" s="2704" t="str">
        <v>junio 
2030</v>
      </c>
      <c r="T146" s="2704" t="str">
        <v>julio 
2030</v>
      </c>
      <c r="U146" s="2704" t="str">
        <v>agosto 
2030</v>
      </c>
      <c r="V146" s="2704" t="str">
        <v>septiembre 
2030</v>
      </c>
      <c r="W146" s="2704" t="str">
        <v>octubre 
2030</v>
      </c>
      <c r="X146" s="2704" t="str">
        <v>noviembre 
2030</v>
      </c>
      <c r="Y146" s="2705" t="str">
        <v>diciembre 
2030</v>
      </c>
    </row>
    <row r="147" spans="1:25">
      <c r="A147" s="1970" t="str">
        <f t="array" ref="A147:A159">A$72:A$84</f>
        <v>mismo mes</v>
      </c>
      <c r="B147" s="1967"/>
      <c r="C147" s="1967"/>
      <c r="D147" s="1967"/>
      <c r="E147" s="1967"/>
      <c r="F147" s="1967"/>
      <c r="G147" s="1967"/>
      <c r="H147" s="1967"/>
      <c r="I147" s="1967"/>
      <c r="J147" s="1967"/>
      <c r="K147" s="1967"/>
      <c r="L147" s="1967"/>
      <c r="M147" s="1967"/>
      <c r="N147" s="592">
        <f t="array" aca="1" ref="N147:Y147" ca="1">B22:M22*Produccion!$N$10</f>
        <v>0</v>
      </c>
      <c r="O147" s="592">
        <f ca="1"/>
        <v>0</v>
      </c>
      <c r="P147" s="592">
        <f ca="1"/>
        <v>0</v>
      </c>
      <c r="Q147" s="592">
        <f ca="1"/>
        <v>0</v>
      </c>
      <c r="R147" s="592">
        <f ca="1"/>
        <v>0</v>
      </c>
      <c r="S147" s="592">
        <f ca="1"/>
        <v>0</v>
      </c>
      <c r="T147" s="592">
        <f ca="1"/>
        <v>0</v>
      </c>
      <c r="U147" s="592">
        <f ca="1"/>
        <v>0</v>
      </c>
      <c r="V147" s="592">
        <f ca="1"/>
        <v>0</v>
      </c>
      <c r="W147" s="592">
        <f ca="1"/>
        <v>0</v>
      </c>
      <c r="X147" s="592">
        <f ca="1"/>
        <v>0</v>
      </c>
      <c r="Y147" s="1982">
        <f ca="1"/>
        <v>0</v>
      </c>
    </row>
    <row r="148" spans="1:25">
      <c r="A148" s="1971" t="str">
        <v>1 mes antes</v>
      </c>
      <c r="B148" s="1967"/>
      <c r="C148" s="1967"/>
      <c r="D148" s="1967"/>
      <c r="E148" s="1967"/>
      <c r="F148" s="1967"/>
      <c r="G148" s="1967"/>
      <c r="H148" s="1967"/>
      <c r="I148" s="1967"/>
      <c r="J148" s="1967"/>
      <c r="K148" s="1967"/>
      <c r="L148" s="1967"/>
      <c r="M148" s="592">
        <f t="array" aca="1" ref="M148:X148" ca="1">B22:M22*Produccion!$M$10</f>
        <v>0</v>
      </c>
      <c r="N148" s="592">
        <f ca="1"/>
        <v>0</v>
      </c>
      <c r="O148" s="592">
        <f ca="1"/>
        <v>0</v>
      </c>
      <c r="P148" s="592">
        <f ca="1"/>
        <v>0</v>
      </c>
      <c r="Q148" s="592">
        <f ca="1"/>
        <v>0</v>
      </c>
      <c r="R148" s="592">
        <f ca="1"/>
        <v>0</v>
      </c>
      <c r="S148" s="592">
        <f ca="1"/>
        <v>0</v>
      </c>
      <c r="T148" s="592">
        <f ca="1"/>
        <v>0</v>
      </c>
      <c r="U148" s="592">
        <f ca="1"/>
        <v>0</v>
      </c>
      <c r="V148" s="592">
        <f ca="1"/>
        <v>0</v>
      </c>
      <c r="W148" s="592">
        <f ca="1"/>
        <v>0</v>
      </c>
      <c r="X148" s="592">
        <f ca="1"/>
        <v>0</v>
      </c>
      <c r="Y148" s="1983">
        <f t="array" aca="1" ref="Y148:Y159" ca="1">'Distr CV 5'!M148:M159</f>
        <v>0</v>
      </c>
    </row>
    <row r="149" spans="1:25">
      <c r="A149" s="1971" t="str">
        <v>2 meses antes</v>
      </c>
      <c r="B149" s="1967"/>
      <c r="C149" s="1967"/>
      <c r="D149" s="1967"/>
      <c r="E149" s="1967"/>
      <c r="F149" s="1967"/>
      <c r="G149" s="1967"/>
      <c r="H149" s="1967"/>
      <c r="I149" s="1967"/>
      <c r="J149" s="1967"/>
      <c r="K149" s="1967"/>
      <c r="L149" s="592">
        <f t="array" aca="1" ref="L149:W149" ca="1">B22:M22*Produccion!$L$10</f>
        <v>0</v>
      </c>
      <c r="M149" s="592">
        <f ca="1"/>
        <v>0</v>
      </c>
      <c r="N149" s="592">
        <f ca="1"/>
        <v>0</v>
      </c>
      <c r="O149" s="592">
        <f ca="1"/>
        <v>0</v>
      </c>
      <c r="P149" s="592">
        <f ca="1"/>
        <v>0</v>
      </c>
      <c r="Q149" s="592">
        <f ca="1"/>
        <v>0</v>
      </c>
      <c r="R149" s="592">
        <f ca="1"/>
        <v>0</v>
      </c>
      <c r="S149" s="592">
        <f ca="1"/>
        <v>0</v>
      </c>
      <c r="T149" s="592">
        <f ca="1"/>
        <v>0</v>
      </c>
      <c r="U149" s="592">
        <f ca="1"/>
        <v>0</v>
      </c>
      <c r="V149" s="592">
        <f ca="1"/>
        <v>0</v>
      </c>
      <c r="W149" s="592">
        <f ca="1"/>
        <v>0</v>
      </c>
      <c r="X149" s="1964">
        <f t="array" aca="1" ref="X149:X159" ca="1">'Distr CV 5'!L149:L159</f>
        <v>0</v>
      </c>
      <c r="Y149" s="1983">
        <f ca="1"/>
        <v>0</v>
      </c>
    </row>
    <row r="150" spans="1:25">
      <c r="A150" s="1971" t="str">
        <v>3 meses antes</v>
      </c>
      <c r="B150" s="1967"/>
      <c r="C150" s="1967"/>
      <c r="D150" s="1967"/>
      <c r="E150" s="1967"/>
      <c r="F150" s="1967"/>
      <c r="G150" s="1967"/>
      <c r="H150" s="1967"/>
      <c r="I150" s="1967"/>
      <c r="J150" s="1967"/>
      <c r="K150" s="592">
        <f t="array" aca="1" ref="K150:V150" ca="1">B22:M22*Produccion!$K$10</f>
        <v>0</v>
      </c>
      <c r="L150" s="592">
        <f ca="1"/>
        <v>0</v>
      </c>
      <c r="M150" s="592">
        <f ca="1"/>
        <v>0</v>
      </c>
      <c r="N150" s="592">
        <f ca="1"/>
        <v>0</v>
      </c>
      <c r="O150" s="592">
        <f ca="1"/>
        <v>0</v>
      </c>
      <c r="P150" s="592">
        <f ca="1"/>
        <v>0</v>
      </c>
      <c r="Q150" s="592">
        <f ca="1"/>
        <v>0</v>
      </c>
      <c r="R150" s="592">
        <f ca="1"/>
        <v>0</v>
      </c>
      <c r="S150" s="592">
        <f ca="1"/>
        <v>0</v>
      </c>
      <c r="T150" s="592">
        <f ca="1"/>
        <v>0</v>
      </c>
      <c r="U150" s="592">
        <f ca="1"/>
        <v>0</v>
      </c>
      <c r="V150" s="592">
        <f ca="1"/>
        <v>0</v>
      </c>
      <c r="W150" s="1964">
        <f t="array" aca="1" ref="W150:W159" ca="1">'Distr CV 5'!K150:K159</f>
        <v>0</v>
      </c>
      <c r="X150" s="1964">
        <f ca="1"/>
        <v>0</v>
      </c>
      <c r="Y150" s="1983">
        <f ca="1"/>
        <v>0</v>
      </c>
    </row>
    <row r="151" spans="1:25">
      <c r="A151" s="1971" t="str">
        <v>4 meses antes</v>
      </c>
      <c r="B151" s="1967"/>
      <c r="C151" s="1967"/>
      <c r="D151" s="1967"/>
      <c r="E151" s="1967"/>
      <c r="F151" s="1967"/>
      <c r="G151" s="1967"/>
      <c r="H151" s="1967"/>
      <c r="I151" s="1967"/>
      <c r="J151" s="592">
        <f t="array" aca="1" ref="J151:U151" ca="1">B22:M22*Produccion!$J$10</f>
        <v>0</v>
      </c>
      <c r="K151" s="592">
        <f ca="1"/>
        <v>0</v>
      </c>
      <c r="L151" s="592">
        <f ca="1"/>
        <v>0</v>
      </c>
      <c r="M151" s="592">
        <f ca="1"/>
        <v>0</v>
      </c>
      <c r="N151" s="592">
        <f ca="1"/>
        <v>0</v>
      </c>
      <c r="O151" s="592">
        <f ca="1"/>
        <v>0</v>
      </c>
      <c r="P151" s="592">
        <f ca="1"/>
        <v>0</v>
      </c>
      <c r="Q151" s="592">
        <f ca="1"/>
        <v>0</v>
      </c>
      <c r="R151" s="592">
        <f ca="1"/>
        <v>0</v>
      </c>
      <c r="S151" s="592">
        <f ca="1"/>
        <v>0</v>
      </c>
      <c r="T151" s="592">
        <f ca="1"/>
        <v>0</v>
      </c>
      <c r="U151" s="592">
        <f ca="1"/>
        <v>0</v>
      </c>
      <c r="V151" s="1964">
        <f t="array" aca="1" ref="V151:V159" ca="1">'Distr CV 5'!J151:J159</f>
        <v>0</v>
      </c>
      <c r="W151" s="1964">
        <f ca="1"/>
        <v>0</v>
      </c>
      <c r="X151" s="1964">
        <f ca="1"/>
        <v>0</v>
      </c>
      <c r="Y151" s="1983">
        <f ca="1"/>
        <v>0</v>
      </c>
    </row>
    <row r="152" spans="1:25">
      <c r="A152" s="1971" t="str">
        <v>5 meses antes</v>
      </c>
      <c r="B152" s="1967"/>
      <c r="C152" s="1967"/>
      <c r="D152" s="1967"/>
      <c r="E152" s="1967"/>
      <c r="F152" s="1967"/>
      <c r="G152" s="1967"/>
      <c r="H152" s="1967"/>
      <c r="I152" s="592">
        <f t="array" aca="1" ref="I152:T152" ca="1">B22:M22*Produccion!$I$10</f>
        <v>0</v>
      </c>
      <c r="J152" s="592">
        <f ca="1"/>
        <v>0</v>
      </c>
      <c r="K152" s="592">
        <f ca="1"/>
        <v>0</v>
      </c>
      <c r="L152" s="592">
        <f ca="1"/>
        <v>0</v>
      </c>
      <c r="M152" s="592">
        <f ca="1"/>
        <v>0</v>
      </c>
      <c r="N152" s="592">
        <f ca="1"/>
        <v>0</v>
      </c>
      <c r="O152" s="592">
        <f ca="1"/>
        <v>0</v>
      </c>
      <c r="P152" s="592">
        <f ca="1"/>
        <v>0</v>
      </c>
      <c r="Q152" s="592">
        <f ca="1"/>
        <v>0</v>
      </c>
      <c r="R152" s="592">
        <f ca="1"/>
        <v>0</v>
      </c>
      <c r="S152" s="592">
        <f ca="1"/>
        <v>0</v>
      </c>
      <c r="T152" s="592">
        <f ca="1"/>
        <v>0</v>
      </c>
      <c r="U152" s="1964">
        <f t="array" aca="1" ref="U152:U159" ca="1">'Distr CV 5'!I152:I159</f>
        <v>0</v>
      </c>
      <c r="V152" s="1964">
        <f ca="1"/>
        <v>0</v>
      </c>
      <c r="W152" s="1964">
        <f ca="1"/>
        <v>0</v>
      </c>
      <c r="X152" s="1964">
        <f ca="1"/>
        <v>0</v>
      </c>
      <c r="Y152" s="1983">
        <f ca="1"/>
        <v>0</v>
      </c>
    </row>
    <row r="153" spans="1:25">
      <c r="A153" s="1971" t="str">
        <v>6 meses antes</v>
      </c>
      <c r="B153" s="1967"/>
      <c r="C153" s="1967"/>
      <c r="D153" s="1967"/>
      <c r="E153" s="1967"/>
      <c r="F153" s="1967"/>
      <c r="G153" s="1967"/>
      <c r="H153" s="592">
        <f t="array" aca="1" ref="H153:S153" ca="1">B22:M22*Produccion!$H$10</f>
        <v>0</v>
      </c>
      <c r="I153" s="592">
        <f ca="1"/>
        <v>0</v>
      </c>
      <c r="J153" s="592">
        <f ca="1"/>
        <v>0</v>
      </c>
      <c r="K153" s="592">
        <f ca="1"/>
        <v>0</v>
      </c>
      <c r="L153" s="592">
        <f ca="1"/>
        <v>0</v>
      </c>
      <c r="M153" s="592">
        <f ca="1"/>
        <v>0</v>
      </c>
      <c r="N153" s="592">
        <f ca="1"/>
        <v>0</v>
      </c>
      <c r="O153" s="592">
        <f ca="1"/>
        <v>0</v>
      </c>
      <c r="P153" s="592">
        <f ca="1"/>
        <v>0</v>
      </c>
      <c r="Q153" s="592">
        <f ca="1"/>
        <v>0</v>
      </c>
      <c r="R153" s="592">
        <f ca="1"/>
        <v>0</v>
      </c>
      <c r="S153" s="592">
        <f ca="1"/>
        <v>0</v>
      </c>
      <c r="T153" s="1964">
        <f t="array" aca="1" ref="T153:T159" ca="1">'Distr CV 5'!H153:H159</f>
        <v>0</v>
      </c>
      <c r="U153" s="1964">
        <f ca="1"/>
        <v>0</v>
      </c>
      <c r="V153" s="1964">
        <f ca="1"/>
        <v>0</v>
      </c>
      <c r="W153" s="1964">
        <f ca="1"/>
        <v>0</v>
      </c>
      <c r="X153" s="1964">
        <f ca="1"/>
        <v>0</v>
      </c>
      <c r="Y153" s="1983">
        <f ca="1"/>
        <v>0</v>
      </c>
    </row>
    <row r="154" spans="1:25">
      <c r="A154" s="1971" t="str">
        <v>7 meses antes</v>
      </c>
      <c r="B154" s="1967"/>
      <c r="C154" s="1967"/>
      <c r="D154" s="1967"/>
      <c r="E154" s="1967"/>
      <c r="F154" s="1967"/>
      <c r="G154" s="592">
        <f t="array" aca="1" ref="G154:R154" ca="1">B22:M22*Produccion!$G$10</f>
        <v>0</v>
      </c>
      <c r="H154" s="592">
        <f ca="1"/>
        <v>0</v>
      </c>
      <c r="I154" s="592">
        <f ca="1"/>
        <v>0</v>
      </c>
      <c r="J154" s="592">
        <f ca="1"/>
        <v>0</v>
      </c>
      <c r="K154" s="592">
        <f ca="1"/>
        <v>0</v>
      </c>
      <c r="L154" s="592">
        <f ca="1"/>
        <v>0</v>
      </c>
      <c r="M154" s="592">
        <f ca="1"/>
        <v>0</v>
      </c>
      <c r="N154" s="592">
        <f ca="1"/>
        <v>0</v>
      </c>
      <c r="O154" s="592">
        <f ca="1"/>
        <v>0</v>
      </c>
      <c r="P154" s="592">
        <f ca="1"/>
        <v>0</v>
      </c>
      <c r="Q154" s="592">
        <f ca="1"/>
        <v>0</v>
      </c>
      <c r="R154" s="592">
        <f ca="1"/>
        <v>0</v>
      </c>
      <c r="S154" s="1968">
        <f t="array" aca="1" ref="S154:S159" ca="1">'Distr CV 5'!G154:G159</f>
        <v>0</v>
      </c>
      <c r="T154" s="1968">
        <f ca="1"/>
        <v>0</v>
      </c>
      <c r="U154" s="1968">
        <f ca="1"/>
        <v>0</v>
      </c>
      <c r="V154" s="1968">
        <f ca="1"/>
        <v>0</v>
      </c>
      <c r="W154" s="1968">
        <f ca="1"/>
        <v>0</v>
      </c>
      <c r="X154" s="1968">
        <f ca="1"/>
        <v>0</v>
      </c>
      <c r="Y154" s="1986">
        <f ca="1"/>
        <v>0</v>
      </c>
    </row>
    <row r="155" spans="1:25">
      <c r="A155" s="1971" t="str">
        <v>8 meses antes</v>
      </c>
      <c r="B155" s="1967"/>
      <c r="C155" s="1967"/>
      <c r="D155" s="1967"/>
      <c r="E155" s="1967"/>
      <c r="F155" s="592">
        <f t="array" aca="1" ref="F155:Q155" ca="1">B22:M22*Produccion!$F$10</f>
        <v>0</v>
      </c>
      <c r="G155" s="592">
        <f ca="1"/>
        <v>0</v>
      </c>
      <c r="H155" s="592">
        <f ca="1"/>
        <v>0</v>
      </c>
      <c r="I155" s="592">
        <f ca="1"/>
        <v>0</v>
      </c>
      <c r="J155" s="592">
        <f ca="1"/>
        <v>0</v>
      </c>
      <c r="K155" s="592">
        <f ca="1"/>
        <v>0</v>
      </c>
      <c r="L155" s="592">
        <f ca="1"/>
        <v>0</v>
      </c>
      <c r="M155" s="592">
        <f ca="1"/>
        <v>0</v>
      </c>
      <c r="N155" s="592">
        <f ca="1"/>
        <v>0</v>
      </c>
      <c r="O155" s="592">
        <f ca="1"/>
        <v>0</v>
      </c>
      <c r="P155" s="592">
        <f ca="1"/>
        <v>0</v>
      </c>
      <c r="Q155" s="592">
        <f ca="1"/>
        <v>0</v>
      </c>
      <c r="R155" s="1968">
        <f t="array" aca="1" ref="R155:R159" ca="1">'Distr CV 5'!F155:F159</f>
        <v>0</v>
      </c>
      <c r="S155" s="1968">
        <f ca="1"/>
        <v>0</v>
      </c>
      <c r="T155" s="1968">
        <f ca="1"/>
        <v>0</v>
      </c>
      <c r="U155" s="1968">
        <f ca="1"/>
        <v>0</v>
      </c>
      <c r="V155" s="1968">
        <f ca="1"/>
        <v>0</v>
      </c>
      <c r="W155" s="1968">
        <f ca="1"/>
        <v>0</v>
      </c>
      <c r="X155" s="1968">
        <f ca="1"/>
        <v>0</v>
      </c>
      <c r="Y155" s="1986">
        <f ca="1"/>
        <v>0</v>
      </c>
    </row>
    <row r="156" spans="1:25">
      <c r="A156" s="1971" t="str">
        <v>9 meses antes</v>
      </c>
      <c r="B156" s="1967"/>
      <c r="C156" s="1967"/>
      <c r="D156" s="1967"/>
      <c r="E156" s="592">
        <f t="array" aca="1" ref="E156:P156" ca="1">B22:M22*Produccion!$E$10</f>
        <v>0</v>
      </c>
      <c r="F156" s="592">
        <f ca="1"/>
        <v>0</v>
      </c>
      <c r="G156" s="592">
        <f ca="1"/>
        <v>0</v>
      </c>
      <c r="H156" s="592">
        <f ca="1"/>
        <v>0</v>
      </c>
      <c r="I156" s="592">
        <f ca="1"/>
        <v>0</v>
      </c>
      <c r="J156" s="592">
        <f ca="1"/>
        <v>0</v>
      </c>
      <c r="K156" s="592">
        <f ca="1"/>
        <v>0</v>
      </c>
      <c r="L156" s="592">
        <f ca="1"/>
        <v>0</v>
      </c>
      <c r="M156" s="592">
        <f ca="1"/>
        <v>0</v>
      </c>
      <c r="N156" s="592">
        <f ca="1"/>
        <v>0</v>
      </c>
      <c r="O156" s="592">
        <f ca="1"/>
        <v>0</v>
      </c>
      <c r="P156" s="592">
        <f ca="1"/>
        <v>0</v>
      </c>
      <c r="Q156" s="1968">
        <f t="array" aca="1" ref="Q156:Q159" ca="1">'Distr CV 5'!E156:E159</f>
        <v>0</v>
      </c>
      <c r="R156" s="1968">
        <f ca="1"/>
        <v>0</v>
      </c>
      <c r="S156" s="1968">
        <f ca="1"/>
        <v>0</v>
      </c>
      <c r="T156" s="1968">
        <f ca="1"/>
        <v>0</v>
      </c>
      <c r="U156" s="1968">
        <f ca="1"/>
        <v>0</v>
      </c>
      <c r="V156" s="1968">
        <f ca="1"/>
        <v>0</v>
      </c>
      <c r="W156" s="1968">
        <f ca="1"/>
        <v>0</v>
      </c>
      <c r="X156" s="1968">
        <f ca="1"/>
        <v>0</v>
      </c>
      <c r="Y156" s="1986">
        <f ca="1"/>
        <v>0</v>
      </c>
    </row>
    <row r="157" spans="1:25">
      <c r="A157" s="1971" t="str">
        <v>10 meses antes</v>
      </c>
      <c r="B157" s="1967"/>
      <c r="C157" s="1967"/>
      <c r="D157" s="592">
        <f t="array" aca="1" ref="D157:O157" ca="1">B22:M22*Produccion!$D$10</f>
        <v>0</v>
      </c>
      <c r="E157" s="592">
        <f ca="1"/>
        <v>0</v>
      </c>
      <c r="F157" s="592">
        <f ca="1"/>
        <v>0</v>
      </c>
      <c r="G157" s="592">
        <f ca="1"/>
        <v>0</v>
      </c>
      <c r="H157" s="592">
        <f ca="1"/>
        <v>0</v>
      </c>
      <c r="I157" s="592">
        <f ca="1"/>
        <v>0</v>
      </c>
      <c r="J157" s="592">
        <f ca="1"/>
        <v>0</v>
      </c>
      <c r="K157" s="592">
        <f ca="1"/>
        <v>0</v>
      </c>
      <c r="L157" s="592">
        <f ca="1"/>
        <v>0</v>
      </c>
      <c r="M157" s="592">
        <f ca="1"/>
        <v>0</v>
      </c>
      <c r="N157" s="592">
        <f ca="1"/>
        <v>0</v>
      </c>
      <c r="O157" s="592">
        <f ca="1"/>
        <v>0</v>
      </c>
      <c r="P157" s="1968">
        <f t="array" aca="1" ref="P157:P159" ca="1">'Distr CV 5'!D157:D159</f>
        <v>0</v>
      </c>
      <c r="Q157" s="1968">
        <f ca="1"/>
        <v>0</v>
      </c>
      <c r="R157" s="1968">
        <f ca="1"/>
        <v>0</v>
      </c>
      <c r="S157" s="1968">
        <f ca="1"/>
        <v>0</v>
      </c>
      <c r="T157" s="1968">
        <f ca="1"/>
        <v>0</v>
      </c>
      <c r="U157" s="1968">
        <f ca="1"/>
        <v>0</v>
      </c>
      <c r="V157" s="1968">
        <f ca="1"/>
        <v>0</v>
      </c>
      <c r="W157" s="1968">
        <f ca="1"/>
        <v>0</v>
      </c>
      <c r="X157" s="1968">
        <f ca="1"/>
        <v>0</v>
      </c>
      <c r="Y157" s="1986">
        <f ca="1"/>
        <v>0</v>
      </c>
    </row>
    <row r="158" spans="1:25">
      <c r="A158" s="1971" t="str">
        <v>11 meses antes</v>
      </c>
      <c r="B158" s="1967"/>
      <c r="C158" s="592">
        <f t="array" aca="1" ref="C158:N158" ca="1">B22:M22*Produccion!$C$10</f>
        <v>0</v>
      </c>
      <c r="D158" s="592">
        <f ca="1"/>
        <v>0</v>
      </c>
      <c r="E158" s="592">
        <f ca="1"/>
        <v>0</v>
      </c>
      <c r="F158" s="592">
        <f ca="1"/>
        <v>0</v>
      </c>
      <c r="G158" s="592">
        <f ca="1"/>
        <v>0</v>
      </c>
      <c r="H158" s="592">
        <f ca="1"/>
        <v>0</v>
      </c>
      <c r="I158" s="592">
        <f ca="1"/>
        <v>0</v>
      </c>
      <c r="J158" s="592">
        <f ca="1"/>
        <v>0</v>
      </c>
      <c r="K158" s="592">
        <f ca="1"/>
        <v>0</v>
      </c>
      <c r="L158" s="592">
        <f ca="1"/>
        <v>0</v>
      </c>
      <c r="M158" s="592">
        <f ca="1"/>
        <v>0</v>
      </c>
      <c r="N158" s="592">
        <f ca="1"/>
        <v>0</v>
      </c>
      <c r="O158" s="1968">
        <f ca="1">'Distr CV 5'!C158</f>
        <v>0</v>
      </c>
      <c r="P158" s="1968">
        <f ca="1"/>
        <v>0</v>
      </c>
      <c r="Q158" s="1968">
        <f ca="1"/>
        <v>0</v>
      </c>
      <c r="R158" s="1968">
        <f ca="1"/>
        <v>0</v>
      </c>
      <c r="S158" s="1968">
        <f ca="1"/>
        <v>0</v>
      </c>
      <c r="T158" s="1968">
        <f ca="1"/>
        <v>0</v>
      </c>
      <c r="U158" s="1968">
        <f ca="1"/>
        <v>0</v>
      </c>
      <c r="V158" s="1968">
        <f ca="1"/>
        <v>0</v>
      </c>
      <c r="W158" s="1968">
        <f ca="1"/>
        <v>0</v>
      </c>
      <c r="X158" s="1968">
        <f ca="1"/>
        <v>0</v>
      </c>
      <c r="Y158" s="1986">
        <f ca="1"/>
        <v>0</v>
      </c>
    </row>
    <row r="159" spans="1:25" ht="13.5" thickBot="1">
      <c r="A159" s="1971" t="str">
        <v>12 meses antes</v>
      </c>
      <c r="B159" s="592">
        <f t="array" aca="1" ref="B159:M159" ca="1">B22:M22*Produccion!$B$10</f>
        <v>0</v>
      </c>
      <c r="C159" s="592">
        <f ca="1"/>
        <v>0</v>
      </c>
      <c r="D159" s="592">
        <f ca="1"/>
        <v>0</v>
      </c>
      <c r="E159" s="592">
        <f ca="1"/>
        <v>0</v>
      </c>
      <c r="F159" s="592">
        <f ca="1"/>
        <v>0</v>
      </c>
      <c r="G159" s="592">
        <f ca="1"/>
        <v>0</v>
      </c>
      <c r="H159" s="592">
        <f ca="1"/>
        <v>0</v>
      </c>
      <c r="I159" s="592">
        <f ca="1"/>
        <v>0</v>
      </c>
      <c r="J159" s="592">
        <f ca="1"/>
        <v>0</v>
      </c>
      <c r="K159" s="592">
        <f ca="1"/>
        <v>0</v>
      </c>
      <c r="L159" s="592">
        <f ca="1"/>
        <v>0</v>
      </c>
      <c r="M159" s="592">
        <f ca="1"/>
        <v>0</v>
      </c>
      <c r="N159" s="1967">
        <f ca="1">'Distr CV 5'!B159</f>
        <v>0</v>
      </c>
      <c r="O159" s="1968">
        <f ca="1">'Distr CV 5'!C159</f>
        <v>0</v>
      </c>
      <c r="P159" s="1968">
        <f ca="1"/>
        <v>0</v>
      </c>
      <c r="Q159" s="1968">
        <f ca="1"/>
        <v>0</v>
      </c>
      <c r="R159" s="1968">
        <f ca="1"/>
        <v>0</v>
      </c>
      <c r="S159" s="1968">
        <f ca="1"/>
        <v>0</v>
      </c>
      <c r="T159" s="1968">
        <f ca="1"/>
        <v>0</v>
      </c>
      <c r="U159" s="1968">
        <f ca="1"/>
        <v>0</v>
      </c>
      <c r="V159" s="1968">
        <f ca="1"/>
        <v>0</v>
      </c>
      <c r="W159" s="1968">
        <f ca="1"/>
        <v>0</v>
      </c>
      <c r="X159" s="1968">
        <f ca="1"/>
        <v>0</v>
      </c>
      <c r="Y159" s="1986">
        <f ca="1"/>
        <v>0</v>
      </c>
    </row>
    <row r="160" spans="1:25" ht="13.5" thickBot="1">
      <c r="A160" s="103" t="str">
        <f>"Totales CV "&amp;A$10</f>
        <v xml:space="preserve">Totales CV </v>
      </c>
      <c r="B160" s="596">
        <f t="shared" ref="B160:Y160" ca="1" si="12">SUM(B147:B159)</f>
        <v>0</v>
      </c>
      <c r="C160" s="596">
        <f t="shared" ca="1" si="12"/>
        <v>0</v>
      </c>
      <c r="D160" s="596">
        <f t="shared" ca="1" si="12"/>
        <v>0</v>
      </c>
      <c r="E160" s="596">
        <f t="shared" ca="1" si="12"/>
        <v>0</v>
      </c>
      <c r="F160" s="596">
        <f t="shared" ca="1" si="12"/>
        <v>0</v>
      </c>
      <c r="G160" s="596">
        <f t="shared" ca="1" si="12"/>
        <v>0</v>
      </c>
      <c r="H160" s="596">
        <f t="shared" ca="1" si="12"/>
        <v>0</v>
      </c>
      <c r="I160" s="596">
        <f t="shared" ca="1" si="12"/>
        <v>0</v>
      </c>
      <c r="J160" s="596">
        <f t="shared" ca="1" si="12"/>
        <v>0</v>
      </c>
      <c r="K160" s="596">
        <f t="shared" ca="1" si="12"/>
        <v>0</v>
      </c>
      <c r="L160" s="596">
        <f t="shared" ca="1" si="12"/>
        <v>0</v>
      </c>
      <c r="M160" s="596">
        <f t="shared" ca="1" si="12"/>
        <v>0</v>
      </c>
      <c r="N160" s="596">
        <f t="shared" ca="1" si="12"/>
        <v>0</v>
      </c>
      <c r="O160" s="596">
        <f t="shared" ca="1" si="12"/>
        <v>0</v>
      </c>
      <c r="P160" s="596">
        <f t="shared" ca="1" si="12"/>
        <v>0</v>
      </c>
      <c r="Q160" s="596">
        <f t="shared" ca="1" si="12"/>
        <v>0</v>
      </c>
      <c r="R160" s="596">
        <f t="shared" ca="1" si="12"/>
        <v>0</v>
      </c>
      <c r="S160" s="596">
        <f t="shared" ca="1" si="12"/>
        <v>0</v>
      </c>
      <c r="T160" s="596">
        <f t="shared" ca="1" si="12"/>
        <v>0</v>
      </c>
      <c r="U160" s="596">
        <f t="shared" ca="1" si="12"/>
        <v>0</v>
      </c>
      <c r="V160" s="596">
        <f t="shared" ca="1" si="12"/>
        <v>0</v>
      </c>
      <c r="W160" s="596">
        <f t="shared" ca="1" si="12"/>
        <v>0</v>
      </c>
      <c r="X160" s="596">
        <f t="shared" ca="1" si="12"/>
        <v>0</v>
      </c>
      <c r="Y160" s="1984">
        <f t="shared" ca="1" si="12"/>
        <v>0</v>
      </c>
    </row>
    <row r="161" spans="1:25" ht="13.5" thickBot="1">
      <c r="A161" s="103" t="str">
        <f>'Datos Básicos'!A28&amp;" sop. CV "&amp;$A$10</f>
        <v xml:space="preserve">IVA sop. CV </v>
      </c>
      <c r="B161" s="596">
        <f t="array" aca="1" ref="B161:Y161" ca="1">$K$145*B160:Y160</f>
        <v>0</v>
      </c>
      <c r="C161" s="596">
        <f ca="1"/>
        <v>0</v>
      </c>
      <c r="D161" s="596">
        <f ca="1"/>
        <v>0</v>
      </c>
      <c r="E161" s="596">
        <f ca="1"/>
        <v>0</v>
      </c>
      <c r="F161" s="596">
        <f ca="1"/>
        <v>0</v>
      </c>
      <c r="G161" s="596">
        <f ca="1"/>
        <v>0</v>
      </c>
      <c r="H161" s="596">
        <f ca="1"/>
        <v>0</v>
      </c>
      <c r="I161" s="596">
        <f ca="1"/>
        <v>0</v>
      </c>
      <c r="J161" s="596">
        <f ca="1"/>
        <v>0</v>
      </c>
      <c r="K161" s="596">
        <f ca="1"/>
        <v>0</v>
      </c>
      <c r="L161" s="596">
        <f ca="1"/>
        <v>0</v>
      </c>
      <c r="M161" s="596">
        <f ca="1"/>
        <v>0</v>
      </c>
      <c r="N161" s="596">
        <f ca="1"/>
        <v>0</v>
      </c>
      <c r="O161" s="596">
        <f ca="1"/>
        <v>0</v>
      </c>
      <c r="P161" s="596">
        <f ca="1"/>
        <v>0</v>
      </c>
      <c r="Q161" s="596">
        <f ca="1"/>
        <v>0</v>
      </c>
      <c r="R161" s="596">
        <f ca="1"/>
        <v>0</v>
      </c>
      <c r="S161" s="596">
        <f ca="1"/>
        <v>0</v>
      </c>
      <c r="T161" s="596">
        <f ca="1"/>
        <v>0</v>
      </c>
      <c r="U161" s="596">
        <f ca="1"/>
        <v>0</v>
      </c>
      <c r="V161" s="596">
        <f ca="1"/>
        <v>0</v>
      </c>
      <c r="W161" s="596">
        <f ca="1"/>
        <v>0</v>
      </c>
      <c r="X161" s="596">
        <f ca="1"/>
        <v>0</v>
      </c>
      <c r="Y161" s="1984">
        <f ca="1"/>
        <v>0</v>
      </c>
    </row>
    <row r="163" spans="1:25" ht="18.75" thickBot="1">
      <c r="A163" s="1969" t="str">
        <f>'Distr CV 0'!A163</f>
        <v xml:space="preserve">Compras / costes de producción por meses de </v>
      </c>
      <c r="I163" s="1969" t="str">
        <f>I$18</f>
        <v>IVA NO incluido</v>
      </c>
      <c r="K163" s="1981">
        <f>Parametros!$F$27</f>
        <v>0.21</v>
      </c>
    </row>
    <row r="164" spans="1:25" ht="30" customHeight="1" thickBot="1">
      <c r="A164" s="446" t="str">
        <f>A$110</f>
        <v>mes de compra / coste</v>
      </c>
      <c r="B164" s="1987" t="str">
        <f t="array" ref="B164:Y164">B$71:Y$71</f>
        <v>enero 
2029</v>
      </c>
      <c r="C164" s="1987" t="str">
        <v>febrero 
2029</v>
      </c>
      <c r="D164" s="1987" t="str">
        <v>marzo 
2029</v>
      </c>
      <c r="E164" s="1987" t="str">
        <v>abril 
2029</v>
      </c>
      <c r="F164" s="1987" t="str">
        <v>mayo 
2029</v>
      </c>
      <c r="G164" s="1987" t="str">
        <v>junio 
2029</v>
      </c>
      <c r="H164" s="1987" t="str">
        <v>julio 
2029</v>
      </c>
      <c r="I164" s="1987" t="str">
        <v>agosto 
2029</v>
      </c>
      <c r="J164" s="1987" t="str">
        <v>septiembre 
2029</v>
      </c>
      <c r="K164" s="1987" t="str">
        <v>octubre 
2029</v>
      </c>
      <c r="L164" s="1987" t="str">
        <v>noviembre 
2029</v>
      </c>
      <c r="M164" s="1987" t="str">
        <v>diciembre 
2029</v>
      </c>
      <c r="N164" s="2703" t="str">
        <v>enero 
2030</v>
      </c>
      <c r="O164" s="2704" t="str">
        <v>febrero 
2030</v>
      </c>
      <c r="P164" s="2704" t="str">
        <v>marzo 
2030</v>
      </c>
      <c r="Q164" s="2704" t="str">
        <v>abril 
2030</v>
      </c>
      <c r="R164" s="2704" t="str">
        <v>mayo 
2030</v>
      </c>
      <c r="S164" s="2704" t="str">
        <v>junio 
2030</v>
      </c>
      <c r="T164" s="2704" t="str">
        <v>julio 
2030</v>
      </c>
      <c r="U164" s="2704" t="str">
        <v>agosto 
2030</v>
      </c>
      <c r="V164" s="2704" t="str">
        <v>septiembre 
2030</v>
      </c>
      <c r="W164" s="2704" t="str">
        <v>octubre 
2030</v>
      </c>
      <c r="X164" s="2704" t="str">
        <v>noviembre 
2030</v>
      </c>
      <c r="Y164" s="2705" t="str">
        <v>diciembre 
2030</v>
      </c>
    </row>
    <row r="165" spans="1:25">
      <c r="A165" s="1970" t="str">
        <f t="array" ref="A165:A177">A$72:A$84</f>
        <v>mismo mes</v>
      </c>
      <c r="B165" s="1967"/>
      <c r="C165" s="1967"/>
      <c r="D165" s="1967"/>
      <c r="E165" s="1967"/>
      <c r="F165" s="1967"/>
      <c r="G165" s="1967"/>
      <c r="H165" s="1967"/>
      <c r="I165" s="1967"/>
      <c r="J165" s="1967"/>
      <c r="K165" s="1967"/>
      <c r="L165" s="1967"/>
      <c r="M165" s="1967"/>
      <c r="N165" s="592">
        <f t="array" aca="1" ref="N165:Y165" ca="1">B23:M23*Produccion!$N$11</f>
        <v>0</v>
      </c>
      <c r="O165" s="592">
        <f ca="1"/>
        <v>0</v>
      </c>
      <c r="P165" s="592">
        <f ca="1"/>
        <v>0</v>
      </c>
      <c r="Q165" s="592">
        <f ca="1"/>
        <v>0</v>
      </c>
      <c r="R165" s="592">
        <f ca="1"/>
        <v>0</v>
      </c>
      <c r="S165" s="592">
        <f ca="1"/>
        <v>0</v>
      </c>
      <c r="T165" s="592">
        <f ca="1"/>
        <v>0</v>
      </c>
      <c r="U165" s="592">
        <f ca="1"/>
        <v>0</v>
      </c>
      <c r="V165" s="592">
        <f ca="1"/>
        <v>0</v>
      </c>
      <c r="W165" s="592">
        <f ca="1"/>
        <v>0</v>
      </c>
      <c r="X165" s="592">
        <f ca="1"/>
        <v>0</v>
      </c>
      <c r="Y165" s="1982">
        <f ca="1"/>
        <v>0</v>
      </c>
    </row>
    <row r="166" spans="1:25">
      <c r="A166" s="1971" t="str">
        <v>1 mes antes</v>
      </c>
      <c r="B166" s="1967"/>
      <c r="C166" s="1967"/>
      <c r="D166" s="1967"/>
      <c r="E166" s="1967"/>
      <c r="F166" s="1967"/>
      <c r="G166" s="1967"/>
      <c r="H166" s="1967"/>
      <c r="I166" s="1967"/>
      <c r="J166" s="1967"/>
      <c r="K166" s="1967"/>
      <c r="L166" s="1967"/>
      <c r="M166" s="592">
        <f t="array" aca="1" ref="M166:X166" ca="1">B23:M23*Produccion!$M$11</f>
        <v>0</v>
      </c>
      <c r="N166" s="592">
        <f ca="1"/>
        <v>0</v>
      </c>
      <c r="O166" s="592">
        <f ca="1"/>
        <v>0</v>
      </c>
      <c r="P166" s="592">
        <f ca="1"/>
        <v>0</v>
      </c>
      <c r="Q166" s="592">
        <f ca="1"/>
        <v>0</v>
      </c>
      <c r="R166" s="592">
        <f ca="1"/>
        <v>0</v>
      </c>
      <c r="S166" s="592">
        <f ca="1"/>
        <v>0</v>
      </c>
      <c r="T166" s="592">
        <f ca="1"/>
        <v>0</v>
      </c>
      <c r="U166" s="592">
        <f ca="1"/>
        <v>0</v>
      </c>
      <c r="V166" s="592">
        <f ca="1"/>
        <v>0</v>
      </c>
      <c r="W166" s="592">
        <f ca="1"/>
        <v>0</v>
      </c>
      <c r="X166" s="592">
        <f ca="1"/>
        <v>0</v>
      </c>
      <c r="Y166" s="1983">
        <f t="array" aca="1" ref="Y166:Y177" ca="1">'Distr CV 5'!M166:M177</f>
        <v>0</v>
      </c>
    </row>
    <row r="167" spans="1:25">
      <c r="A167" s="1971" t="str">
        <v>2 meses antes</v>
      </c>
      <c r="B167" s="1967"/>
      <c r="C167" s="1967"/>
      <c r="D167" s="1967"/>
      <c r="E167" s="1967"/>
      <c r="F167" s="1967"/>
      <c r="G167" s="1967"/>
      <c r="H167" s="1967"/>
      <c r="I167" s="1967"/>
      <c r="J167" s="1967"/>
      <c r="K167" s="1967"/>
      <c r="L167" s="592">
        <f t="array" aca="1" ref="L167:W167" ca="1">B23:M23*Produccion!$L$11</f>
        <v>0</v>
      </c>
      <c r="M167" s="592">
        <f ca="1"/>
        <v>0</v>
      </c>
      <c r="N167" s="592">
        <f ca="1"/>
        <v>0</v>
      </c>
      <c r="O167" s="592">
        <f ca="1"/>
        <v>0</v>
      </c>
      <c r="P167" s="592">
        <f ca="1"/>
        <v>0</v>
      </c>
      <c r="Q167" s="592">
        <f ca="1"/>
        <v>0</v>
      </c>
      <c r="R167" s="592">
        <f ca="1"/>
        <v>0</v>
      </c>
      <c r="S167" s="592">
        <f ca="1"/>
        <v>0</v>
      </c>
      <c r="T167" s="592">
        <f ca="1"/>
        <v>0</v>
      </c>
      <c r="U167" s="592">
        <f ca="1"/>
        <v>0</v>
      </c>
      <c r="V167" s="592">
        <f ca="1"/>
        <v>0</v>
      </c>
      <c r="W167" s="592">
        <f ca="1"/>
        <v>0</v>
      </c>
      <c r="X167" s="1964">
        <f t="array" aca="1" ref="X167:X177" ca="1">'Distr CV 5'!L167:L177</f>
        <v>0</v>
      </c>
      <c r="Y167" s="1983">
        <f ca="1"/>
        <v>0</v>
      </c>
    </row>
    <row r="168" spans="1:25">
      <c r="A168" s="1971" t="str">
        <v>3 meses antes</v>
      </c>
      <c r="B168" s="1967"/>
      <c r="C168" s="1967"/>
      <c r="D168" s="1967"/>
      <c r="E168" s="1967"/>
      <c r="F168" s="1967"/>
      <c r="G168" s="1967"/>
      <c r="H168" s="1967"/>
      <c r="I168" s="1967"/>
      <c r="J168" s="1967"/>
      <c r="K168" s="592">
        <f t="array" aca="1" ref="K168:V168" ca="1">B23:M23*Produccion!$K$11</f>
        <v>0</v>
      </c>
      <c r="L168" s="592">
        <f ca="1"/>
        <v>0</v>
      </c>
      <c r="M168" s="592">
        <f ca="1"/>
        <v>0</v>
      </c>
      <c r="N168" s="592">
        <f ca="1"/>
        <v>0</v>
      </c>
      <c r="O168" s="592">
        <f ca="1"/>
        <v>0</v>
      </c>
      <c r="P168" s="592">
        <f ca="1"/>
        <v>0</v>
      </c>
      <c r="Q168" s="592">
        <f ca="1"/>
        <v>0</v>
      </c>
      <c r="R168" s="592">
        <f ca="1"/>
        <v>0</v>
      </c>
      <c r="S168" s="592">
        <f ca="1"/>
        <v>0</v>
      </c>
      <c r="T168" s="592">
        <f ca="1"/>
        <v>0</v>
      </c>
      <c r="U168" s="592">
        <f ca="1"/>
        <v>0</v>
      </c>
      <c r="V168" s="592">
        <f ca="1"/>
        <v>0</v>
      </c>
      <c r="W168" s="1964">
        <f t="array" aca="1" ref="W168:W177" ca="1">'Distr CV 5'!K168:K177</f>
        <v>0</v>
      </c>
      <c r="X168" s="1964">
        <f ca="1"/>
        <v>0</v>
      </c>
      <c r="Y168" s="1983">
        <f ca="1"/>
        <v>0</v>
      </c>
    </row>
    <row r="169" spans="1:25">
      <c r="A169" s="1971" t="str">
        <v>4 meses antes</v>
      </c>
      <c r="B169" s="1967"/>
      <c r="C169" s="1967"/>
      <c r="D169" s="1967"/>
      <c r="E169" s="1967"/>
      <c r="F169" s="1967"/>
      <c r="G169" s="1967"/>
      <c r="H169" s="1967"/>
      <c r="I169" s="1967"/>
      <c r="J169" s="592">
        <f t="array" aca="1" ref="J169:U169" ca="1">B23:M23*Produccion!$J$11</f>
        <v>0</v>
      </c>
      <c r="K169" s="592">
        <f ca="1"/>
        <v>0</v>
      </c>
      <c r="L169" s="592">
        <f ca="1"/>
        <v>0</v>
      </c>
      <c r="M169" s="592">
        <f ca="1"/>
        <v>0</v>
      </c>
      <c r="N169" s="592">
        <f ca="1"/>
        <v>0</v>
      </c>
      <c r="O169" s="592">
        <f ca="1"/>
        <v>0</v>
      </c>
      <c r="P169" s="592">
        <f ca="1"/>
        <v>0</v>
      </c>
      <c r="Q169" s="592">
        <f ca="1"/>
        <v>0</v>
      </c>
      <c r="R169" s="592">
        <f ca="1"/>
        <v>0</v>
      </c>
      <c r="S169" s="592">
        <f ca="1"/>
        <v>0</v>
      </c>
      <c r="T169" s="592">
        <f ca="1"/>
        <v>0</v>
      </c>
      <c r="U169" s="592">
        <f ca="1"/>
        <v>0</v>
      </c>
      <c r="V169" s="1964">
        <f t="array" aca="1" ref="V169:V177" ca="1">'Distr CV 5'!J169:J177</f>
        <v>0</v>
      </c>
      <c r="W169" s="1964">
        <f ca="1"/>
        <v>0</v>
      </c>
      <c r="X169" s="1964">
        <f ca="1"/>
        <v>0</v>
      </c>
      <c r="Y169" s="1983">
        <f ca="1"/>
        <v>0</v>
      </c>
    </row>
    <row r="170" spans="1:25">
      <c r="A170" s="1971" t="str">
        <v>5 meses antes</v>
      </c>
      <c r="B170" s="1967"/>
      <c r="C170" s="1967"/>
      <c r="D170" s="1967"/>
      <c r="E170" s="1967"/>
      <c r="F170" s="1967"/>
      <c r="G170" s="1967"/>
      <c r="H170" s="1967"/>
      <c r="I170" s="592">
        <f t="array" aca="1" ref="I170:T170" ca="1">B23:M23*Produccion!$I$11</f>
        <v>0</v>
      </c>
      <c r="J170" s="592">
        <f ca="1"/>
        <v>0</v>
      </c>
      <c r="K170" s="592">
        <f ca="1"/>
        <v>0</v>
      </c>
      <c r="L170" s="592">
        <f ca="1"/>
        <v>0</v>
      </c>
      <c r="M170" s="592">
        <f ca="1"/>
        <v>0</v>
      </c>
      <c r="N170" s="592">
        <f ca="1"/>
        <v>0</v>
      </c>
      <c r="O170" s="592">
        <f ca="1"/>
        <v>0</v>
      </c>
      <c r="P170" s="592">
        <f ca="1"/>
        <v>0</v>
      </c>
      <c r="Q170" s="592">
        <f ca="1"/>
        <v>0</v>
      </c>
      <c r="R170" s="592">
        <f ca="1"/>
        <v>0</v>
      </c>
      <c r="S170" s="592">
        <f ca="1"/>
        <v>0</v>
      </c>
      <c r="T170" s="592">
        <f ca="1"/>
        <v>0</v>
      </c>
      <c r="U170" s="1964">
        <f t="array" aca="1" ref="U170:U177" ca="1">'Distr CV 5'!I170:I177</f>
        <v>0</v>
      </c>
      <c r="V170" s="1964">
        <f ca="1"/>
        <v>0</v>
      </c>
      <c r="W170" s="1964">
        <f ca="1"/>
        <v>0</v>
      </c>
      <c r="X170" s="1964">
        <f ca="1"/>
        <v>0</v>
      </c>
      <c r="Y170" s="1983">
        <f ca="1"/>
        <v>0</v>
      </c>
    </row>
    <row r="171" spans="1:25">
      <c r="A171" s="1971" t="str">
        <v>6 meses antes</v>
      </c>
      <c r="B171" s="1967"/>
      <c r="C171" s="1967"/>
      <c r="D171" s="1967"/>
      <c r="E171" s="1967"/>
      <c r="F171" s="1967"/>
      <c r="G171" s="1967"/>
      <c r="H171" s="592">
        <f t="array" aca="1" ref="H171:S171" ca="1">B23:M23*Produccion!$H$11</f>
        <v>0</v>
      </c>
      <c r="I171" s="592">
        <f ca="1"/>
        <v>0</v>
      </c>
      <c r="J171" s="592">
        <f ca="1"/>
        <v>0</v>
      </c>
      <c r="K171" s="592">
        <f ca="1"/>
        <v>0</v>
      </c>
      <c r="L171" s="592">
        <f ca="1"/>
        <v>0</v>
      </c>
      <c r="M171" s="592">
        <f ca="1"/>
        <v>0</v>
      </c>
      <c r="N171" s="592">
        <f ca="1"/>
        <v>0</v>
      </c>
      <c r="O171" s="592">
        <f ca="1"/>
        <v>0</v>
      </c>
      <c r="P171" s="592">
        <f ca="1"/>
        <v>0</v>
      </c>
      <c r="Q171" s="592">
        <f ca="1"/>
        <v>0</v>
      </c>
      <c r="R171" s="592">
        <f ca="1"/>
        <v>0</v>
      </c>
      <c r="S171" s="592">
        <f ca="1"/>
        <v>0</v>
      </c>
      <c r="T171" s="1964">
        <f t="array" aca="1" ref="T171:T177" ca="1">'Distr CV 5'!H171:H177</f>
        <v>0</v>
      </c>
      <c r="U171" s="1964">
        <f ca="1"/>
        <v>0</v>
      </c>
      <c r="V171" s="1964">
        <f ca="1"/>
        <v>0</v>
      </c>
      <c r="W171" s="1964">
        <f ca="1"/>
        <v>0</v>
      </c>
      <c r="X171" s="1964">
        <f ca="1"/>
        <v>0</v>
      </c>
      <c r="Y171" s="1983">
        <f ca="1"/>
        <v>0</v>
      </c>
    </row>
    <row r="172" spans="1:25">
      <c r="A172" s="1971" t="str">
        <v>7 meses antes</v>
      </c>
      <c r="B172" s="1967"/>
      <c r="C172" s="1967"/>
      <c r="D172" s="1967"/>
      <c r="E172" s="1967"/>
      <c r="F172" s="1967"/>
      <c r="G172" s="592">
        <f t="array" aca="1" ref="G172:R172" ca="1">B23:M23*Produccion!$G$11</f>
        <v>0</v>
      </c>
      <c r="H172" s="592">
        <f ca="1"/>
        <v>0</v>
      </c>
      <c r="I172" s="592">
        <f ca="1"/>
        <v>0</v>
      </c>
      <c r="J172" s="592">
        <f ca="1"/>
        <v>0</v>
      </c>
      <c r="K172" s="592">
        <f ca="1"/>
        <v>0</v>
      </c>
      <c r="L172" s="592">
        <f ca="1"/>
        <v>0</v>
      </c>
      <c r="M172" s="592">
        <f ca="1"/>
        <v>0</v>
      </c>
      <c r="N172" s="592">
        <f ca="1"/>
        <v>0</v>
      </c>
      <c r="O172" s="592">
        <f ca="1"/>
        <v>0</v>
      </c>
      <c r="P172" s="592">
        <f ca="1"/>
        <v>0</v>
      </c>
      <c r="Q172" s="592">
        <f ca="1"/>
        <v>0</v>
      </c>
      <c r="R172" s="592">
        <f ca="1"/>
        <v>0</v>
      </c>
      <c r="S172" s="1968">
        <f t="array" aca="1" ref="S172:S177" ca="1">'Distr CV 5'!G172:G177</f>
        <v>0</v>
      </c>
      <c r="T172" s="1968">
        <f ca="1"/>
        <v>0</v>
      </c>
      <c r="U172" s="1968">
        <f ca="1"/>
        <v>0</v>
      </c>
      <c r="V172" s="1968">
        <f ca="1"/>
        <v>0</v>
      </c>
      <c r="W172" s="1968">
        <f ca="1"/>
        <v>0</v>
      </c>
      <c r="X172" s="1968">
        <f ca="1"/>
        <v>0</v>
      </c>
      <c r="Y172" s="1986">
        <f ca="1"/>
        <v>0</v>
      </c>
    </row>
    <row r="173" spans="1:25">
      <c r="A173" s="1971" t="str">
        <v>8 meses antes</v>
      </c>
      <c r="B173" s="1967"/>
      <c r="C173" s="1967"/>
      <c r="D173" s="1967"/>
      <c r="E173" s="1967"/>
      <c r="F173" s="592">
        <f t="array" aca="1" ref="F173:Q173" ca="1">B23:M23*Produccion!$F$11</f>
        <v>0</v>
      </c>
      <c r="G173" s="592">
        <f ca="1"/>
        <v>0</v>
      </c>
      <c r="H173" s="592">
        <f ca="1"/>
        <v>0</v>
      </c>
      <c r="I173" s="592">
        <f ca="1"/>
        <v>0</v>
      </c>
      <c r="J173" s="592">
        <f ca="1"/>
        <v>0</v>
      </c>
      <c r="K173" s="592">
        <f ca="1"/>
        <v>0</v>
      </c>
      <c r="L173" s="592">
        <f ca="1"/>
        <v>0</v>
      </c>
      <c r="M173" s="592">
        <f ca="1"/>
        <v>0</v>
      </c>
      <c r="N173" s="592">
        <f ca="1"/>
        <v>0</v>
      </c>
      <c r="O173" s="592">
        <f ca="1"/>
        <v>0</v>
      </c>
      <c r="P173" s="592">
        <f ca="1"/>
        <v>0</v>
      </c>
      <c r="Q173" s="592">
        <f ca="1"/>
        <v>0</v>
      </c>
      <c r="R173" s="1968">
        <f t="array" aca="1" ref="R173:R177" ca="1">'Distr CV 5'!F173:F177</f>
        <v>0</v>
      </c>
      <c r="S173" s="1968">
        <f ca="1"/>
        <v>0</v>
      </c>
      <c r="T173" s="1968">
        <f ca="1"/>
        <v>0</v>
      </c>
      <c r="U173" s="1968">
        <f ca="1"/>
        <v>0</v>
      </c>
      <c r="V173" s="1968">
        <f ca="1"/>
        <v>0</v>
      </c>
      <c r="W173" s="1968">
        <f ca="1"/>
        <v>0</v>
      </c>
      <c r="X173" s="1968">
        <f ca="1"/>
        <v>0</v>
      </c>
      <c r="Y173" s="1986">
        <f ca="1"/>
        <v>0</v>
      </c>
    </row>
    <row r="174" spans="1:25">
      <c r="A174" s="1971" t="str">
        <v>9 meses antes</v>
      </c>
      <c r="B174" s="1967"/>
      <c r="C174" s="1967"/>
      <c r="D174" s="1967"/>
      <c r="E174" s="592">
        <f t="array" aca="1" ref="E174:P174" ca="1">B23:M23*Produccion!$E$11</f>
        <v>0</v>
      </c>
      <c r="F174" s="592">
        <f ca="1"/>
        <v>0</v>
      </c>
      <c r="G174" s="592">
        <f ca="1"/>
        <v>0</v>
      </c>
      <c r="H174" s="592">
        <f ca="1"/>
        <v>0</v>
      </c>
      <c r="I174" s="592">
        <f ca="1"/>
        <v>0</v>
      </c>
      <c r="J174" s="592">
        <f ca="1"/>
        <v>0</v>
      </c>
      <c r="K174" s="592">
        <f ca="1"/>
        <v>0</v>
      </c>
      <c r="L174" s="592">
        <f ca="1"/>
        <v>0</v>
      </c>
      <c r="M174" s="592">
        <f ca="1"/>
        <v>0</v>
      </c>
      <c r="N174" s="592">
        <f ca="1"/>
        <v>0</v>
      </c>
      <c r="O174" s="592">
        <f ca="1"/>
        <v>0</v>
      </c>
      <c r="P174" s="592">
        <f ca="1"/>
        <v>0</v>
      </c>
      <c r="Q174" s="1968">
        <f t="array" aca="1" ref="Q174:Q177" ca="1">'Distr CV 5'!E174:E177</f>
        <v>0</v>
      </c>
      <c r="R174" s="1968">
        <f ca="1"/>
        <v>0</v>
      </c>
      <c r="S174" s="1968">
        <f ca="1"/>
        <v>0</v>
      </c>
      <c r="T174" s="1968">
        <f ca="1"/>
        <v>0</v>
      </c>
      <c r="U174" s="1968">
        <f ca="1"/>
        <v>0</v>
      </c>
      <c r="V174" s="1968">
        <f ca="1"/>
        <v>0</v>
      </c>
      <c r="W174" s="1968">
        <f ca="1"/>
        <v>0</v>
      </c>
      <c r="X174" s="1968">
        <f ca="1"/>
        <v>0</v>
      </c>
      <c r="Y174" s="1986">
        <f ca="1"/>
        <v>0</v>
      </c>
    </row>
    <row r="175" spans="1:25">
      <c r="A175" s="1971" t="str">
        <v>10 meses antes</v>
      </c>
      <c r="B175" s="1967"/>
      <c r="C175" s="1967"/>
      <c r="D175" s="592">
        <f t="array" aca="1" ref="D175:O175" ca="1">B23:M23*Produccion!$D$11</f>
        <v>0</v>
      </c>
      <c r="E175" s="592">
        <f ca="1"/>
        <v>0</v>
      </c>
      <c r="F175" s="592">
        <f ca="1"/>
        <v>0</v>
      </c>
      <c r="G175" s="592">
        <f ca="1"/>
        <v>0</v>
      </c>
      <c r="H175" s="592">
        <f ca="1"/>
        <v>0</v>
      </c>
      <c r="I175" s="592">
        <f ca="1"/>
        <v>0</v>
      </c>
      <c r="J175" s="592">
        <f ca="1"/>
        <v>0</v>
      </c>
      <c r="K175" s="592">
        <f ca="1"/>
        <v>0</v>
      </c>
      <c r="L175" s="592">
        <f ca="1"/>
        <v>0</v>
      </c>
      <c r="M175" s="592">
        <f ca="1"/>
        <v>0</v>
      </c>
      <c r="N175" s="592">
        <f ca="1"/>
        <v>0</v>
      </c>
      <c r="O175" s="592">
        <f ca="1"/>
        <v>0</v>
      </c>
      <c r="P175" s="1968">
        <f t="array" aca="1" ref="P175:P177" ca="1">'Distr CV 5'!D175:D177</f>
        <v>0</v>
      </c>
      <c r="Q175" s="1968">
        <f ca="1"/>
        <v>0</v>
      </c>
      <c r="R175" s="1968">
        <f ca="1"/>
        <v>0</v>
      </c>
      <c r="S175" s="1968">
        <f ca="1"/>
        <v>0</v>
      </c>
      <c r="T175" s="1968">
        <f ca="1"/>
        <v>0</v>
      </c>
      <c r="U175" s="1968">
        <f ca="1"/>
        <v>0</v>
      </c>
      <c r="V175" s="1968">
        <f ca="1"/>
        <v>0</v>
      </c>
      <c r="W175" s="1968">
        <f ca="1"/>
        <v>0</v>
      </c>
      <c r="X175" s="1968">
        <f ca="1"/>
        <v>0</v>
      </c>
      <c r="Y175" s="1986">
        <f ca="1"/>
        <v>0</v>
      </c>
    </row>
    <row r="176" spans="1:25">
      <c r="A176" s="1971" t="str">
        <v>11 meses antes</v>
      </c>
      <c r="B176" s="1967"/>
      <c r="C176" s="592">
        <f t="array" aca="1" ref="C176:N176" ca="1">B23:M23*Produccion!$C$11</f>
        <v>0</v>
      </c>
      <c r="D176" s="592">
        <f ca="1"/>
        <v>0</v>
      </c>
      <c r="E176" s="592">
        <f ca="1"/>
        <v>0</v>
      </c>
      <c r="F176" s="592">
        <f ca="1"/>
        <v>0</v>
      </c>
      <c r="G176" s="592">
        <f ca="1"/>
        <v>0</v>
      </c>
      <c r="H176" s="592">
        <f ca="1"/>
        <v>0</v>
      </c>
      <c r="I176" s="592">
        <f ca="1"/>
        <v>0</v>
      </c>
      <c r="J176" s="592">
        <f ca="1"/>
        <v>0</v>
      </c>
      <c r="K176" s="592">
        <f ca="1"/>
        <v>0</v>
      </c>
      <c r="L176" s="592">
        <f ca="1"/>
        <v>0</v>
      </c>
      <c r="M176" s="592">
        <f ca="1"/>
        <v>0</v>
      </c>
      <c r="N176" s="592">
        <f ca="1"/>
        <v>0</v>
      </c>
      <c r="O176" s="1968">
        <f ca="1">'Distr CV 5'!C176</f>
        <v>0</v>
      </c>
      <c r="P176" s="1968">
        <f ca="1"/>
        <v>0</v>
      </c>
      <c r="Q176" s="1968">
        <f ca="1"/>
        <v>0</v>
      </c>
      <c r="R176" s="1968">
        <f ca="1"/>
        <v>0</v>
      </c>
      <c r="S176" s="1968">
        <f ca="1"/>
        <v>0</v>
      </c>
      <c r="T176" s="1968">
        <f ca="1"/>
        <v>0</v>
      </c>
      <c r="U176" s="1968">
        <f ca="1"/>
        <v>0</v>
      </c>
      <c r="V176" s="1968">
        <f ca="1"/>
        <v>0</v>
      </c>
      <c r="W176" s="1968">
        <f ca="1"/>
        <v>0</v>
      </c>
      <c r="X176" s="1968">
        <f ca="1"/>
        <v>0</v>
      </c>
      <c r="Y176" s="1986">
        <f ca="1"/>
        <v>0</v>
      </c>
    </row>
    <row r="177" spans="1:25" ht="13.5" thickBot="1">
      <c r="A177" s="1971" t="str">
        <v>12 meses antes</v>
      </c>
      <c r="B177" s="592">
        <f t="array" aca="1" ref="B177:M177" ca="1">B23:M23*Produccion!$B$11</f>
        <v>0</v>
      </c>
      <c r="C177" s="592">
        <f ca="1"/>
        <v>0</v>
      </c>
      <c r="D177" s="592">
        <f ca="1"/>
        <v>0</v>
      </c>
      <c r="E177" s="592">
        <f ca="1"/>
        <v>0</v>
      </c>
      <c r="F177" s="592">
        <f ca="1"/>
        <v>0</v>
      </c>
      <c r="G177" s="592">
        <f ca="1"/>
        <v>0</v>
      </c>
      <c r="H177" s="592">
        <f ca="1"/>
        <v>0</v>
      </c>
      <c r="I177" s="592">
        <f ca="1"/>
        <v>0</v>
      </c>
      <c r="J177" s="592">
        <f ca="1"/>
        <v>0</v>
      </c>
      <c r="K177" s="592">
        <f ca="1"/>
        <v>0</v>
      </c>
      <c r="L177" s="592">
        <f ca="1"/>
        <v>0</v>
      </c>
      <c r="M177" s="592">
        <f ca="1"/>
        <v>0</v>
      </c>
      <c r="N177" s="1967">
        <f ca="1">'Distr CV 5'!B177</f>
        <v>0</v>
      </c>
      <c r="O177" s="1968">
        <f ca="1">'Distr CV 5'!C177</f>
        <v>0</v>
      </c>
      <c r="P177" s="1968">
        <f ca="1"/>
        <v>0</v>
      </c>
      <c r="Q177" s="1968">
        <f ca="1"/>
        <v>0</v>
      </c>
      <c r="R177" s="1968">
        <f ca="1"/>
        <v>0</v>
      </c>
      <c r="S177" s="1968">
        <f ca="1"/>
        <v>0</v>
      </c>
      <c r="T177" s="1968">
        <f ca="1"/>
        <v>0</v>
      </c>
      <c r="U177" s="1968">
        <f ca="1"/>
        <v>0</v>
      </c>
      <c r="V177" s="1968">
        <f ca="1"/>
        <v>0</v>
      </c>
      <c r="W177" s="1968">
        <f ca="1"/>
        <v>0</v>
      </c>
      <c r="X177" s="1968">
        <f ca="1"/>
        <v>0</v>
      </c>
      <c r="Y177" s="1986">
        <f ca="1"/>
        <v>0</v>
      </c>
    </row>
    <row r="178" spans="1:25" ht="13.5" thickBot="1">
      <c r="A178" s="103" t="str">
        <f>"Totales CV "&amp;A$11</f>
        <v xml:space="preserve">Totales CV </v>
      </c>
      <c r="B178" s="596">
        <f t="shared" ref="B178:Y178" ca="1" si="13">SUM(B165:B177)</f>
        <v>0</v>
      </c>
      <c r="C178" s="596">
        <f t="shared" ca="1" si="13"/>
        <v>0</v>
      </c>
      <c r="D178" s="596">
        <f t="shared" ca="1" si="13"/>
        <v>0</v>
      </c>
      <c r="E178" s="596">
        <f t="shared" ca="1" si="13"/>
        <v>0</v>
      </c>
      <c r="F178" s="596">
        <f t="shared" ca="1" si="13"/>
        <v>0</v>
      </c>
      <c r="G178" s="596">
        <f t="shared" ca="1" si="13"/>
        <v>0</v>
      </c>
      <c r="H178" s="596">
        <f t="shared" ca="1" si="13"/>
        <v>0</v>
      </c>
      <c r="I178" s="596">
        <f t="shared" ca="1" si="13"/>
        <v>0</v>
      </c>
      <c r="J178" s="596">
        <f t="shared" ca="1" si="13"/>
        <v>0</v>
      </c>
      <c r="K178" s="596">
        <f t="shared" ca="1" si="13"/>
        <v>0</v>
      </c>
      <c r="L178" s="596">
        <f t="shared" ca="1" si="13"/>
        <v>0</v>
      </c>
      <c r="M178" s="596">
        <f t="shared" ca="1" si="13"/>
        <v>0</v>
      </c>
      <c r="N178" s="596">
        <f t="shared" ca="1" si="13"/>
        <v>0</v>
      </c>
      <c r="O178" s="596">
        <f t="shared" ca="1" si="13"/>
        <v>0</v>
      </c>
      <c r="P178" s="596">
        <f t="shared" ca="1" si="13"/>
        <v>0</v>
      </c>
      <c r="Q178" s="596">
        <f t="shared" ca="1" si="13"/>
        <v>0</v>
      </c>
      <c r="R178" s="596">
        <f t="shared" ca="1" si="13"/>
        <v>0</v>
      </c>
      <c r="S178" s="596">
        <f t="shared" ca="1" si="13"/>
        <v>0</v>
      </c>
      <c r="T178" s="596">
        <f t="shared" ca="1" si="13"/>
        <v>0</v>
      </c>
      <c r="U178" s="596">
        <f t="shared" ca="1" si="13"/>
        <v>0</v>
      </c>
      <c r="V178" s="596">
        <f t="shared" ca="1" si="13"/>
        <v>0</v>
      </c>
      <c r="W178" s="596">
        <f t="shared" ca="1" si="13"/>
        <v>0</v>
      </c>
      <c r="X178" s="596">
        <f t="shared" ca="1" si="13"/>
        <v>0</v>
      </c>
      <c r="Y178" s="1984">
        <f t="shared" ca="1" si="13"/>
        <v>0</v>
      </c>
    </row>
    <row r="179" spans="1:25" ht="13.5" thickBot="1">
      <c r="A179" s="103" t="str">
        <f>'Datos Básicos'!A28&amp;" sop. CV "&amp;$A$11</f>
        <v xml:space="preserve">IVA sop. CV </v>
      </c>
      <c r="B179" s="596">
        <f t="array" aca="1" ref="B179:Y179" ca="1">$K$163*B178:Y178</f>
        <v>0</v>
      </c>
      <c r="C179" s="596">
        <f ca="1"/>
        <v>0</v>
      </c>
      <c r="D179" s="596">
        <f ca="1"/>
        <v>0</v>
      </c>
      <c r="E179" s="596">
        <f ca="1"/>
        <v>0</v>
      </c>
      <c r="F179" s="596">
        <f ca="1"/>
        <v>0</v>
      </c>
      <c r="G179" s="596">
        <f ca="1"/>
        <v>0</v>
      </c>
      <c r="H179" s="596">
        <f ca="1"/>
        <v>0</v>
      </c>
      <c r="I179" s="596">
        <f ca="1"/>
        <v>0</v>
      </c>
      <c r="J179" s="596">
        <f ca="1"/>
        <v>0</v>
      </c>
      <c r="K179" s="596">
        <f ca="1"/>
        <v>0</v>
      </c>
      <c r="L179" s="596">
        <f ca="1"/>
        <v>0</v>
      </c>
      <c r="M179" s="596">
        <f ca="1"/>
        <v>0</v>
      </c>
      <c r="N179" s="596">
        <f ca="1"/>
        <v>0</v>
      </c>
      <c r="O179" s="596">
        <f ca="1"/>
        <v>0</v>
      </c>
      <c r="P179" s="596">
        <f ca="1"/>
        <v>0</v>
      </c>
      <c r="Q179" s="596">
        <f ca="1"/>
        <v>0</v>
      </c>
      <c r="R179" s="596">
        <f ca="1"/>
        <v>0</v>
      </c>
      <c r="S179" s="596">
        <f ca="1"/>
        <v>0</v>
      </c>
      <c r="T179" s="596">
        <f ca="1"/>
        <v>0</v>
      </c>
      <c r="U179" s="596">
        <f ca="1"/>
        <v>0</v>
      </c>
      <c r="V179" s="596">
        <f ca="1"/>
        <v>0</v>
      </c>
      <c r="W179" s="596">
        <f ca="1"/>
        <v>0</v>
      </c>
      <c r="X179" s="596">
        <f ca="1"/>
        <v>0</v>
      </c>
      <c r="Y179" s="1984">
        <f ca="1"/>
        <v>0</v>
      </c>
    </row>
    <row r="181" spans="1:25" ht="18.75" thickBot="1">
      <c r="A181" s="1969" t="str">
        <f>'Distr CV 0'!A181</f>
        <v xml:space="preserve">Compras / costes de producción por meses de </v>
      </c>
      <c r="I181" s="1969" t="str">
        <f>I$18</f>
        <v>IVA NO incluido</v>
      </c>
      <c r="K181" s="1981">
        <f>Parametros!$F$28</f>
        <v>0.21</v>
      </c>
    </row>
    <row r="182" spans="1:25" ht="31.5" customHeight="1" thickBot="1">
      <c r="A182" s="446" t="str">
        <f>A$110</f>
        <v>mes de compra / coste</v>
      </c>
      <c r="B182" s="1987" t="str">
        <f t="array" ref="B182:Y182">B$71:Y$71</f>
        <v>enero 
2029</v>
      </c>
      <c r="C182" s="1987" t="str">
        <v>febrero 
2029</v>
      </c>
      <c r="D182" s="1987" t="str">
        <v>marzo 
2029</v>
      </c>
      <c r="E182" s="1987" t="str">
        <v>abril 
2029</v>
      </c>
      <c r="F182" s="1987" t="str">
        <v>mayo 
2029</v>
      </c>
      <c r="G182" s="1987" t="str">
        <v>junio 
2029</v>
      </c>
      <c r="H182" s="1987" t="str">
        <v>julio 
2029</v>
      </c>
      <c r="I182" s="1987" t="str">
        <v>agosto 
2029</v>
      </c>
      <c r="J182" s="1987" t="str">
        <v>septiembre 
2029</v>
      </c>
      <c r="K182" s="1987" t="str">
        <v>octubre 
2029</v>
      </c>
      <c r="L182" s="1987" t="str">
        <v>noviembre 
2029</v>
      </c>
      <c r="M182" s="1987" t="str">
        <v>diciembre 
2029</v>
      </c>
      <c r="N182" s="2703" t="str">
        <v>enero 
2030</v>
      </c>
      <c r="O182" s="2704" t="str">
        <v>febrero 
2030</v>
      </c>
      <c r="P182" s="2704" t="str">
        <v>marzo 
2030</v>
      </c>
      <c r="Q182" s="2704" t="str">
        <v>abril 
2030</v>
      </c>
      <c r="R182" s="2704" t="str">
        <v>mayo 
2030</v>
      </c>
      <c r="S182" s="2704" t="str">
        <v>junio 
2030</v>
      </c>
      <c r="T182" s="2704" t="str">
        <v>julio 
2030</v>
      </c>
      <c r="U182" s="2704" t="str">
        <v>agosto 
2030</v>
      </c>
      <c r="V182" s="2704" t="str">
        <v>septiembre 
2030</v>
      </c>
      <c r="W182" s="2704" t="str">
        <v>octubre 
2030</v>
      </c>
      <c r="X182" s="2704" t="str">
        <v>noviembre 
2030</v>
      </c>
      <c r="Y182" s="2705" t="str">
        <v>diciembre 
2030</v>
      </c>
    </row>
    <row r="183" spans="1:25">
      <c r="A183" s="1970" t="str">
        <f t="array" ref="A183:A195">A$72:A$84</f>
        <v>mismo mes</v>
      </c>
      <c r="B183" s="1967"/>
      <c r="C183" s="1967"/>
      <c r="D183" s="1967"/>
      <c r="E183" s="1967"/>
      <c r="F183" s="1967"/>
      <c r="G183" s="1967"/>
      <c r="H183" s="1967"/>
      <c r="I183" s="1967"/>
      <c r="J183" s="1967"/>
      <c r="K183" s="1967"/>
      <c r="L183" s="1967"/>
      <c r="M183" s="1967"/>
      <c r="N183" s="592">
        <f t="array" aca="1" ref="N183:Y183" ca="1">B24:M24*Produccion!$N$12</f>
        <v>0</v>
      </c>
      <c r="O183" s="592">
        <f ca="1"/>
        <v>0</v>
      </c>
      <c r="P183" s="592">
        <f ca="1"/>
        <v>0</v>
      </c>
      <c r="Q183" s="592">
        <f ca="1"/>
        <v>0</v>
      </c>
      <c r="R183" s="592">
        <f ca="1"/>
        <v>0</v>
      </c>
      <c r="S183" s="592">
        <f ca="1"/>
        <v>0</v>
      </c>
      <c r="T183" s="592">
        <f ca="1"/>
        <v>0</v>
      </c>
      <c r="U183" s="592">
        <f ca="1"/>
        <v>0</v>
      </c>
      <c r="V183" s="592">
        <f ca="1"/>
        <v>0</v>
      </c>
      <c r="W183" s="592">
        <f ca="1"/>
        <v>0</v>
      </c>
      <c r="X183" s="592">
        <f ca="1"/>
        <v>0</v>
      </c>
      <c r="Y183" s="1982">
        <f ca="1"/>
        <v>0</v>
      </c>
    </row>
    <row r="184" spans="1:25">
      <c r="A184" s="1971" t="str">
        <v>1 mes antes</v>
      </c>
      <c r="B184" s="1967"/>
      <c r="C184" s="1967"/>
      <c r="D184" s="1967"/>
      <c r="E184" s="1967"/>
      <c r="F184" s="1967"/>
      <c r="G184" s="1967"/>
      <c r="H184" s="1967"/>
      <c r="I184" s="1967"/>
      <c r="J184" s="1967"/>
      <c r="K184" s="1967"/>
      <c r="L184" s="1967"/>
      <c r="M184" s="592">
        <f t="array" aca="1" ref="M184:X184" ca="1">B24:M24*Produccion!$M$12</f>
        <v>0</v>
      </c>
      <c r="N184" s="592">
        <f ca="1"/>
        <v>0</v>
      </c>
      <c r="O184" s="592">
        <f ca="1"/>
        <v>0</v>
      </c>
      <c r="P184" s="592">
        <f ca="1"/>
        <v>0</v>
      </c>
      <c r="Q184" s="592">
        <f ca="1"/>
        <v>0</v>
      </c>
      <c r="R184" s="592">
        <f ca="1"/>
        <v>0</v>
      </c>
      <c r="S184" s="592">
        <f ca="1"/>
        <v>0</v>
      </c>
      <c r="T184" s="592">
        <f ca="1"/>
        <v>0</v>
      </c>
      <c r="U184" s="592">
        <f ca="1"/>
        <v>0</v>
      </c>
      <c r="V184" s="592">
        <f ca="1"/>
        <v>0</v>
      </c>
      <c r="W184" s="592">
        <f ca="1"/>
        <v>0</v>
      </c>
      <c r="X184" s="592">
        <f ca="1"/>
        <v>0</v>
      </c>
      <c r="Y184" s="1983">
        <f t="array" aca="1" ref="Y184:Y195" ca="1">'Distr CV 5'!M184:M195</f>
        <v>0</v>
      </c>
    </row>
    <row r="185" spans="1:25">
      <c r="A185" s="1971" t="str">
        <v>2 meses antes</v>
      </c>
      <c r="B185" s="1967"/>
      <c r="C185" s="1967"/>
      <c r="D185" s="1967"/>
      <c r="E185" s="1967"/>
      <c r="F185" s="1967"/>
      <c r="G185" s="1967"/>
      <c r="H185" s="1967"/>
      <c r="I185" s="1967"/>
      <c r="J185" s="1967"/>
      <c r="K185" s="1967"/>
      <c r="L185" s="592">
        <f t="array" aca="1" ref="L185:W185" ca="1">B24:M24*Produccion!$L$12</f>
        <v>0</v>
      </c>
      <c r="M185" s="592">
        <f ca="1"/>
        <v>0</v>
      </c>
      <c r="N185" s="592">
        <f ca="1"/>
        <v>0</v>
      </c>
      <c r="O185" s="592">
        <f ca="1"/>
        <v>0</v>
      </c>
      <c r="P185" s="592">
        <f ca="1"/>
        <v>0</v>
      </c>
      <c r="Q185" s="592">
        <f ca="1"/>
        <v>0</v>
      </c>
      <c r="R185" s="592">
        <f ca="1"/>
        <v>0</v>
      </c>
      <c r="S185" s="592">
        <f ca="1"/>
        <v>0</v>
      </c>
      <c r="T185" s="592">
        <f ca="1"/>
        <v>0</v>
      </c>
      <c r="U185" s="592">
        <f ca="1"/>
        <v>0</v>
      </c>
      <c r="V185" s="592">
        <f ca="1"/>
        <v>0</v>
      </c>
      <c r="W185" s="592">
        <f ca="1"/>
        <v>0</v>
      </c>
      <c r="X185" s="1964">
        <f t="array" aca="1" ref="X185:X195" ca="1">'Distr CV 5'!L185:L195</f>
        <v>0</v>
      </c>
      <c r="Y185" s="1983">
        <f ca="1"/>
        <v>0</v>
      </c>
    </row>
    <row r="186" spans="1:25">
      <c r="A186" s="1971" t="str">
        <v>3 meses antes</v>
      </c>
      <c r="B186" s="1967"/>
      <c r="C186" s="1967"/>
      <c r="D186" s="1967"/>
      <c r="E186" s="1967"/>
      <c r="F186" s="1967"/>
      <c r="G186" s="1967"/>
      <c r="H186" s="1967"/>
      <c r="I186" s="1967"/>
      <c r="J186" s="1967"/>
      <c r="K186" s="592">
        <f t="array" aca="1" ref="K186:V186" ca="1">B24:M24*Produccion!$K$12</f>
        <v>0</v>
      </c>
      <c r="L186" s="592">
        <f ca="1"/>
        <v>0</v>
      </c>
      <c r="M186" s="592">
        <f ca="1"/>
        <v>0</v>
      </c>
      <c r="N186" s="592">
        <f ca="1"/>
        <v>0</v>
      </c>
      <c r="O186" s="592">
        <f ca="1"/>
        <v>0</v>
      </c>
      <c r="P186" s="592">
        <f ca="1"/>
        <v>0</v>
      </c>
      <c r="Q186" s="592">
        <f ca="1"/>
        <v>0</v>
      </c>
      <c r="R186" s="592">
        <f ca="1"/>
        <v>0</v>
      </c>
      <c r="S186" s="592">
        <f ca="1"/>
        <v>0</v>
      </c>
      <c r="T186" s="592">
        <f ca="1"/>
        <v>0</v>
      </c>
      <c r="U186" s="592">
        <f ca="1"/>
        <v>0</v>
      </c>
      <c r="V186" s="592">
        <f ca="1"/>
        <v>0</v>
      </c>
      <c r="W186" s="1964">
        <f t="array" aca="1" ref="W186:W195" ca="1">'Distr CV 5'!K186:K195</f>
        <v>0</v>
      </c>
      <c r="X186" s="1964">
        <f ca="1"/>
        <v>0</v>
      </c>
      <c r="Y186" s="1983">
        <f ca="1"/>
        <v>0</v>
      </c>
    </row>
    <row r="187" spans="1:25">
      <c r="A187" s="1971" t="str">
        <v>4 meses antes</v>
      </c>
      <c r="B187" s="1967"/>
      <c r="C187" s="1967"/>
      <c r="D187" s="1967"/>
      <c r="E187" s="1967"/>
      <c r="F187" s="1967"/>
      <c r="G187" s="1967"/>
      <c r="H187" s="1967"/>
      <c r="I187" s="1967"/>
      <c r="J187" s="592">
        <f t="array" aca="1" ref="J187:U187" ca="1">B24:M24*Produccion!$J$12</f>
        <v>0</v>
      </c>
      <c r="K187" s="592">
        <f ca="1"/>
        <v>0</v>
      </c>
      <c r="L187" s="592">
        <f ca="1"/>
        <v>0</v>
      </c>
      <c r="M187" s="592">
        <f ca="1"/>
        <v>0</v>
      </c>
      <c r="N187" s="592">
        <f ca="1"/>
        <v>0</v>
      </c>
      <c r="O187" s="592">
        <f ca="1"/>
        <v>0</v>
      </c>
      <c r="P187" s="592">
        <f ca="1"/>
        <v>0</v>
      </c>
      <c r="Q187" s="592">
        <f ca="1"/>
        <v>0</v>
      </c>
      <c r="R187" s="592">
        <f ca="1"/>
        <v>0</v>
      </c>
      <c r="S187" s="592">
        <f ca="1"/>
        <v>0</v>
      </c>
      <c r="T187" s="592">
        <f ca="1"/>
        <v>0</v>
      </c>
      <c r="U187" s="592">
        <f ca="1"/>
        <v>0</v>
      </c>
      <c r="V187" s="1964">
        <f t="array" aca="1" ref="V187:V195" ca="1">'Distr CV 5'!J187:J195</f>
        <v>0</v>
      </c>
      <c r="W187" s="1964">
        <f ca="1"/>
        <v>0</v>
      </c>
      <c r="X187" s="1964">
        <f ca="1"/>
        <v>0</v>
      </c>
      <c r="Y187" s="1983">
        <f ca="1"/>
        <v>0</v>
      </c>
    </row>
    <row r="188" spans="1:25">
      <c r="A188" s="1971" t="str">
        <v>5 meses antes</v>
      </c>
      <c r="B188" s="1967"/>
      <c r="C188" s="1967"/>
      <c r="D188" s="1967"/>
      <c r="E188" s="1967"/>
      <c r="F188" s="1967"/>
      <c r="G188" s="1967"/>
      <c r="H188" s="1967"/>
      <c r="I188" s="592">
        <f t="array" aca="1" ref="I188:T188" ca="1">B24:M24*Produccion!$I$12</f>
        <v>0</v>
      </c>
      <c r="J188" s="592">
        <f ca="1"/>
        <v>0</v>
      </c>
      <c r="K188" s="592">
        <f ca="1"/>
        <v>0</v>
      </c>
      <c r="L188" s="592">
        <f ca="1"/>
        <v>0</v>
      </c>
      <c r="M188" s="592">
        <f ca="1"/>
        <v>0</v>
      </c>
      <c r="N188" s="592">
        <f ca="1"/>
        <v>0</v>
      </c>
      <c r="O188" s="592">
        <f ca="1"/>
        <v>0</v>
      </c>
      <c r="P188" s="592">
        <f ca="1"/>
        <v>0</v>
      </c>
      <c r="Q188" s="592">
        <f ca="1"/>
        <v>0</v>
      </c>
      <c r="R188" s="592">
        <f ca="1"/>
        <v>0</v>
      </c>
      <c r="S188" s="592">
        <f ca="1"/>
        <v>0</v>
      </c>
      <c r="T188" s="592">
        <f ca="1"/>
        <v>0</v>
      </c>
      <c r="U188" s="1964">
        <f t="array" aca="1" ref="U188:U195" ca="1">'Distr CV 5'!I188:I195</f>
        <v>0</v>
      </c>
      <c r="V188" s="1964">
        <f ca="1"/>
        <v>0</v>
      </c>
      <c r="W188" s="1964">
        <f ca="1"/>
        <v>0</v>
      </c>
      <c r="X188" s="1964">
        <f ca="1"/>
        <v>0</v>
      </c>
      <c r="Y188" s="1983">
        <f ca="1"/>
        <v>0</v>
      </c>
    </row>
    <row r="189" spans="1:25">
      <c r="A189" s="1971" t="str">
        <v>6 meses antes</v>
      </c>
      <c r="B189" s="1967"/>
      <c r="C189" s="1967"/>
      <c r="D189" s="1967"/>
      <c r="E189" s="1967"/>
      <c r="F189" s="1967"/>
      <c r="G189" s="1967"/>
      <c r="H189" s="592">
        <f t="array" aca="1" ref="H189:S189" ca="1">B24:M24*Produccion!$H$12</f>
        <v>0</v>
      </c>
      <c r="I189" s="592">
        <f ca="1"/>
        <v>0</v>
      </c>
      <c r="J189" s="592">
        <f ca="1"/>
        <v>0</v>
      </c>
      <c r="K189" s="592">
        <f ca="1"/>
        <v>0</v>
      </c>
      <c r="L189" s="592">
        <f ca="1"/>
        <v>0</v>
      </c>
      <c r="M189" s="592">
        <f ca="1"/>
        <v>0</v>
      </c>
      <c r="N189" s="592">
        <f ca="1"/>
        <v>0</v>
      </c>
      <c r="O189" s="592">
        <f ca="1"/>
        <v>0</v>
      </c>
      <c r="P189" s="592">
        <f ca="1"/>
        <v>0</v>
      </c>
      <c r="Q189" s="592">
        <f ca="1"/>
        <v>0</v>
      </c>
      <c r="R189" s="592">
        <f ca="1"/>
        <v>0</v>
      </c>
      <c r="S189" s="592">
        <f ca="1"/>
        <v>0</v>
      </c>
      <c r="T189" s="1964">
        <f t="array" aca="1" ref="T189:T195" ca="1">'Distr CV 5'!H189:H195</f>
        <v>0</v>
      </c>
      <c r="U189" s="1964">
        <f ca="1"/>
        <v>0</v>
      </c>
      <c r="V189" s="1964">
        <f ca="1"/>
        <v>0</v>
      </c>
      <c r="W189" s="1964">
        <f ca="1"/>
        <v>0</v>
      </c>
      <c r="X189" s="1964">
        <f ca="1"/>
        <v>0</v>
      </c>
      <c r="Y189" s="1983">
        <f ca="1"/>
        <v>0</v>
      </c>
    </row>
    <row r="190" spans="1:25">
      <c r="A190" s="1971" t="str">
        <v>7 meses antes</v>
      </c>
      <c r="B190" s="1967"/>
      <c r="C190" s="1967"/>
      <c r="D190" s="1967"/>
      <c r="E190" s="1967"/>
      <c r="F190" s="1967"/>
      <c r="G190" s="592">
        <f t="array" aca="1" ref="G190:R190" ca="1">B24:M24*Produccion!$G$12</f>
        <v>0</v>
      </c>
      <c r="H190" s="592">
        <f ca="1"/>
        <v>0</v>
      </c>
      <c r="I190" s="592">
        <f ca="1"/>
        <v>0</v>
      </c>
      <c r="J190" s="592">
        <f ca="1"/>
        <v>0</v>
      </c>
      <c r="K190" s="592">
        <f ca="1"/>
        <v>0</v>
      </c>
      <c r="L190" s="592">
        <f ca="1"/>
        <v>0</v>
      </c>
      <c r="M190" s="592">
        <f ca="1"/>
        <v>0</v>
      </c>
      <c r="N190" s="592">
        <f ca="1"/>
        <v>0</v>
      </c>
      <c r="O190" s="592">
        <f ca="1"/>
        <v>0</v>
      </c>
      <c r="P190" s="592">
        <f ca="1"/>
        <v>0</v>
      </c>
      <c r="Q190" s="592">
        <f ca="1"/>
        <v>0</v>
      </c>
      <c r="R190" s="592">
        <f ca="1"/>
        <v>0</v>
      </c>
      <c r="S190" s="1968">
        <f t="array" aca="1" ref="S190:S195" ca="1">'Distr CV 5'!G190:G195</f>
        <v>0</v>
      </c>
      <c r="T190" s="1968">
        <f ca="1"/>
        <v>0</v>
      </c>
      <c r="U190" s="1968">
        <f ca="1"/>
        <v>0</v>
      </c>
      <c r="V190" s="1968">
        <f ca="1"/>
        <v>0</v>
      </c>
      <c r="W190" s="1968">
        <f ca="1"/>
        <v>0</v>
      </c>
      <c r="X190" s="1968">
        <f ca="1"/>
        <v>0</v>
      </c>
      <c r="Y190" s="1986">
        <f ca="1"/>
        <v>0</v>
      </c>
    </row>
    <row r="191" spans="1:25">
      <c r="A191" s="1971" t="str">
        <v>8 meses antes</v>
      </c>
      <c r="B191" s="1967"/>
      <c r="C191" s="1967"/>
      <c r="D191" s="1967"/>
      <c r="E191" s="1967"/>
      <c r="F191" s="592">
        <f t="array" aca="1" ref="F191:Q191" ca="1">B24:M24*Produccion!$F$12</f>
        <v>0</v>
      </c>
      <c r="G191" s="592">
        <f ca="1"/>
        <v>0</v>
      </c>
      <c r="H191" s="592">
        <f ca="1"/>
        <v>0</v>
      </c>
      <c r="I191" s="592">
        <f ca="1"/>
        <v>0</v>
      </c>
      <c r="J191" s="592">
        <f ca="1"/>
        <v>0</v>
      </c>
      <c r="K191" s="592">
        <f ca="1"/>
        <v>0</v>
      </c>
      <c r="L191" s="592">
        <f ca="1"/>
        <v>0</v>
      </c>
      <c r="M191" s="592">
        <f ca="1"/>
        <v>0</v>
      </c>
      <c r="N191" s="592">
        <f ca="1"/>
        <v>0</v>
      </c>
      <c r="O191" s="592">
        <f ca="1"/>
        <v>0</v>
      </c>
      <c r="P191" s="592">
        <f ca="1"/>
        <v>0</v>
      </c>
      <c r="Q191" s="592">
        <f ca="1"/>
        <v>0</v>
      </c>
      <c r="R191" s="1968">
        <f t="array" aca="1" ref="R191:R195" ca="1">'Distr CV 5'!F191:F195</f>
        <v>0</v>
      </c>
      <c r="S191" s="1968">
        <f ca="1"/>
        <v>0</v>
      </c>
      <c r="T191" s="1968">
        <f ca="1"/>
        <v>0</v>
      </c>
      <c r="U191" s="1968">
        <f ca="1"/>
        <v>0</v>
      </c>
      <c r="V191" s="1968">
        <f ca="1"/>
        <v>0</v>
      </c>
      <c r="W191" s="1968">
        <f ca="1"/>
        <v>0</v>
      </c>
      <c r="X191" s="1968">
        <f ca="1"/>
        <v>0</v>
      </c>
      <c r="Y191" s="1986">
        <f ca="1"/>
        <v>0</v>
      </c>
    </row>
    <row r="192" spans="1:25">
      <c r="A192" s="1971" t="str">
        <v>9 meses antes</v>
      </c>
      <c r="B192" s="1967"/>
      <c r="C192" s="1967"/>
      <c r="D192" s="1967"/>
      <c r="E192" s="592">
        <f t="array" aca="1" ref="E192:P192" ca="1">B24:M24*Produccion!$E$12</f>
        <v>0</v>
      </c>
      <c r="F192" s="592">
        <f ca="1"/>
        <v>0</v>
      </c>
      <c r="G192" s="592">
        <f ca="1"/>
        <v>0</v>
      </c>
      <c r="H192" s="592">
        <f ca="1"/>
        <v>0</v>
      </c>
      <c r="I192" s="592">
        <f ca="1"/>
        <v>0</v>
      </c>
      <c r="J192" s="592">
        <f ca="1"/>
        <v>0</v>
      </c>
      <c r="K192" s="592">
        <f ca="1"/>
        <v>0</v>
      </c>
      <c r="L192" s="592">
        <f ca="1"/>
        <v>0</v>
      </c>
      <c r="M192" s="592">
        <f ca="1"/>
        <v>0</v>
      </c>
      <c r="N192" s="592">
        <f ca="1"/>
        <v>0</v>
      </c>
      <c r="O192" s="592">
        <f ca="1"/>
        <v>0</v>
      </c>
      <c r="P192" s="592">
        <f ca="1"/>
        <v>0</v>
      </c>
      <c r="Q192" s="1968">
        <f t="array" aca="1" ref="Q192:Q195" ca="1">'Distr CV 5'!E192:E195</f>
        <v>0</v>
      </c>
      <c r="R192" s="1968">
        <f ca="1"/>
        <v>0</v>
      </c>
      <c r="S192" s="1968">
        <f ca="1"/>
        <v>0</v>
      </c>
      <c r="T192" s="1968">
        <f ca="1"/>
        <v>0</v>
      </c>
      <c r="U192" s="1968">
        <f ca="1"/>
        <v>0</v>
      </c>
      <c r="V192" s="1968">
        <f ca="1"/>
        <v>0</v>
      </c>
      <c r="W192" s="1968">
        <f ca="1"/>
        <v>0</v>
      </c>
      <c r="X192" s="1968">
        <f ca="1"/>
        <v>0</v>
      </c>
      <c r="Y192" s="1986">
        <f ca="1"/>
        <v>0</v>
      </c>
    </row>
    <row r="193" spans="1:25">
      <c r="A193" s="1971" t="str">
        <v>10 meses antes</v>
      </c>
      <c r="B193" s="1967"/>
      <c r="C193" s="1967"/>
      <c r="D193" s="592">
        <f t="array" aca="1" ref="D193:O193" ca="1">B24:M24*Produccion!$D$12</f>
        <v>0</v>
      </c>
      <c r="E193" s="592">
        <f ca="1"/>
        <v>0</v>
      </c>
      <c r="F193" s="592">
        <f ca="1"/>
        <v>0</v>
      </c>
      <c r="G193" s="592">
        <f ca="1"/>
        <v>0</v>
      </c>
      <c r="H193" s="592">
        <f ca="1"/>
        <v>0</v>
      </c>
      <c r="I193" s="592">
        <f ca="1"/>
        <v>0</v>
      </c>
      <c r="J193" s="592">
        <f ca="1"/>
        <v>0</v>
      </c>
      <c r="K193" s="592">
        <f ca="1"/>
        <v>0</v>
      </c>
      <c r="L193" s="592">
        <f ca="1"/>
        <v>0</v>
      </c>
      <c r="M193" s="592">
        <f ca="1"/>
        <v>0</v>
      </c>
      <c r="N193" s="592">
        <f ca="1"/>
        <v>0</v>
      </c>
      <c r="O193" s="592">
        <f ca="1"/>
        <v>0</v>
      </c>
      <c r="P193" s="1968">
        <f t="array" aca="1" ref="P193:P195" ca="1">'Distr CV 5'!D193:D195</f>
        <v>0</v>
      </c>
      <c r="Q193" s="1968">
        <f ca="1"/>
        <v>0</v>
      </c>
      <c r="R193" s="1968">
        <f ca="1"/>
        <v>0</v>
      </c>
      <c r="S193" s="1968">
        <f ca="1"/>
        <v>0</v>
      </c>
      <c r="T193" s="1968">
        <f ca="1"/>
        <v>0</v>
      </c>
      <c r="U193" s="1968">
        <f ca="1"/>
        <v>0</v>
      </c>
      <c r="V193" s="1968">
        <f ca="1"/>
        <v>0</v>
      </c>
      <c r="W193" s="1968">
        <f ca="1"/>
        <v>0</v>
      </c>
      <c r="X193" s="1968">
        <f ca="1"/>
        <v>0</v>
      </c>
      <c r="Y193" s="1986">
        <f ca="1"/>
        <v>0</v>
      </c>
    </row>
    <row r="194" spans="1:25">
      <c r="A194" s="1971" t="str">
        <v>11 meses antes</v>
      </c>
      <c r="B194" s="1967"/>
      <c r="C194" s="592">
        <f t="array" aca="1" ref="C194:N194" ca="1">B24:M24*Produccion!$C$12</f>
        <v>0</v>
      </c>
      <c r="D194" s="592">
        <f ca="1"/>
        <v>0</v>
      </c>
      <c r="E194" s="592">
        <f ca="1"/>
        <v>0</v>
      </c>
      <c r="F194" s="592">
        <f ca="1"/>
        <v>0</v>
      </c>
      <c r="G194" s="592">
        <f ca="1"/>
        <v>0</v>
      </c>
      <c r="H194" s="592">
        <f ca="1"/>
        <v>0</v>
      </c>
      <c r="I194" s="592">
        <f ca="1"/>
        <v>0</v>
      </c>
      <c r="J194" s="592">
        <f ca="1"/>
        <v>0</v>
      </c>
      <c r="K194" s="592">
        <f ca="1"/>
        <v>0</v>
      </c>
      <c r="L194" s="592">
        <f ca="1"/>
        <v>0</v>
      </c>
      <c r="M194" s="592">
        <f ca="1"/>
        <v>0</v>
      </c>
      <c r="N194" s="592">
        <f ca="1"/>
        <v>0</v>
      </c>
      <c r="O194" s="1968">
        <f ca="1">'Distr CV 5'!C194</f>
        <v>0</v>
      </c>
      <c r="P194" s="1968">
        <f ca="1"/>
        <v>0</v>
      </c>
      <c r="Q194" s="1968">
        <f ca="1"/>
        <v>0</v>
      </c>
      <c r="R194" s="1968">
        <f ca="1"/>
        <v>0</v>
      </c>
      <c r="S194" s="1968">
        <f ca="1"/>
        <v>0</v>
      </c>
      <c r="T194" s="1968">
        <f ca="1"/>
        <v>0</v>
      </c>
      <c r="U194" s="1968">
        <f ca="1"/>
        <v>0</v>
      </c>
      <c r="V194" s="1968">
        <f ca="1"/>
        <v>0</v>
      </c>
      <c r="W194" s="1968">
        <f ca="1"/>
        <v>0</v>
      </c>
      <c r="X194" s="1968">
        <f ca="1"/>
        <v>0</v>
      </c>
      <c r="Y194" s="1986">
        <f ca="1"/>
        <v>0</v>
      </c>
    </row>
    <row r="195" spans="1:25" ht="13.5" thickBot="1">
      <c r="A195" s="1971" t="str">
        <v>12 meses antes</v>
      </c>
      <c r="B195" s="592">
        <f t="array" aca="1" ref="B195:M195" ca="1">B24:M24*Produccion!$B$12</f>
        <v>0</v>
      </c>
      <c r="C195" s="592">
        <f ca="1"/>
        <v>0</v>
      </c>
      <c r="D195" s="592">
        <f ca="1"/>
        <v>0</v>
      </c>
      <c r="E195" s="592">
        <f ca="1"/>
        <v>0</v>
      </c>
      <c r="F195" s="592">
        <f ca="1"/>
        <v>0</v>
      </c>
      <c r="G195" s="592">
        <f ca="1"/>
        <v>0</v>
      </c>
      <c r="H195" s="592">
        <f ca="1"/>
        <v>0</v>
      </c>
      <c r="I195" s="592">
        <f ca="1"/>
        <v>0</v>
      </c>
      <c r="J195" s="592">
        <f ca="1"/>
        <v>0</v>
      </c>
      <c r="K195" s="592">
        <f ca="1"/>
        <v>0</v>
      </c>
      <c r="L195" s="592">
        <f ca="1"/>
        <v>0</v>
      </c>
      <c r="M195" s="592">
        <f ca="1"/>
        <v>0</v>
      </c>
      <c r="N195" s="1967">
        <f ca="1">'Distr CV 5'!B195</f>
        <v>0</v>
      </c>
      <c r="O195" s="1968">
        <f ca="1">'Distr CV 5'!C195</f>
        <v>0</v>
      </c>
      <c r="P195" s="1968">
        <f ca="1"/>
        <v>0</v>
      </c>
      <c r="Q195" s="1968">
        <f ca="1"/>
        <v>0</v>
      </c>
      <c r="R195" s="1968">
        <f ca="1"/>
        <v>0</v>
      </c>
      <c r="S195" s="1968">
        <f ca="1"/>
        <v>0</v>
      </c>
      <c r="T195" s="1968">
        <f ca="1"/>
        <v>0</v>
      </c>
      <c r="U195" s="1968">
        <f ca="1"/>
        <v>0</v>
      </c>
      <c r="V195" s="1968">
        <f ca="1"/>
        <v>0</v>
      </c>
      <c r="W195" s="1968">
        <f ca="1"/>
        <v>0</v>
      </c>
      <c r="X195" s="1968">
        <f ca="1"/>
        <v>0</v>
      </c>
      <c r="Y195" s="1986">
        <f ca="1"/>
        <v>0</v>
      </c>
    </row>
    <row r="196" spans="1:25" ht="13.5" thickBot="1">
      <c r="A196" s="103" t="str">
        <f>"Totales CV "&amp;A$12</f>
        <v xml:space="preserve">Totales CV </v>
      </c>
      <c r="B196" s="596">
        <f t="shared" ref="B196:Y196" ca="1" si="14">SUM(B183:B195)</f>
        <v>0</v>
      </c>
      <c r="C196" s="596">
        <f t="shared" ca="1" si="14"/>
        <v>0</v>
      </c>
      <c r="D196" s="596">
        <f t="shared" ca="1" si="14"/>
        <v>0</v>
      </c>
      <c r="E196" s="596">
        <f t="shared" ca="1" si="14"/>
        <v>0</v>
      </c>
      <c r="F196" s="596">
        <f t="shared" ca="1" si="14"/>
        <v>0</v>
      </c>
      <c r="G196" s="596">
        <f t="shared" ca="1" si="14"/>
        <v>0</v>
      </c>
      <c r="H196" s="596">
        <f t="shared" ca="1" si="14"/>
        <v>0</v>
      </c>
      <c r="I196" s="596">
        <f t="shared" ca="1" si="14"/>
        <v>0</v>
      </c>
      <c r="J196" s="596">
        <f t="shared" ca="1" si="14"/>
        <v>0</v>
      </c>
      <c r="K196" s="596">
        <f t="shared" ca="1" si="14"/>
        <v>0</v>
      </c>
      <c r="L196" s="596">
        <f t="shared" ca="1" si="14"/>
        <v>0</v>
      </c>
      <c r="M196" s="596">
        <f t="shared" ca="1" si="14"/>
        <v>0</v>
      </c>
      <c r="N196" s="596">
        <f t="shared" ca="1" si="14"/>
        <v>0</v>
      </c>
      <c r="O196" s="596">
        <f t="shared" ca="1" si="14"/>
        <v>0</v>
      </c>
      <c r="P196" s="596">
        <f t="shared" ca="1" si="14"/>
        <v>0</v>
      </c>
      <c r="Q196" s="596">
        <f t="shared" ca="1" si="14"/>
        <v>0</v>
      </c>
      <c r="R196" s="596">
        <f t="shared" ca="1" si="14"/>
        <v>0</v>
      </c>
      <c r="S196" s="596">
        <f t="shared" ca="1" si="14"/>
        <v>0</v>
      </c>
      <c r="T196" s="596">
        <f t="shared" ca="1" si="14"/>
        <v>0</v>
      </c>
      <c r="U196" s="596">
        <f t="shared" ca="1" si="14"/>
        <v>0</v>
      </c>
      <c r="V196" s="596">
        <f t="shared" ca="1" si="14"/>
        <v>0</v>
      </c>
      <c r="W196" s="596">
        <f t="shared" ca="1" si="14"/>
        <v>0</v>
      </c>
      <c r="X196" s="596">
        <f t="shared" ca="1" si="14"/>
        <v>0</v>
      </c>
      <c r="Y196" s="1984">
        <f t="shared" ca="1" si="14"/>
        <v>0</v>
      </c>
    </row>
    <row r="197" spans="1:25" ht="13.5" thickBot="1">
      <c r="A197" s="103" t="str">
        <f>'Datos Básicos'!A28&amp;" sop. CV "&amp;$A$12</f>
        <v xml:space="preserve">IVA sop. CV </v>
      </c>
      <c r="B197" s="596">
        <f t="array" aca="1" ref="B197:Y197" ca="1">$K$181*B196:Y196</f>
        <v>0</v>
      </c>
      <c r="C197" s="596">
        <f ca="1"/>
        <v>0</v>
      </c>
      <c r="D197" s="596">
        <f ca="1"/>
        <v>0</v>
      </c>
      <c r="E197" s="596">
        <f ca="1"/>
        <v>0</v>
      </c>
      <c r="F197" s="596">
        <f ca="1"/>
        <v>0</v>
      </c>
      <c r="G197" s="596">
        <f ca="1"/>
        <v>0</v>
      </c>
      <c r="H197" s="596">
        <f ca="1"/>
        <v>0</v>
      </c>
      <c r="I197" s="596">
        <f ca="1"/>
        <v>0</v>
      </c>
      <c r="J197" s="596">
        <f ca="1"/>
        <v>0</v>
      </c>
      <c r="K197" s="596">
        <f ca="1"/>
        <v>0</v>
      </c>
      <c r="L197" s="596">
        <f ca="1"/>
        <v>0</v>
      </c>
      <c r="M197" s="596">
        <f ca="1"/>
        <v>0</v>
      </c>
      <c r="N197" s="596">
        <f ca="1"/>
        <v>0</v>
      </c>
      <c r="O197" s="596">
        <f ca="1"/>
        <v>0</v>
      </c>
      <c r="P197" s="596">
        <f ca="1"/>
        <v>0</v>
      </c>
      <c r="Q197" s="596">
        <f ca="1"/>
        <v>0</v>
      </c>
      <c r="R197" s="596">
        <f ca="1"/>
        <v>0</v>
      </c>
      <c r="S197" s="596">
        <f ca="1"/>
        <v>0</v>
      </c>
      <c r="T197" s="596">
        <f ca="1"/>
        <v>0</v>
      </c>
      <c r="U197" s="596">
        <f ca="1"/>
        <v>0</v>
      </c>
      <c r="V197" s="596">
        <f ca="1"/>
        <v>0</v>
      </c>
      <c r="W197" s="596">
        <f ca="1"/>
        <v>0</v>
      </c>
      <c r="X197" s="596">
        <f ca="1"/>
        <v>0</v>
      </c>
      <c r="Y197" s="1984">
        <f ca="1"/>
        <v>0</v>
      </c>
    </row>
    <row r="199" spans="1:25" ht="18.75" thickBot="1">
      <c r="A199" s="1969" t="str">
        <f>'Distr CV 0'!A199</f>
        <v xml:space="preserve">Compras / costes de producción por meses de </v>
      </c>
      <c r="I199" s="1969" t="str">
        <f>I$18</f>
        <v>IVA NO incluido</v>
      </c>
      <c r="K199" s="1981">
        <f>Parametros!$F$29</f>
        <v>0.21</v>
      </c>
    </row>
    <row r="200" spans="1:25" ht="33" customHeight="1" thickBot="1">
      <c r="A200" s="446" t="str">
        <f>A$110</f>
        <v>mes de compra / coste</v>
      </c>
      <c r="B200" s="1987" t="str">
        <f t="array" ref="B200:Y200">B$71:Y$71</f>
        <v>enero 
2029</v>
      </c>
      <c r="C200" s="1987" t="str">
        <v>febrero 
2029</v>
      </c>
      <c r="D200" s="1987" t="str">
        <v>marzo 
2029</v>
      </c>
      <c r="E200" s="1987" t="str">
        <v>abril 
2029</v>
      </c>
      <c r="F200" s="1987" t="str">
        <v>mayo 
2029</v>
      </c>
      <c r="G200" s="1987" t="str">
        <v>junio 
2029</v>
      </c>
      <c r="H200" s="1987" t="str">
        <v>julio 
2029</v>
      </c>
      <c r="I200" s="1987" t="str">
        <v>agosto 
2029</v>
      </c>
      <c r="J200" s="1987" t="str">
        <v>septiembre 
2029</v>
      </c>
      <c r="K200" s="1987" t="str">
        <v>octubre 
2029</v>
      </c>
      <c r="L200" s="1987" t="str">
        <v>noviembre 
2029</v>
      </c>
      <c r="M200" s="1987" t="str">
        <v>diciembre 
2029</v>
      </c>
      <c r="N200" s="2703" t="str">
        <v>enero 
2030</v>
      </c>
      <c r="O200" s="2704" t="str">
        <v>febrero 
2030</v>
      </c>
      <c r="P200" s="2704" t="str">
        <v>marzo 
2030</v>
      </c>
      <c r="Q200" s="2704" t="str">
        <v>abril 
2030</v>
      </c>
      <c r="R200" s="2704" t="str">
        <v>mayo 
2030</v>
      </c>
      <c r="S200" s="2704" t="str">
        <v>junio 
2030</v>
      </c>
      <c r="T200" s="2704" t="str">
        <v>julio 
2030</v>
      </c>
      <c r="U200" s="2704" t="str">
        <v>agosto 
2030</v>
      </c>
      <c r="V200" s="2704" t="str">
        <v>septiembre 
2030</v>
      </c>
      <c r="W200" s="2704" t="str">
        <v>octubre 
2030</v>
      </c>
      <c r="X200" s="2704" t="str">
        <v>noviembre 
2030</v>
      </c>
      <c r="Y200" s="2705" t="str">
        <v>diciembre 
2030</v>
      </c>
    </row>
    <row r="201" spans="1:25">
      <c r="A201" s="1970" t="str">
        <f t="array" ref="A201:A213">A$72:A$84</f>
        <v>mismo mes</v>
      </c>
      <c r="B201" s="1967"/>
      <c r="C201" s="1967"/>
      <c r="D201" s="1967"/>
      <c r="E201" s="1967"/>
      <c r="F201" s="1967"/>
      <c r="G201" s="1967"/>
      <c r="H201" s="1967"/>
      <c r="I201" s="1967"/>
      <c r="J201" s="1967"/>
      <c r="K201" s="1967"/>
      <c r="L201" s="1967"/>
      <c r="M201" s="1967"/>
      <c r="N201" s="592">
        <f t="array" aca="1" ref="N201:Y201" ca="1">B25:M25*Produccion!$N$13</f>
        <v>0</v>
      </c>
      <c r="O201" s="592">
        <f ca="1"/>
        <v>0</v>
      </c>
      <c r="P201" s="592">
        <f ca="1"/>
        <v>0</v>
      </c>
      <c r="Q201" s="592">
        <f ca="1"/>
        <v>0</v>
      </c>
      <c r="R201" s="592">
        <f ca="1"/>
        <v>0</v>
      </c>
      <c r="S201" s="592">
        <f ca="1"/>
        <v>0</v>
      </c>
      <c r="T201" s="592">
        <f ca="1"/>
        <v>0</v>
      </c>
      <c r="U201" s="592">
        <f ca="1"/>
        <v>0</v>
      </c>
      <c r="V201" s="592">
        <f ca="1"/>
        <v>0</v>
      </c>
      <c r="W201" s="592">
        <f ca="1"/>
        <v>0</v>
      </c>
      <c r="X201" s="592">
        <f ca="1"/>
        <v>0</v>
      </c>
      <c r="Y201" s="1982">
        <f ca="1"/>
        <v>0</v>
      </c>
    </row>
    <row r="202" spans="1:25">
      <c r="A202" s="1971" t="str">
        <v>1 mes antes</v>
      </c>
      <c r="B202" s="1967"/>
      <c r="C202" s="1967"/>
      <c r="D202" s="1967"/>
      <c r="E202" s="1967"/>
      <c r="F202" s="1967"/>
      <c r="G202" s="1967"/>
      <c r="H202" s="1967"/>
      <c r="I202" s="1967"/>
      <c r="J202" s="1967"/>
      <c r="K202" s="1967"/>
      <c r="L202" s="1967"/>
      <c r="M202" s="592">
        <f t="array" aca="1" ref="M202:X202" ca="1">B25:M25*Produccion!$M$13</f>
        <v>0</v>
      </c>
      <c r="N202" s="592">
        <f ca="1"/>
        <v>0</v>
      </c>
      <c r="O202" s="592">
        <f ca="1"/>
        <v>0</v>
      </c>
      <c r="P202" s="592">
        <f ca="1"/>
        <v>0</v>
      </c>
      <c r="Q202" s="592">
        <f ca="1"/>
        <v>0</v>
      </c>
      <c r="R202" s="592">
        <f ca="1"/>
        <v>0</v>
      </c>
      <c r="S202" s="592">
        <f ca="1"/>
        <v>0</v>
      </c>
      <c r="T202" s="592">
        <f ca="1"/>
        <v>0</v>
      </c>
      <c r="U202" s="592">
        <f ca="1"/>
        <v>0</v>
      </c>
      <c r="V202" s="592">
        <f ca="1"/>
        <v>0</v>
      </c>
      <c r="W202" s="592">
        <f ca="1"/>
        <v>0</v>
      </c>
      <c r="X202" s="592">
        <f ca="1"/>
        <v>0</v>
      </c>
      <c r="Y202" s="1983">
        <f t="array" aca="1" ref="Y202:Y213" ca="1">'Distr CV 5'!M202:M213</f>
        <v>0</v>
      </c>
    </row>
    <row r="203" spans="1:25">
      <c r="A203" s="1971" t="str">
        <v>2 meses antes</v>
      </c>
      <c r="B203" s="1967"/>
      <c r="C203" s="1967"/>
      <c r="D203" s="1967"/>
      <c r="E203" s="1967"/>
      <c r="F203" s="1967"/>
      <c r="G203" s="1967"/>
      <c r="H203" s="1967"/>
      <c r="I203" s="1967"/>
      <c r="J203" s="1967"/>
      <c r="K203" s="1967"/>
      <c r="L203" s="592">
        <f t="array" aca="1" ref="L203:W203" ca="1">B25:M25*Produccion!$L$13</f>
        <v>0</v>
      </c>
      <c r="M203" s="592">
        <f ca="1"/>
        <v>0</v>
      </c>
      <c r="N203" s="592">
        <f ca="1"/>
        <v>0</v>
      </c>
      <c r="O203" s="592">
        <f ca="1"/>
        <v>0</v>
      </c>
      <c r="P203" s="592">
        <f ca="1"/>
        <v>0</v>
      </c>
      <c r="Q203" s="592">
        <f ca="1"/>
        <v>0</v>
      </c>
      <c r="R203" s="592">
        <f ca="1"/>
        <v>0</v>
      </c>
      <c r="S203" s="592">
        <f ca="1"/>
        <v>0</v>
      </c>
      <c r="T203" s="592">
        <f ca="1"/>
        <v>0</v>
      </c>
      <c r="U203" s="592">
        <f ca="1"/>
        <v>0</v>
      </c>
      <c r="V203" s="592">
        <f ca="1"/>
        <v>0</v>
      </c>
      <c r="W203" s="592">
        <f ca="1"/>
        <v>0</v>
      </c>
      <c r="X203" s="1964">
        <f t="array" aca="1" ref="X203:X213" ca="1">'Distr CV 5'!L203:L213</f>
        <v>0</v>
      </c>
      <c r="Y203" s="1983">
        <f ca="1"/>
        <v>0</v>
      </c>
    </row>
    <row r="204" spans="1:25">
      <c r="A204" s="1971" t="str">
        <v>3 meses antes</v>
      </c>
      <c r="B204" s="1967"/>
      <c r="C204" s="1967"/>
      <c r="D204" s="1967"/>
      <c r="E204" s="1967"/>
      <c r="F204" s="1967"/>
      <c r="G204" s="1967"/>
      <c r="H204" s="1967"/>
      <c r="I204" s="1967"/>
      <c r="J204" s="1967"/>
      <c r="K204" s="592">
        <f t="array" aca="1" ref="K204:V204" ca="1">B25:M25*Produccion!$K$13</f>
        <v>0</v>
      </c>
      <c r="L204" s="592">
        <f ca="1"/>
        <v>0</v>
      </c>
      <c r="M204" s="592">
        <f ca="1"/>
        <v>0</v>
      </c>
      <c r="N204" s="592">
        <f ca="1"/>
        <v>0</v>
      </c>
      <c r="O204" s="592">
        <f ca="1"/>
        <v>0</v>
      </c>
      <c r="P204" s="592">
        <f ca="1"/>
        <v>0</v>
      </c>
      <c r="Q204" s="592">
        <f ca="1"/>
        <v>0</v>
      </c>
      <c r="R204" s="592">
        <f ca="1"/>
        <v>0</v>
      </c>
      <c r="S204" s="592">
        <f ca="1"/>
        <v>0</v>
      </c>
      <c r="T204" s="592">
        <f ca="1"/>
        <v>0</v>
      </c>
      <c r="U204" s="592">
        <f ca="1"/>
        <v>0</v>
      </c>
      <c r="V204" s="592">
        <f ca="1"/>
        <v>0</v>
      </c>
      <c r="W204" s="1964">
        <f t="array" aca="1" ref="W204:W213" ca="1">'Distr CV 5'!K204:K213</f>
        <v>0</v>
      </c>
      <c r="X204" s="1964">
        <f ca="1"/>
        <v>0</v>
      </c>
      <c r="Y204" s="1983">
        <f ca="1"/>
        <v>0</v>
      </c>
    </row>
    <row r="205" spans="1:25">
      <c r="A205" s="1971" t="str">
        <v>4 meses antes</v>
      </c>
      <c r="B205" s="1967"/>
      <c r="C205" s="1967"/>
      <c r="D205" s="1967"/>
      <c r="E205" s="1967"/>
      <c r="F205" s="1967"/>
      <c r="G205" s="1967"/>
      <c r="H205" s="1967"/>
      <c r="I205" s="1967"/>
      <c r="J205" s="592">
        <f t="array" aca="1" ref="J205:U205" ca="1">B25:M25*Produccion!$J$13</f>
        <v>0</v>
      </c>
      <c r="K205" s="592">
        <f ca="1"/>
        <v>0</v>
      </c>
      <c r="L205" s="592">
        <f ca="1"/>
        <v>0</v>
      </c>
      <c r="M205" s="592">
        <f ca="1"/>
        <v>0</v>
      </c>
      <c r="N205" s="592">
        <f ca="1"/>
        <v>0</v>
      </c>
      <c r="O205" s="592">
        <f ca="1"/>
        <v>0</v>
      </c>
      <c r="P205" s="592">
        <f ca="1"/>
        <v>0</v>
      </c>
      <c r="Q205" s="592">
        <f ca="1"/>
        <v>0</v>
      </c>
      <c r="R205" s="592">
        <f ca="1"/>
        <v>0</v>
      </c>
      <c r="S205" s="592">
        <f ca="1"/>
        <v>0</v>
      </c>
      <c r="T205" s="592">
        <f ca="1"/>
        <v>0</v>
      </c>
      <c r="U205" s="592">
        <f ca="1"/>
        <v>0</v>
      </c>
      <c r="V205" s="1964">
        <f t="array" aca="1" ref="V205:V213" ca="1">'Distr CV 5'!J205:J213</f>
        <v>0</v>
      </c>
      <c r="W205" s="1964">
        <f ca="1"/>
        <v>0</v>
      </c>
      <c r="X205" s="1964">
        <f ca="1"/>
        <v>0</v>
      </c>
      <c r="Y205" s="1983">
        <f ca="1"/>
        <v>0</v>
      </c>
    </row>
    <row r="206" spans="1:25">
      <c r="A206" s="1971" t="str">
        <v>5 meses antes</v>
      </c>
      <c r="B206" s="1967"/>
      <c r="C206" s="1967"/>
      <c r="D206" s="1967"/>
      <c r="E206" s="1967"/>
      <c r="F206" s="1967"/>
      <c r="G206" s="1967"/>
      <c r="H206" s="1967"/>
      <c r="I206" s="592">
        <f t="array" aca="1" ref="I206:T206" ca="1">B25:M25*Produccion!$I$13</f>
        <v>0</v>
      </c>
      <c r="J206" s="592">
        <f ca="1"/>
        <v>0</v>
      </c>
      <c r="K206" s="592">
        <f ca="1"/>
        <v>0</v>
      </c>
      <c r="L206" s="592">
        <f ca="1"/>
        <v>0</v>
      </c>
      <c r="M206" s="592">
        <f ca="1"/>
        <v>0</v>
      </c>
      <c r="N206" s="592">
        <f ca="1"/>
        <v>0</v>
      </c>
      <c r="O206" s="592">
        <f ca="1"/>
        <v>0</v>
      </c>
      <c r="P206" s="592">
        <f ca="1"/>
        <v>0</v>
      </c>
      <c r="Q206" s="592">
        <f ca="1"/>
        <v>0</v>
      </c>
      <c r="R206" s="592">
        <f ca="1"/>
        <v>0</v>
      </c>
      <c r="S206" s="592">
        <f ca="1"/>
        <v>0</v>
      </c>
      <c r="T206" s="592">
        <f ca="1"/>
        <v>0</v>
      </c>
      <c r="U206" s="1964">
        <f t="array" aca="1" ref="U206:U213" ca="1">'Distr CV 5'!I206:I213</f>
        <v>0</v>
      </c>
      <c r="V206" s="1964">
        <f ca="1"/>
        <v>0</v>
      </c>
      <c r="W206" s="1964">
        <f ca="1"/>
        <v>0</v>
      </c>
      <c r="X206" s="1964">
        <f ca="1"/>
        <v>0</v>
      </c>
      <c r="Y206" s="1983">
        <f ca="1"/>
        <v>0</v>
      </c>
    </row>
    <row r="207" spans="1:25">
      <c r="A207" s="1971" t="str">
        <v>6 meses antes</v>
      </c>
      <c r="B207" s="1967"/>
      <c r="C207" s="1967"/>
      <c r="D207" s="1967"/>
      <c r="E207" s="1967"/>
      <c r="F207" s="1967"/>
      <c r="G207" s="1967"/>
      <c r="H207" s="592">
        <f t="array" aca="1" ref="H207:S207" ca="1">B25:M25*Produccion!$H$13</f>
        <v>0</v>
      </c>
      <c r="I207" s="592">
        <f ca="1"/>
        <v>0</v>
      </c>
      <c r="J207" s="592">
        <f ca="1"/>
        <v>0</v>
      </c>
      <c r="K207" s="592">
        <f ca="1"/>
        <v>0</v>
      </c>
      <c r="L207" s="592">
        <f ca="1"/>
        <v>0</v>
      </c>
      <c r="M207" s="592">
        <f ca="1"/>
        <v>0</v>
      </c>
      <c r="N207" s="592">
        <f ca="1"/>
        <v>0</v>
      </c>
      <c r="O207" s="592">
        <f ca="1"/>
        <v>0</v>
      </c>
      <c r="P207" s="592">
        <f ca="1"/>
        <v>0</v>
      </c>
      <c r="Q207" s="592">
        <f ca="1"/>
        <v>0</v>
      </c>
      <c r="R207" s="592">
        <f ca="1"/>
        <v>0</v>
      </c>
      <c r="S207" s="592">
        <f ca="1"/>
        <v>0</v>
      </c>
      <c r="T207" s="1964">
        <f t="array" aca="1" ref="T207:T213" ca="1">'Distr CV 5'!H207:H213</f>
        <v>0</v>
      </c>
      <c r="U207" s="1964">
        <f ca="1"/>
        <v>0</v>
      </c>
      <c r="V207" s="1964">
        <f ca="1"/>
        <v>0</v>
      </c>
      <c r="W207" s="1964">
        <f ca="1"/>
        <v>0</v>
      </c>
      <c r="X207" s="1964">
        <f ca="1"/>
        <v>0</v>
      </c>
      <c r="Y207" s="1983">
        <f ca="1"/>
        <v>0</v>
      </c>
    </row>
    <row r="208" spans="1:25">
      <c r="A208" s="1971" t="str">
        <v>7 meses antes</v>
      </c>
      <c r="B208" s="1967"/>
      <c r="C208" s="1967"/>
      <c r="D208" s="1967"/>
      <c r="E208" s="1967"/>
      <c r="F208" s="1967"/>
      <c r="G208" s="592">
        <f t="array" aca="1" ref="G208:R208" ca="1">B25:M25*Produccion!$G$13</f>
        <v>0</v>
      </c>
      <c r="H208" s="592">
        <f ca="1"/>
        <v>0</v>
      </c>
      <c r="I208" s="592">
        <f ca="1"/>
        <v>0</v>
      </c>
      <c r="J208" s="592">
        <f ca="1"/>
        <v>0</v>
      </c>
      <c r="K208" s="592">
        <f ca="1"/>
        <v>0</v>
      </c>
      <c r="L208" s="592">
        <f ca="1"/>
        <v>0</v>
      </c>
      <c r="M208" s="592">
        <f ca="1"/>
        <v>0</v>
      </c>
      <c r="N208" s="592">
        <f ca="1"/>
        <v>0</v>
      </c>
      <c r="O208" s="592">
        <f ca="1"/>
        <v>0</v>
      </c>
      <c r="P208" s="592">
        <f ca="1"/>
        <v>0</v>
      </c>
      <c r="Q208" s="592">
        <f ca="1"/>
        <v>0</v>
      </c>
      <c r="R208" s="592">
        <f ca="1"/>
        <v>0</v>
      </c>
      <c r="S208" s="1968">
        <f t="array" aca="1" ref="S208:S213" ca="1">'Distr CV 5'!G208:G213</f>
        <v>0</v>
      </c>
      <c r="T208" s="1968">
        <f ca="1"/>
        <v>0</v>
      </c>
      <c r="U208" s="1968">
        <f ca="1"/>
        <v>0</v>
      </c>
      <c r="V208" s="1968">
        <f ca="1"/>
        <v>0</v>
      </c>
      <c r="W208" s="1968">
        <f ca="1"/>
        <v>0</v>
      </c>
      <c r="X208" s="1968">
        <f ca="1"/>
        <v>0</v>
      </c>
      <c r="Y208" s="1986">
        <f ca="1"/>
        <v>0</v>
      </c>
    </row>
    <row r="209" spans="1:25">
      <c r="A209" s="1971" t="str">
        <v>8 meses antes</v>
      </c>
      <c r="B209" s="1967"/>
      <c r="C209" s="1967"/>
      <c r="D209" s="1967"/>
      <c r="E209" s="1967"/>
      <c r="F209" s="592">
        <f t="array" aca="1" ref="F209:Q209" ca="1">B25:M25*Produccion!$F$13</f>
        <v>0</v>
      </c>
      <c r="G209" s="592">
        <f ca="1"/>
        <v>0</v>
      </c>
      <c r="H209" s="592">
        <f ca="1"/>
        <v>0</v>
      </c>
      <c r="I209" s="592">
        <f ca="1"/>
        <v>0</v>
      </c>
      <c r="J209" s="592">
        <f ca="1"/>
        <v>0</v>
      </c>
      <c r="K209" s="592">
        <f ca="1"/>
        <v>0</v>
      </c>
      <c r="L209" s="592">
        <f ca="1"/>
        <v>0</v>
      </c>
      <c r="M209" s="592">
        <f ca="1"/>
        <v>0</v>
      </c>
      <c r="N209" s="592">
        <f ca="1"/>
        <v>0</v>
      </c>
      <c r="O209" s="592">
        <f ca="1"/>
        <v>0</v>
      </c>
      <c r="P209" s="592">
        <f ca="1"/>
        <v>0</v>
      </c>
      <c r="Q209" s="592">
        <f ca="1"/>
        <v>0</v>
      </c>
      <c r="R209" s="1968">
        <f t="array" aca="1" ref="R209:R213" ca="1">'Distr CV 5'!F209:F213</f>
        <v>0</v>
      </c>
      <c r="S209" s="1968">
        <f ca="1"/>
        <v>0</v>
      </c>
      <c r="T209" s="1968">
        <f ca="1"/>
        <v>0</v>
      </c>
      <c r="U209" s="1968">
        <f ca="1"/>
        <v>0</v>
      </c>
      <c r="V209" s="1968">
        <f ca="1"/>
        <v>0</v>
      </c>
      <c r="W209" s="1968">
        <f ca="1"/>
        <v>0</v>
      </c>
      <c r="X209" s="1968">
        <f ca="1"/>
        <v>0</v>
      </c>
      <c r="Y209" s="1986">
        <f ca="1"/>
        <v>0</v>
      </c>
    </row>
    <row r="210" spans="1:25">
      <c r="A210" s="1971" t="str">
        <v>9 meses antes</v>
      </c>
      <c r="B210" s="1967"/>
      <c r="C210" s="1967"/>
      <c r="D210" s="1967"/>
      <c r="E210" s="592">
        <f t="array" aca="1" ref="E210:P210" ca="1">B25:M25*Produccion!$E$13</f>
        <v>0</v>
      </c>
      <c r="F210" s="592">
        <f ca="1"/>
        <v>0</v>
      </c>
      <c r="G210" s="592">
        <f ca="1"/>
        <v>0</v>
      </c>
      <c r="H210" s="592">
        <f ca="1"/>
        <v>0</v>
      </c>
      <c r="I210" s="592">
        <f ca="1"/>
        <v>0</v>
      </c>
      <c r="J210" s="592">
        <f ca="1"/>
        <v>0</v>
      </c>
      <c r="K210" s="592">
        <f ca="1"/>
        <v>0</v>
      </c>
      <c r="L210" s="592">
        <f ca="1"/>
        <v>0</v>
      </c>
      <c r="M210" s="592">
        <f ca="1"/>
        <v>0</v>
      </c>
      <c r="N210" s="592">
        <f ca="1"/>
        <v>0</v>
      </c>
      <c r="O210" s="592">
        <f ca="1"/>
        <v>0</v>
      </c>
      <c r="P210" s="592">
        <f ca="1"/>
        <v>0</v>
      </c>
      <c r="Q210" s="1968">
        <f t="array" aca="1" ref="Q210:Q213" ca="1">'Distr CV 5'!E210:E213</f>
        <v>0</v>
      </c>
      <c r="R210" s="1968">
        <f ca="1"/>
        <v>0</v>
      </c>
      <c r="S210" s="1968">
        <f ca="1"/>
        <v>0</v>
      </c>
      <c r="T210" s="1968">
        <f ca="1"/>
        <v>0</v>
      </c>
      <c r="U210" s="1968">
        <f ca="1"/>
        <v>0</v>
      </c>
      <c r="V210" s="1968">
        <f ca="1"/>
        <v>0</v>
      </c>
      <c r="W210" s="1968">
        <f ca="1"/>
        <v>0</v>
      </c>
      <c r="X210" s="1968">
        <f ca="1"/>
        <v>0</v>
      </c>
      <c r="Y210" s="1986">
        <f ca="1"/>
        <v>0</v>
      </c>
    </row>
    <row r="211" spans="1:25">
      <c r="A211" s="1971" t="str">
        <v>10 meses antes</v>
      </c>
      <c r="B211" s="1967"/>
      <c r="C211" s="1967"/>
      <c r="D211" s="592">
        <f t="array" aca="1" ref="D211:O211" ca="1">B25:M25*Produccion!$D$13</f>
        <v>0</v>
      </c>
      <c r="E211" s="592">
        <f ca="1"/>
        <v>0</v>
      </c>
      <c r="F211" s="592">
        <f ca="1"/>
        <v>0</v>
      </c>
      <c r="G211" s="592">
        <f ca="1"/>
        <v>0</v>
      </c>
      <c r="H211" s="592">
        <f ca="1"/>
        <v>0</v>
      </c>
      <c r="I211" s="592">
        <f ca="1"/>
        <v>0</v>
      </c>
      <c r="J211" s="592">
        <f ca="1"/>
        <v>0</v>
      </c>
      <c r="K211" s="592">
        <f ca="1"/>
        <v>0</v>
      </c>
      <c r="L211" s="592">
        <f ca="1"/>
        <v>0</v>
      </c>
      <c r="M211" s="592">
        <f ca="1"/>
        <v>0</v>
      </c>
      <c r="N211" s="592">
        <f ca="1"/>
        <v>0</v>
      </c>
      <c r="O211" s="592">
        <f ca="1"/>
        <v>0</v>
      </c>
      <c r="P211" s="1968">
        <f t="array" aca="1" ref="P211:P213" ca="1">'Distr CV 5'!D211:D213</f>
        <v>0</v>
      </c>
      <c r="Q211" s="1968">
        <f ca="1"/>
        <v>0</v>
      </c>
      <c r="R211" s="1968">
        <f ca="1"/>
        <v>0</v>
      </c>
      <c r="S211" s="1968">
        <f ca="1"/>
        <v>0</v>
      </c>
      <c r="T211" s="1968">
        <f ca="1"/>
        <v>0</v>
      </c>
      <c r="U211" s="1968">
        <f ca="1"/>
        <v>0</v>
      </c>
      <c r="V211" s="1968">
        <f ca="1"/>
        <v>0</v>
      </c>
      <c r="W211" s="1968">
        <f ca="1"/>
        <v>0</v>
      </c>
      <c r="X211" s="1968">
        <f ca="1"/>
        <v>0</v>
      </c>
      <c r="Y211" s="1986">
        <f ca="1"/>
        <v>0</v>
      </c>
    </row>
    <row r="212" spans="1:25">
      <c r="A212" s="1971" t="str">
        <v>11 meses antes</v>
      </c>
      <c r="B212" s="1967"/>
      <c r="C212" s="592">
        <f t="array" aca="1" ref="C212:N212" ca="1">B25:M25*Produccion!$C$13</f>
        <v>0</v>
      </c>
      <c r="D212" s="592">
        <f ca="1"/>
        <v>0</v>
      </c>
      <c r="E212" s="592">
        <f ca="1"/>
        <v>0</v>
      </c>
      <c r="F212" s="592">
        <f ca="1"/>
        <v>0</v>
      </c>
      <c r="G212" s="592">
        <f ca="1"/>
        <v>0</v>
      </c>
      <c r="H212" s="592">
        <f ca="1"/>
        <v>0</v>
      </c>
      <c r="I212" s="592">
        <f ca="1"/>
        <v>0</v>
      </c>
      <c r="J212" s="592">
        <f ca="1"/>
        <v>0</v>
      </c>
      <c r="K212" s="592">
        <f ca="1"/>
        <v>0</v>
      </c>
      <c r="L212" s="592">
        <f ca="1"/>
        <v>0</v>
      </c>
      <c r="M212" s="592">
        <f ca="1"/>
        <v>0</v>
      </c>
      <c r="N212" s="592">
        <f ca="1"/>
        <v>0</v>
      </c>
      <c r="O212" s="1968">
        <f ca="1">'Distr CV 5'!C212</f>
        <v>0</v>
      </c>
      <c r="P212" s="1968">
        <f ca="1"/>
        <v>0</v>
      </c>
      <c r="Q212" s="1968">
        <f ca="1"/>
        <v>0</v>
      </c>
      <c r="R212" s="1968">
        <f ca="1"/>
        <v>0</v>
      </c>
      <c r="S212" s="1968">
        <f ca="1"/>
        <v>0</v>
      </c>
      <c r="T212" s="1968">
        <f ca="1"/>
        <v>0</v>
      </c>
      <c r="U212" s="1968">
        <f ca="1"/>
        <v>0</v>
      </c>
      <c r="V212" s="1968">
        <f ca="1"/>
        <v>0</v>
      </c>
      <c r="W212" s="1968">
        <f ca="1"/>
        <v>0</v>
      </c>
      <c r="X212" s="1968">
        <f ca="1"/>
        <v>0</v>
      </c>
      <c r="Y212" s="1986">
        <f ca="1"/>
        <v>0</v>
      </c>
    </row>
    <row r="213" spans="1:25" ht="13.5" thickBot="1">
      <c r="A213" s="1971" t="str">
        <v>12 meses antes</v>
      </c>
      <c r="B213" s="592">
        <f t="array" aca="1" ref="B213:M213" ca="1">B25:M25*Produccion!$B$13</f>
        <v>0</v>
      </c>
      <c r="C213" s="592">
        <f ca="1"/>
        <v>0</v>
      </c>
      <c r="D213" s="592">
        <f ca="1"/>
        <v>0</v>
      </c>
      <c r="E213" s="592">
        <f ca="1"/>
        <v>0</v>
      </c>
      <c r="F213" s="592">
        <f ca="1"/>
        <v>0</v>
      </c>
      <c r="G213" s="592">
        <f ca="1"/>
        <v>0</v>
      </c>
      <c r="H213" s="592">
        <f ca="1"/>
        <v>0</v>
      </c>
      <c r="I213" s="592">
        <f ca="1"/>
        <v>0</v>
      </c>
      <c r="J213" s="592">
        <f ca="1"/>
        <v>0</v>
      </c>
      <c r="K213" s="592">
        <f ca="1"/>
        <v>0</v>
      </c>
      <c r="L213" s="592">
        <f ca="1"/>
        <v>0</v>
      </c>
      <c r="M213" s="592">
        <f ca="1"/>
        <v>0</v>
      </c>
      <c r="N213" s="1967">
        <f ca="1">'Distr CV 5'!B213</f>
        <v>0</v>
      </c>
      <c r="O213" s="1968">
        <f ca="1">'Distr CV 5'!C213</f>
        <v>0</v>
      </c>
      <c r="P213" s="1968">
        <f ca="1"/>
        <v>0</v>
      </c>
      <c r="Q213" s="1968">
        <f ca="1"/>
        <v>0</v>
      </c>
      <c r="R213" s="1968">
        <f ca="1"/>
        <v>0</v>
      </c>
      <c r="S213" s="1968">
        <f ca="1"/>
        <v>0</v>
      </c>
      <c r="T213" s="1968">
        <f ca="1"/>
        <v>0</v>
      </c>
      <c r="U213" s="1968">
        <f ca="1"/>
        <v>0</v>
      </c>
      <c r="V213" s="1968">
        <f ca="1"/>
        <v>0</v>
      </c>
      <c r="W213" s="1968">
        <f ca="1"/>
        <v>0</v>
      </c>
      <c r="X213" s="1968">
        <f ca="1"/>
        <v>0</v>
      </c>
      <c r="Y213" s="1986">
        <f ca="1"/>
        <v>0</v>
      </c>
    </row>
    <row r="214" spans="1:25" ht="13.5" thickBot="1">
      <c r="A214" s="103" t="str">
        <f>"Totales CV "&amp;A$13</f>
        <v xml:space="preserve">Totales CV </v>
      </c>
      <c r="B214" s="596">
        <f t="shared" ref="B214:Y214" ca="1" si="15">SUM(B201:B213)</f>
        <v>0</v>
      </c>
      <c r="C214" s="596">
        <f t="shared" ca="1" si="15"/>
        <v>0</v>
      </c>
      <c r="D214" s="596">
        <f t="shared" ca="1" si="15"/>
        <v>0</v>
      </c>
      <c r="E214" s="596">
        <f t="shared" ca="1" si="15"/>
        <v>0</v>
      </c>
      <c r="F214" s="596">
        <f t="shared" ca="1" si="15"/>
        <v>0</v>
      </c>
      <c r="G214" s="596">
        <f t="shared" ca="1" si="15"/>
        <v>0</v>
      </c>
      <c r="H214" s="596">
        <f t="shared" ca="1" si="15"/>
        <v>0</v>
      </c>
      <c r="I214" s="596">
        <f t="shared" ca="1" si="15"/>
        <v>0</v>
      </c>
      <c r="J214" s="596">
        <f t="shared" ca="1" si="15"/>
        <v>0</v>
      </c>
      <c r="K214" s="596">
        <f t="shared" ca="1" si="15"/>
        <v>0</v>
      </c>
      <c r="L214" s="596">
        <f t="shared" ca="1" si="15"/>
        <v>0</v>
      </c>
      <c r="M214" s="596">
        <f t="shared" ca="1" si="15"/>
        <v>0</v>
      </c>
      <c r="N214" s="596">
        <f t="shared" ca="1" si="15"/>
        <v>0</v>
      </c>
      <c r="O214" s="596">
        <f t="shared" ca="1" si="15"/>
        <v>0</v>
      </c>
      <c r="P214" s="596">
        <f t="shared" ca="1" si="15"/>
        <v>0</v>
      </c>
      <c r="Q214" s="596">
        <f t="shared" ca="1" si="15"/>
        <v>0</v>
      </c>
      <c r="R214" s="596">
        <f t="shared" ca="1" si="15"/>
        <v>0</v>
      </c>
      <c r="S214" s="596">
        <f t="shared" ca="1" si="15"/>
        <v>0</v>
      </c>
      <c r="T214" s="596">
        <f t="shared" ca="1" si="15"/>
        <v>0</v>
      </c>
      <c r="U214" s="596">
        <f t="shared" ca="1" si="15"/>
        <v>0</v>
      </c>
      <c r="V214" s="596">
        <f t="shared" ca="1" si="15"/>
        <v>0</v>
      </c>
      <c r="W214" s="596">
        <f t="shared" ca="1" si="15"/>
        <v>0</v>
      </c>
      <c r="X214" s="596">
        <f t="shared" ca="1" si="15"/>
        <v>0</v>
      </c>
      <c r="Y214" s="1984">
        <f t="shared" ca="1" si="15"/>
        <v>0</v>
      </c>
    </row>
    <row r="215" spans="1:25" ht="13.5" thickBot="1">
      <c r="A215" s="103" t="str">
        <f>'Datos Básicos'!A28&amp;" sop. CV "&amp;$A$13</f>
        <v xml:space="preserve">IVA sop. CV </v>
      </c>
      <c r="B215" s="596">
        <f t="array" aca="1" ref="B215:Y215" ca="1">$K$199*B214:Y214</f>
        <v>0</v>
      </c>
      <c r="C215" s="596">
        <f ca="1"/>
        <v>0</v>
      </c>
      <c r="D215" s="596">
        <f ca="1"/>
        <v>0</v>
      </c>
      <c r="E215" s="596">
        <f ca="1"/>
        <v>0</v>
      </c>
      <c r="F215" s="596">
        <f ca="1"/>
        <v>0</v>
      </c>
      <c r="G215" s="596">
        <f ca="1"/>
        <v>0</v>
      </c>
      <c r="H215" s="596">
        <f ca="1"/>
        <v>0</v>
      </c>
      <c r="I215" s="596">
        <f ca="1"/>
        <v>0</v>
      </c>
      <c r="J215" s="596">
        <f ca="1"/>
        <v>0</v>
      </c>
      <c r="K215" s="596">
        <f ca="1"/>
        <v>0</v>
      </c>
      <c r="L215" s="596">
        <f ca="1"/>
        <v>0</v>
      </c>
      <c r="M215" s="596">
        <f ca="1"/>
        <v>0</v>
      </c>
      <c r="N215" s="596">
        <f ca="1"/>
        <v>0</v>
      </c>
      <c r="O215" s="596">
        <f ca="1"/>
        <v>0</v>
      </c>
      <c r="P215" s="596">
        <f ca="1"/>
        <v>0</v>
      </c>
      <c r="Q215" s="596">
        <f ca="1"/>
        <v>0</v>
      </c>
      <c r="R215" s="596">
        <f ca="1"/>
        <v>0</v>
      </c>
      <c r="S215" s="596">
        <f ca="1"/>
        <v>0</v>
      </c>
      <c r="T215" s="596">
        <f ca="1"/>
        <v>0</v>
      </c>
      <c r="U215" s="596">
        <f ca="1"/>
        <v>0</v>
      </c>
      <c r="V215" s="596">
        <f ca="1"/>
        <v>0</v>
      </c>
      <c r="W215" s="596">
        <f ca="1"/>
        <v>0</v>
      </c>
      <c r="X215" s="596">
        <f ca="1"/>
        <v>0</v>
      </c>
      <c r="Y215" s="1984">
        <f ca="1"/>
        <v>0</v>
      </c>
    </row>
    <row r="217" spans="1:25" ht="18.75" thickBot="1">
      <c r="A217" s="1969" t="str">
        <f>'Distr CV 0'!A217</f>
        <v xml:space="preserve">Compras / costes de producción por meses de </v>
      </c>
      <c r="I217" s="1969" t="str">
        <f>I$18</f>
        <v>IVA NO incluido</v>
      </c>
      <c r="K217" s="1981">
        <f>Parametros!$F$30</f>
        <v>0.21</v>
      </c>
    </row>
    <row r="218" spans="1:25" ht="33" customHeight="1" thickBot="1">
      <c r="A218" s="446" t="str">
        <f>A$110</f>
        <v>mes de compra / coste</v>
      </c>
      <c r="B218" s="1987" t="str">
        <f t="array" ref="B218:Y218">B$71:Y$71</f>
        <v>enero 
2029</v>
      </c>
      <c r="C218" s="1987" t="str">
        <v>febrero 
2029</v>
      </c>
      <c r="D218" s="1987" t="str">
        <v>marzo 
2029</v>
      </c>
      <c r="E218" s="1987" t="str">
        <v>abril 
2029</v>
      </c>
      <c r="F218" s="1987" t="str">
        <v>mayo 
2029</v>
      </c>
      <c r="G218" s="1987" t="str">
        <v>junio 
2029</v>
      </c>
      <c r="H218" s="1987" t="str">
        <v>julio 
2029</v>
      </c>
      <c r="I218" s="1987" t="str">
        <v>agosto 
2029</v>
      </c>
      <c r="J218" s="1987" t="str">
        <v>septiembre 
2029</v>
      </c>
      <c r="K218" s="1987" t="str">
        <v>octubre 
2029</v>
      </c>
      <c r="L218" s="1987" t="str">
        <v>noviembre 
2029</v>
      </c>
      <c r="M218" s="1987" t="str">
        <v>diciembre 
2029</v>
      </c>
      <c r="N218" s="2703" t="str">
        <v>enero 
2030</v>
      </c>
      <c r="O218" s="2704" t="str">
        <v>febrero 
2030</v>
      </c>
      <c r="P218" s="2704" t="str">
        <v>marzo 
2030</v>
      </c>
      <c r="Q218" s="2704" t="str">
        <v>abril 
2030</v>
      </c>
      <c r="R218" s="2704" t="str">
        <v>mayo 
2030</v>
      </c>
      <c r="S218" s="2704" t="str">
        <v>junio 
2030</v>
      </c>
      <c r="T218" s="2704" t="str">
        <v>julio 
2030</v>
      </c>
      <c r="U218" s="2704" t="str">
        <v>agosto 
2030</v>
      </c>
      <c r="V218" s="2704" t="str">
        <v>septiembre 
2030</v>
      </c>
      <c r="W218" s="2704" t="str">
        <v>octubre 
2030</v>
      </c>
      <c r="X218" s="2704" t="str">
        <v>noviembre 
2030</v>
      </c>
      <c r="Y218" s="2705" t="str">
        <v>diciembre 
2030</v>
      </c>
    </row>
    <row r="219" spans="1:25">
      <c r="A219" s="1970" t="str">
        <f t="array" ref="A219:A231">A$72:A$84</f>
        <v>mismo mes</v>
      </c>
      <c r="B219" s="1967"/>
      <c r="C219" s="1967"/>
      <c r="D219" s="1967"/>
      <c r="E219" s="1967"/>
      <c r="F219" s="1967"/>
      <c r="G219" s="1967"/>
      <c r="H219" s="1967"/>
      <c r="I219" s="1967"/>
      <c r="J219" s="1967"/>
      <c r="K219" s="1967"/>
      <c r="L219" s="1967"/>
      <c r="M219" s="1967"/>
      <c r="N219" s="592">
        <f t="array" aca="1" ref="N219:Y219" ca="1">B26:M26*Produccion!$N$14</f>
        <v>0</v>
      </c>
      <c r="O219" s="592">
        <f ca="1"/>
        <v>0</v>
      </c>
      <c r="P219" s="592">
        <f ca="1"/>
        <v>0</v>
      </c>
      <c r="Q219" s="592">
        <f ca="1"/>
        <v>0</v>
      </c>
      <c r="R219" s="592">
        <f ca="1"/>
        <v>0</v>
      </c>
      <c r="S219" s="592">
        <f ca="1"/>
        <v>0</v>
      </c>
      <c r="T219" s="592">
        <f ca="1"/>
        <v>0</v>
      </c>
      <c r="U219" s="592">
        <f ca="1"/>
        <v>0</v>
      </c>
      <c r="V219" s="592">
        <f ca="1"/>
        <v>0</v>
      </c>
      <c r="W219" s="592">
        <f ca="1"/>
        <v>0</v>
      </c>
      <c r="X219" s="592">
        <f ca="1"/>
        <v>0</v>
      </c>
      <c r="Y219" s="1982">
        <f ca="1"/>
        <v>0</v>
      </c>
    </row>
    <row r="220" spans="1:25">
      <c r="A220" s="1971" t="str">
        <v>1 mes antes</v>
      </c>
      <c r="B220" s="1967"/>
      <c r="C220" s="1967"/>
      <c r="D220" s="1967"/>
      <c r="E220" s="1967"/>
      <c r="F220" s="1967"/>
      <c r="G220" s="1967"/>
      <c r="H220" s="1967"/>
      <c r="I220" s="1967"/>
      <c r="J220" s="1967"/>
      <c r="K220" s="1967"/>
      <c r="L220" s="1967"/>
      <c r="M220" s="592">
        <f t="array" aca="1" ref="M220:X220" ca="1">B26:M26*Produccion!$M$14</f>
        <v>0</v>
      </c>
      <c r="N220" s="592">
        <f ca="1"/>
        <v>0</v>
      </c>
      <c r="O220" s="592">
        <f ca="1"/>
        <v>0</v>
      </c>
      <c r="P220" s="592">
        <f ca="1"/>
        <v>0</v>
      </c>
      <c r="Q220" s="592">
        <f ca="1"/>
        <v>0</v>
      </c>
      <c r="R220" s="592">
        <f ca="1"/>
        <v>0</v>
      </c>
      <c r="S220" s="592">
        <f ca="1"/>
        <v>0</v>
      </c>
      <c r="T220" s="592">
        <f ca="1"/>
        <v>0</v>
      </c>
      <c r="U220" s="592">
        <f ca="1"/>
        <v>0</v>
      </c>
      <c r="V220" s="592">
        <f ca="1"/>
        <v>0</v>
      </c>
      <c r="W220" s="592">
        <f ca="1"/>
        <v>0</v>
      </c>
      <c r="X220" s="592">
        <f ca="1"/>
        <v>0</v>
      </c>
      <c r="Y220" s="1983">
        <f t="array" aca="1" ref="Y220:Y231" ca="1">'Distr CV 5'!M220:M231</f>
        <v>0</v>
      </c>
    </row>
    <row r="221" spans="1:25">
      <c r="A221" s="1971" t="str">
        <v>2 meses antes</v>
      </c>
      <c r="B221" s="1967"/>
      <c r="C221" s="1967"/>
      <c r="D221" s="1967"/>
      <c r="E221" s="1967"/>
      <c r="F221" s="1967"/>
      <c r="G221" s="1967"/>
      <c r="H221" s="1967"/>
      <c r="I221" s="1967"/>
      <c r="J221" s="1967"/>
      <c r="K221" s="1967"/>
      <c r="L221" s="592">
        <f t="array" aca="1" ref="L221:W221" ca="1">B26:M26*Produccion!$L$14</f>
        <v>0</v>
      </c>
      <c r="M221" s="592">
        <f ca="1"/>
        <v>0</v>
      </c>
      <c r="N221" s="592">
        <f ca="1"/>
        <v>0</v>
      </c>
      <c r="O221" s="592">
        <f ca="1"/>
        <v>0</v>
      </c>
      <c r="P221" s="592">
        <f ca="1"/>
        <v>0</v>
      </c>
      <c r="Q221" s="592">
        <f ca="1"/>
        <v>0</v>
      </c>
      <c r="R221" s="592">
        <f ca="1"/>
        <v>0</v>
      </c>
      <c r="S221" s="592">
        <f ca="1"/>
        <v>0</v>
      </c>
      <c r="T221" s="592">
        <f ca="1"/>
        <v>0</v>
      </c>
      <c r="U221" s="592">
        <f ca="1"/>
        <v>0</v>
      </c>
      <c r="V221" s="592">
        <f ca="1"/>
        <v>0</v>
      </c>
      <c r="W221" s="592">
        <f ca="1"/>
        <v>0</v>
      </c>
      <c r="X221" s="1964">
        <f t="array" aca="1" ref="X221:X231" ca="1">'Distr CV 5'!L221:L231</f>
        <v>0</v>
      </c>
      <c r="Y221" s="1983">
        <f ca="1"/>
        <v>0</v>
      </c>
    </row>
    <row r="222" spans="1:25">
      <c r="A222" s="1971" t="str">
        <v>3 meses antes</v>
      </c>
      <c r="B222" s="1967"/>
      <c r="C222" s="1967"/>
      <c r="D222" s="1967"/>
      <c r="E222" s="1967"/>
      <c r="F222" s="1967"/>
      <c r="G222" s="1967"/>
      <c r="H222" s="1967"/>
      <c r="I222" s="1967"/>
      <c r="J222" s="1967"/>
      <c r="K222" s="592">
        <f t="array" aca="1" ref="K222:V222" ca="1">B26:M26*Produccion!$K$14</f>
        <v>0</v>
      </c>
      <c r="L222" s="592">
        <f ca="1"/>
        <v>0</v>
      </c>
      <c r="M222" s="592">
        <f ca="1"/>
        <v>0</v>
      </c>
      <c r="N222" s="592">
        <f ca="1"/>
        <v>0</v>
      </c>
      <c r="O222" s="592">
        <f ca="1"/>
        <v>0</v>
      </c>
      <c r="P222" s="592">
        <f ca="1"/>
        <v>0</v>
      </c>
      <c r="Q222" s="592">
        <f ca="1"/>
        <v>0</v>
      </c>
      <c r="R222" s="592">
        <f ca="1"/>
        <v>0</v>
      </c>
      <c r="S222" s="592">
        <f ca="1"/>
        <v>0</v>
      </c>
      <c r="T222" s="592">
        <f ca="1"/>
        <v>0</v>
      </c>
      <c r="U222" s="592">
        <f ca="1"/>
        <v>0</v>
      </c>
      <c r="V222" s="592">
        <f ca="1"/>
        <v>0</v>
      </c>
      <c r="W222" s="1964">
        <f t="array" aca="1" ref="W222:W231" ca="1">'Distr CV 5'!K222:K231</f>
        <v>0</v>
      </c>
      <c r="X222" s="1964">
        <f ca="1"/>
        <v>0</v>
      </c>
      <c r="Y222" s="1983">
        <f ca="1"/>
        <v>0</v>
      </c>
    </row>
    <row r="223" spans="1:25">
      <c r="A223" s="1971" t="str">
        <v>4 meses antes</v>
      </c>
      <c r="B223" s="1967"/>
      <c r="C223" s="1967"/>
      <c r="D223" s="1967"/>
      <c r="E223" s="1967"/>
      <c r="F223" s="1967"/>
      <c r="G223" s="1967"/>
      <c r="H223" s="1967"/>
      <c r="I223" s="1967"/>
      <c r="J223" s="592">
        <f t="array" aca="1" ref="J223:U223" ca="1">B26:M26*Produccion!$J$14</f>
        <v>0</v>
      </c>
      <c r="K223" s="592">
        <f ca="1"/>
        <v>0</v>
      </c>
      <c r="L223" s="592">
        <f ca="1"/>
        <v>0</v>
      </c>
      <c r="M223" s="592">
        <f ca="1"/>
        <v>0</v>
      </c>
      <c r="N223" s="592">
        <f ca="1"/>
        <v>0</v>
      </c>
      <c r="O223" s="592">
        <f ca="1"/>
        <v>0</v>
      </c>
      <c r="P223" s="592">
        <f ca="1"/>
        <v>0</v>
      </c>
      <c r="Q223" s="592">
        <f ca="1"/>
        <v>0</v>
      </c>
      <c r="R223" s="592">
        <f ca="1"/>
        <v>0</v>
      </c>
      <c r="S223" s="592">
        <f ca="1"/>
        <v>0</v>
      </c>
      <c r="T223" s="592">
        <f ca="1"/>
        <v>0</v>
      </c>
      <c r="U223" s="592">
        <f ca="1"/>
        <v>0</v>
      </c>
      <c r="V223" s="1964">
        <f t="array" aca="1" ref="V223:V231" ca="1">'Distr CV 5'!J223:J231</f>
        <v>0</v>
      </c>
      <c r="W223" s="1964">
        <f ca="1"/>
        <v>0</v>
      </c>
      <c r="X223" s="1964">
        <f ca="1"/>
        <v>0</v>
      </c>
      <c r="Y223" s="1983">
        <f ca="1"/>
        <v>0</v>
      </c>
    </row>
    <row r="224" spans="1:25">
      <c r="A224" s="1971" t="str">
        <v>5 meses antes</v>
      </c>
      <c r="B224" s="1967"/>
      <c r="C224" s="1967"/>
      <c r="D224" s="1967"/>
      <c r="E224" s="1967"/>
      <c r="F224" s="1967"/>
      <c r="G224" s="1967"/>
      <c r="H224" s="1967"/>
      <c r="I224" s="592">
        <f t="array" aca="1" ref="I224:T224" ca="1">B26:M26*Produccion!$I$14</f>
        <v>0</v>
      </c>
      <c r="J224" s="592">
        <f ca="1"/>
        <v>0</v>
      </c>
      <c r="K224" s="592">
        <f ca="1"/>
        <v>0</v>
      </c>
      <c r="L224" s="592">
        <f ca="1"/>
        <v>0</v>
      </c>
      <c r="M224" s="592">
        <f ca="1"/>
        <v>0</v>
      </c>
      <c r="N224" s="592">
        <f ca="1"/>
        <v>0</v>
      </c>
      <c r="O224" s="592">
        <f ca="1"/>
        <v>0</v>
      </c>
      <c r="P224" s="592">
        <f ca="1"/>
        <v>0</v>
      </c>
      <c r="Q224" s="592">
        <f ca="1"/>
        <v>0</v>
      </c>
      <c r="R224" s="592">
        <f ca="1"/>
        <v>0</v>
      </c>
      <c r="S224" s="592">
        <f ca="1"/>
        <v>0</v>
      </c>
      <c r="T224" s="592">
        <f ca="1"/>
        <v>0</v>
      </c>
      <c r="U224" s="1964">
        <f t="array" aca="1" ref="U224:U231" ca="1">'Distr CV 5'!I224:I231</f>
        <v>0</v>
      </c>
      <c r="V224" s="1964">
        <f ca="1"/>
        <v>0</v>
      </c>
      <c r="W224" s="1964">
        <f ca="1"/>
        <v>0</v>
      </c>
      <c r="X224" s="1964">
        <f ca="1"/>
        <v>0</v>
      </c>
      <c r="Y224" s="1983">
        <f ca="1"/>
        <v>0</v>
      </c>
    </row>
    <row r="225" spans="1:25">
      <c r="A225" s="1971" t="str">
        <v>6 meses antes</v>
      </c>
      <c r="B225" s="1967"/>
      <c r="C225" s="1967"/>
      <c r="D225" s="1967"/>
      <c r="E225" s="1967"/>
      <c r="F225" s="1967"/>
      <c r="G225" s="1967"/>
      <c r="H225" s="592">
        <f t="array" aca="1" ref="H225:S225" ca="1">B26:M26*Produccion!$H$14</f>
        <v>0</v>
      </c>
      <c r="I225" s="592">
        <f ca="1"/>
        <v>0</v>
      </c>
      <c r="J225" s="592">
        <f ca="1"/>
        <v>0</v>
      </c>
      <c r="K225" s="592">
        <f ca="1"/>
        <v>0</v>
      </c>
      <c r="L225" s="592">
        <f ca="1"/>
        <v>0</v>
      </c>
      <c r="M225" s="592">
        <f ca="1"/>
        <v>0</v>
      </c>
      <c r="N225" s="592">
        <f ca="1"/>
        <v>0</v>
      </c>
      <c r="O225" s="592">
        <f ca="1"/>
        <v>0</v>
      </c>
      <c r="P225" s="592">
        <f ca="1"/>
        <v>0</v>
      </c>
      <c r="Q225" s="592">
        <f ca="1"/>
        <v>0</v>
      </c>
      <c r="R225" s="592">
        <f ca="1"/>
        <v>0</v>
      </c>
      <c r="S225" s="592">
        <f ca="1"/>
        <v>0</v>
      </c>
      <c r="T225" s="1964">
        <f t="array" aca="1" ref="T225:T231" ca="1">'Distr CV 5'!H225:H231</f>
        <v>0</v>
      </c>
      <c r="U225" s="1964">
        <f ca="1"/>
        <v>0</v>
      </c>
      <c r="V225" s="1964">
        <f ca="1"/>
        <v>0</v>
      </c>
      <c r="W225" s="1964">
        <f ca="1"/>
        <v>0</v>
      </c>
      <c r="X225" s="1964">
        <f ca="1"/>
        <v>0</v>
      </c>
      <c r="Y225" s="1983">
        <f ca="1"/>
        <v>0</v>
      </c>
    </row>
    <row r="226" spans="1:25">
      <c r="A226" s="1971" t="str">
        <v>7 meses antes</v>
      </c>
      <c r="B226" s="1967"/>
      <c r="C226" s="1967"/>
      <c r="D226" s="1967"/>
      <c r="E226" s="1967"/>
      <c r="F226" s="1967"/>
      <c r="G226" s="592">
        <f t="array" aca="1" ref="G226:R226" ca="1">B26:M26*Produccion!$G$14</f>
        <v>0</v>
      </c>
      <c r="H226" s="592">
        <f ca="1"/>
        <v>0</v>
      </c>
      <c r="I226" s="592">
        <f ca="1"/>
        <v>0</v>
      </c>
      <c r="J226" s="592">
        <f ca="1"/>
        <v>0</v>
      </c>
      <c r="K226" s="592">
        <f ca="1"/>
        <v>0</v>
      </c>
      <c r="L226" s="592">
        <f ca="1"/>
        <v>0</v>
      </c>
      <c r="M226" s="592">
        <f ca="1"/>
        <v>0</v>
      </c>
      <c r="N226" s="592">
        <f ca="1"/>
        <v>0</v>
      </c>
      <c r="O226" s="592">
        <f ca="1"/>
        <v>0</v>
      </c>
      <c r="P226" s="592">
        <f ca="1"/>
        <v>0</v>
      </c>
      <c r="Q226" s="592">
        <f ca="1"/>
        <v>0</v>
      </c>
      <c r="R226" s="592">
        <f ca="1"/>
        <v>0</v>
      </c>
      <c r="S226" s="1968">
        <f t="array" aca="1" ref="S226:S231" ca="1">'Distr CV 5'!G226:G231</f>
        <v>0</v>
      </c>
      <c r="T226" s="1968">
        <f ca="1"/>
        <v>0</v>
      </c>
      <c r="U226" s="1968">
        <f ca="1"/>
        <v>0</v>
      </c>
      <c r="V226" s="1968">
        <f ca="1"/>
        <v>0</v>
      </c>
      <c r="W226" s="1968">
        <f ca="1"/>
        <v>0</v>
      </c>
      <c r="X226" s="1968">
        <f ca="1"/>
        <v>0</v>
      </c>
      <c r="Y226" s="1986">
        <f ca="1"/>
        <v>0</v>
      </c>
    </row>
    <row r="227" spans="1:25">
      <c r="A227" s="1971" t="str">
        <v>8 meses antes</v>
      </c>
      <c r="B227" s="1967"/>
      <c r="C227" s="1967"/>
      <c r="D227" s="1967"/>
      <c r="E227" s="1967"/>
      <c r="F227" s="592">
        <f t="array" aca="1" ref="F227:Q227" ca="1">B26:M26*Produccion!$F$14</f>
        <v>0</v>
      </c>
      <c r="G227" s="592">
        <f ca="1"/>
        <v>0</v>
      </c>
      <c r="H227" s="592">
        <f ca="1"/>
        <v>0</v>
      </c>
      <c r="I227" s="592">
        <f ca="1"/>
        <v>0</v>
      </c>
      <c r="J227" s="592">
        <f ca="1"/>
        <v>0</v>
      </c>
      <c r="K227" s="592">
        <f ca="1"/>
        <v>0</v>
      </c>
      <c r="L227" s="592">
        <f ca="1"/>
        <v>0</v>
      </c>
      <c r="M227" s="592">
        <f ca="1"/>
        <v>0</v>
      </c>
      <c r="N227" s="592">
        <f ca="1"/>
        <v>0</v>
      </c>
      <c r="O227" s="592">
        <f ca="1"/>
        <v>0</v>
      </c>
      <c r="P227" s="592">
        <f ca="1"/>
        <v>0</v>
      </c>
      <c r="Q227" s="592">
        <f ca="1"/>
        <v>0</v>
      </c>
      <c r="R227" s="1968">
        <f t="array" aca="1" ref="R227:R231" ca="1">'Distr CV 5'!F227:F231</f>
        <v>0</v>
      </c>
      <c r="S227" s="1968">
        <f ca="1"/>
        <v>0</v>
      </c>
      <c r="T227" s="1968">
        <f ca="1"/>
        <v>0</v>
      </c>
      <c r="U227" s="1968">
        <f ca="1"/>
        <v>0</v>
      </c>
      <c r="V227" s="1968">
        <f ca="1"/>
        <v>0</v>
      </c>
      <c r="W227" s="1968">
        <f ca="1"/>
        <v>0</v>
      </c>
      <c r="X227" s="1968">
        <f ca="1"/>
        <v>0</v>
      </c>
      <c r="Y227" s="1986">
        <f ca="1"/>
        <v>0</v>
      </c>
    </row>
    <row r="228" spans="1:25">
      <c r="A228" s="1971" t="str">
        <v>9 meses antes</v>
      </c>
      <c r="B228" s="1967"/>
      <c r="C228" s="1967"/>
      <c r="D228" s="1967"/>
      <c r="E228" s="592">
        <f t="array" aca="1" ref="E228:P228" ca="1">B26:M26*Produccion!$E$14</f>
        <v>0</v>
      </c>
      <c r="F228" s="592">
        <f ca="1"/>
        <v>0</v>
      </c>
      <c r="G228" s="592">
        <f ca="1"/>
        <v>0</v>
      </c>
      <c r="H228" s="592">
        <f ca="1"/>
        <v>0</v>
      </c>
      <c r="I228" s="592">
        <f ca="1"/>
        <v>0</v>
      </c>
      <c r="J228" s="592">
        <f ca="1"/>
        <v>0</v>
      </c>
      <c r="K228" s="592">
        <f ca="1"/>
        <v>0</v>
      </c>
      <c r="L228" s="592">
        <f ca="1"/>
        <v>0</v>
      </c>
      <c r="M228" s="592">
        <f ca="1"/>
        <v>0</v>
      </c>
      <c r="N228" s="592">
        <f ca="1"/>
        <v>0</v>
      </c>
      <c r="O228" s="592">
        <f ca="1"/>
        <v>0</v>
      </c>
      <c r="P228" s="592">
        <f ca="1"/>
        <v>0</v>
      </c>
      <c r="Q228" s="1968">
        <f t="array" aca="1" ref="Q228:Q231" ca="1">'Distr CV 5'!E228:E231</f>
        <v>0</v>
      </c>
      <c r="R228" s="1968">
        <f ca="1"/>
        <v>0</v>
      </c>
      <c r="S228" s="1968">
        <f ca="1"/>
        <v>0</v>
      </c>
      <c r="T228" s="1968">
        <f ca="1"/>
        <v>0</v>
      </c>
      <c r="U228" s="1968">
        <f ca="1"/>
        <v>0</v>
      </c>
      <c r="V228" s="1968">
        <f ca="1"/>
        <v>0</v>
      </c>
      <c r="W228" s="1968">
        <f ca="1"/>
        <v>0</v>
      </c>
      <c r="X228" s="1968">
        <f ca="1"/>
        <v>0</v>
      </c>
      <c r="Y228" s="1986">
        <f ca="1"/>
        <v>0</v>
      </c>
    </row>
    <row r="229" spans="1:25">
      <c r="A229" s="1971" t="str">
        <v>10 meses antes</v>
      </c>
      <c r="B229" s="1967"/>
      <c r="C229" s="1967"/>
      <c r="D229" s="592">
        <f t="array" aca="1" ref="D229:O229" ca="1">B26:M26*Produccion!$D$14</f>
        <v>0</v>
      </c>
      <c r="E229" s="592">
        <f ca="1"/>
        <v>0</v>
      </c>
      <c r="F229" s="592">
        <f ca="1"/>
        <v>0</v>
      </c>
      <c r="G229" s="592">
        <f ca="1"/>
        <v>0</v>
      </c>
      <c r="H229" s="592">
        <f ca="1"/>
        <v>0</v>
      </c>
      <c r="I229" s="592">
        <f ca="1"/>
        <v>0</v>
      </c>
      <c r="J229" s="592">
        <f ca="1"/>
        <v>0</v>
      </c>
      <c r="K229" s="592">
        <f ca="1"/>
        <v>0</v>
      </c>
      <c r="L229" s="592">
        <f ca="1"/>
        <v>0</v>
      </c>
      <c r="M229" s="592">
        <f ca="1"/>
        <v>0</v>
      </c>
      <c r="N229" s="592">
        <f ca="1"/>
        <v>0</v>
      </c>
      <c r="O229" s="592">
        <f ca="1"/>
        <v>0</v>
      </c>
      <c r="P229" s="1968">
        <f t="array" aca="1" ref="P229:P231" ca="1">'Distr CV 5'!D229:D231</f>
        <v>0</v>
      </c>
      <c r="Q229" s="1968">
        <f ca="1"/>
        <v>0</v>
      </c>
      <c r="R229" s="1968">
        <f ca="1"/>
        <v>0</v>
      </c>
      <c r="S229" s="1968">
        <f ca="1"/>
        <v>0</v>
      </c>
      <c r="T229" s="1968">
        <f ca="1"/>
        <v>0</v>
      </c>
      <c r="U229" s="1968">
        <f ca="1"/>
        <v>0</v>
      </c>
      <c r="V229" s="1968">
        <f ca="1"/>
        <v>0</v>
      </c>
      <c r="W229" s="1968">
        <f ca="1"/>
        <v>0</v>
      </c>
      <c r="X229" s="1968">
        <f ca="1"/>
        <v>0</v>
      </c>
      <c r="Y229" s="1986">
        <f ca="1"/>
        <v>0</v>
      </c>
    </row>
    <row r="230" spans="1:25">
      <c r="A230" s="1971" t="str">
        <v>11 meses antes</v>
      </c>
      <c r="B230" s="1967"/>
      <c r="C230" s="592">
        <f t="array" aca="1" ref="C230:N230" ca="1">B26:M26*Produccion!$C$14</f>
        <v>0</v>
      </c>
      <c r="D230" s="592">
        <f ca="1"/>
        <v>0</v>
      </c>
      <c r="E230" s="592">
        <f ca="1"/>
        <v>0</v>
      </c>
      <c r="F230" s="592">
        <f ca="1"/>
        <v>0</v>
      </c>
      <c r="G230" s="592">
        <f ca="1"/>
        <v>0</v>
      </c>
      <c r="H230" s="592">
        <f ca="1"/>
        <v>0</v>
      </c>
      <c r="I230" s="592">
        <f ca="1"/>
        <v>0</v>
      </c>
      <c r="J230" s="592">
        <f ca="1"/>
        <v>0</v>
      </c>
      <c r="K230" s="592">
        <f ca="1"/>
        <v>0</v>
      </c>
      <c r="L230" s="592">
        <f ca="1"/>
        <v>0</v>
      </c>
      <c r="M230" s="592">
        <f ca="1"/>
        <v>0</v>
      </c>
      <c r="N230" s="592">
        <f ca="1"/>
        <v>0</v>
      </c>
      <c r="O230" s="1968">
        <f ca="1">'Distr CV 5'!C230</f>
        <v>0</v>
      </c>
      <c r="P230" s="1968">
        <f ca="1"/>
        <v>0</v>
      </c>
      <c r="Q230" s="1968">
        <f ca="1"/>
        <v>0</v>
      </c>
      <c r="R230" s="1968">
        <f ca="1"/>
        <v>0</v>
      </c>
      <c r="S230" s="1968">
        <f ca="1"/>
        <v>0</v>
      </c>
      <c r="T230" s="1968">
        <f ca="1"/>
        <v>0</v>
      </c>
      <c r="U230" s="1968">
        <f ca="1"/>
        <v>0</v>
      </c>
      <c r="V230" s="1968">
        <f ca="1"/>
        <v>0</v>
      </c>
      <c r="W230" s="1968">
        <f ca="1"/>
        <v>0</v>
      </c>
      <c r="X230" s="1968">
        <f ca="1"/>
        <v>0</v>
      </c>
      <c r="Y230" s="1986">
        <f ca="1"/>
        <v>0</v>
      </c>
    </row>
    <row r="231" spans="1:25" ht="13.5" thickBot="1">
      <c r="A231" s="1971" t="str">
        <v>12 meses antes</v>
      </c>
      <c r="B231" s="592">
        <f t="array" aca="1" ref="B231:M231" ca="1">B26:M26*Produccion!$B$14</f>
        <v>0</v>
      </c>
      <c r="C231" s="592">
        <f ca="1"/>
        <v>0</v>
      </c>
      <c r="D231" s="592">
        <f ca="1"/>
        <v>0</v>
      </c>
      <c r="E231" s="592">
        <f ca="1"/>
        <v>0</v>
      </c>
      <c r="F231" s="592">
        <f ca="1"/>
        <v>0</v>
      </c>
      <c r="G231" s="592">
        <f ca="1"/>
        <v>0</v>
      </c>
      <c r="H231" s="592">
        <f ca="1"/>
        <v>0</v>
      </c>
      <c r="I231" s="592">
        <f ca="1"/>
        <v>0</v>
      </c>
      <c r="J231" s="592">
        <f ca="1"/>
        <v>0</v>
      </c>
      <c r="K231" s="592">
        <f ca="1"/>
        <v>0</v>
      </c>
      <c r="L231" s="592">
        <f ca="1"/>
        <v>0</v>
      </c>
      <c r="M231" s="592">
        <f ca="1"/>
        <v>0</v>
      </c>
      <c r="N231" s="1967">
        <f ca="1">'Distr CV 5'!B231</f>
        <v>0</v>
      </c>
      <c r="O231" s="1968">
        <f ca="1">'Distr CV 5'!C231</f>
        <v>0</v>
      </c>
      <c r="P231" s="1968">
        <f ca="1"/>
        <v>0</v>
      </c>
      <c r="Q231" s="1968">
        <f ca="1"/>
        <v>0</v>
      </c>
      <c r="R231" s="1968">
        <f ca="1"/>
        <v>0</v>
      </c>
      <c r="S231" s="1968">
        <f ca="1"/>
        <v>0</v>
      </c>
      <c r="T231" s="1968">
        <f ca="1"/>
        <v>0</v>
      </c>
      <c r="U231" s="1968">
        <f ca="1"/>
        <v>0</v>
      </c>
      <c r="V231" s="1968">
        <f ca="1"/>
        <v>0</v>
      </c>
      <c r="W231" s="1968">
        <f ca="1"/>
        <v>0</v>
      </c>
      <c r="X231" s="1968">
        <f ca="1"/>
        <v>0</v>
      </c>
      <c r="Y231" s="1986">
        <f ca="1"/>
        <v>0</v>
      </c>
    </row>
    <row r="232" spans="1:25" ht="13.5" thickBot="1">
      <c r="A232" s="103" t="str">
        <f>"Totales CV "&amp;A$14</f>
        <v xml:space="preserve">Totales CV </v>
      </c>
      <c r="B232" s="596">
        <f t="shared" ref="B232:Y232" ca="1" si="16">SUM(B219:B231)</f>
        <v>0</v>
      </c>
      <c r="C232" s="596">
        <f t="shared" ca="1" si="16"/>
        <v>0</v>
      </c>
      <c r="D232" s="596">
        <f t="shared" ca="1" si="16"/>
        <v>0</v>
      </c>
      <c r="E232" s="596">
        <f t="shared" ca="1" si="16"/>
        <v>0</v>
      </c>
      <c r="F232" s="596">
        <f t="shared" ca="1" si="16"/>
        <v>0</v>
      </c>
      <c r="G232" s="596">
        <f t="shared" ca="1" si="16"/>
        <v>0</v>
      </c>
      <c r="H232" s="596">
        <f t="shared" ca="1" si="16"/>
        <v>0</v>
      </c>
      <c r="I232" s="596">
        <f t="shared" ca="1" si="16"/>
        <v>0</v>
      </c>
      <c r="J232" s="596">
        <f t="shared" ca="1" si="16"/>
        <v>0</v>
      </c>
      <c r="K232" s="596">
        <f t="shared" ca="1" si="16"/>
        <v>0</v>
      </c>
      <c r="L232" s="596">
        <f t="shared" ca="1" si="16"/>
        <v>0</v>
      </c>
      <c r="M232" s="596">
        <f t="shared" ca="1" si="16"/>
        <v>0</v>
      </c>
      <c r="N232" s="596">
        <f t="shared" ca="1" si="16"/>
        <v>0</v>
      </c>
      <c r="O232" s="596">
        <f t="shared" ca="1" si="16"/>
        <v>0</v>
      </c>
      <c r="P232" s="596">
        <f t="shared" ca="1" si="16"/>
        <v>0</v>
      </c>
      <c r="Q232" s="596">
        <f t="shared" ca="1" si="16"/>
        <v>0</v>
      </c>
      <c r="R232" s="596">
        <f t="shared" ca="1" si="16"/>
        <v>0</v>
      </c>
      <c r="S232" s="596">
        <f t="shared" ca="1" si="16"/>
        <v>0</v>
      </c>
      <c r="T232" s="596">
        <f t="shared" ca="1" si="16"/>
        <v>0</v>
      </c>
      <c r="U232" s="596">
        <f t="shared" ca="1" si="16"/>
        <v>0</v>
      </c>
      <c r="V232" s="596">
        <f t="shared" ca="1" si="16"/>
        <v>0</v>
      </c>
      <c r="W232" s="596">
        <f t="shared" ca="1" si="16"/>
        <v>0</v>
      </c>
      <c r="X232" s="596">
        <f t="shared" ca="1" si="16"/>
        <v>0</v>
      </c>
      <c r="Y232" s="1984">
        <f t="shared" ca="1" si="16"/>
        <v>0</v>
      </c>
    </row>
    <row r="233" spans="1:25" ht="13.5" thickBot="1">
      <c r="A233" s="103" t="str">
        <f>'Datos Básicos'!A28&amp;" sop. CV "&amp;$A$14</f>
        <v xml:space="preserve">IVA sop. CV </v>
      </c>
      <c r="B233" s="596">
        <f t="array" aca="1" ref="B233:Y233" ca="1">$K$217*B232:Y232</f>
        <v>0</v>
      </c>
      <c r="C233" s="596">
        <f ca="1"/>
        <v>0</v>
      </c>
      <c r="D233" s="596">
        <f ca="1"/>
        <v>0</v>
      </c>
      <c r="E233" s="596">
        <f ca="1"/>
        <v>0</v>
      </c>
      <c r="F233" s="596">
        <f ca="1"/>
        <v>0</v>
      </c>
      <c r="G233" s="596">
        <f ca="1"/>
        <v>0</v>
      </c>
      <c r="H233" s="596">
        <f ca="1"/>
        <v>0</v>
      </c>
      <c r="I233" s="596">
        <f ca="1"/>
        <v>0</v>
      </c>
      <c r="J233" s="596">
        <f ca="1"/>
        <v>0</v>
      </c>
      <c r="K233" s="596">
        <f ca="1"/>
        <v>0</v>
      </c>
      <c r="L233" s="596">
        <f ca="1"/>
        <v>0</v>
      </c>
      <c r="M233" s="596">
        <f ca="1"/>
        <v>0</v>
      </c>
      <c r="N233" s="596">
        <f ca="1"/>
        <v>0</v>
      </c>
      <c r="O233" s="596">
        <f ca="1"/>
        <v>0</v>
      </c>
      <c r="P233" s="596">
        <f ca="1"/>
        <v>0</v>
      </c>
      <c r="Q233" s="596">
        <f ca="1"/>
        <v>0</v>
      </c>
      <c r="R233" s="596">
        <f ca="1"/>
        <v>0</v>
      </c>
      <c r="S233" s="596">
        <f ca="1"/>
        <v>0</v>
      </c>
      <c r="T233" s="596">
        <f ca="1"/>
        <v>0</v>
      </c>
      <c r="U233" s="596">
        <f ca="1"/>
        <v>0</v>
      </c>
      <c r="V233" s="596">
        <f ca="1"/>
        <v>0</v>
      </c>
      <c r="W233" s="596">
        <f ca="1"/>
        <v>0</v>
      </c>
      <c r="X233" s="596">
        <f ca="1"/>
        <v>0</v>
      </c>
      <c r="Y233" s="1984">
        <f ca="1"/>
        <v>0</v>
      </c>
    </row>
    <row r="235" spans="1:25" ht="18.75" thickBot="1">
      <c r="A235" s="1969" t="str">
        <f>'Distr CV 0'!A235</f>
        <v xml:space="preserve">Compras / costes de producción por meses de </v>
      </c>
      <c r="I235" s="1969" t="str">
        <f>I$18</f>
        <v>IVA NO incluido</v>
      </c>
      <c r="K235" s="1981">
        <f>Parametros!$F$31</f>
        <v>0.21</v>
      </c>
    </row>
    <row r="236" spans="1:25" ht="30" customHeight="1" thickBot="1">
      <c r="A236" s="446" t="str">
        <f>A$110</f>
        <v>mes de compra / coste</v>
      </c>
      <c r="B236" s="1987" t="str">
        <f t="array" ref="B236:Y236">B$71:Y$71</f>
        <v>enero 
2029</v>
      </c>
      <c r="C236" s="1987" t="str">
        <v>febrero 
2029</v>
      </c>
      <c r="D236" s="1987" t="str">
        <v>marzo 
2029</v>
      </c>
      <c r="E236" s="1987" t="str">
        <v>abril 
2029</v>
      </c>
      <c r="F236" s="1987" t="str">
        <v>mayo 
2029</v>
      </c>
      <c r="G236" s="1987" t="str">
        <v>junio 
2029</v>
      </c>
      <c r="H236" s="1987" t="str">
        <v>julio 
2029</v>
      </c>
      <c r="I236" s="1987" t="str">
        <v>agosto 
2029</v>
      </c>
      <c r="J236" s="1987" t="str">
        <v>septiembre 
2029</v>
      </c>
      <c r="K236" s="1987" t="str">
        <v>octubre 
2029</v>
      </c>
      <c r="L236" s="1987" t="str">
        <v>noviembre 
2029</v>
      </c>
      <c r="M236" s="1987" t="str">
        <v>diciembre 
2029</v>
      </c>
      <c r="N236" s="2703" t="str">
        <v>enero 
2030</v>
      </c>
      <c r="O236" s="2704" t="str">
        <v>febrero 
2030</v>
      </c>
      <c r="P236" s="2704" t="str">
        <v>marzo 
2030</v>
      </c>
      <c r="Q236" s="2704" t="str">
        <v>abril 
2030</v>
      </c>
      <c r="R236" s="2704" t="str">
        <v>mayo 
2030</v>
      </c>
      <c r="S236" s="2704" t="str">
        <v>junio 
2030</v>
      </c>
      <c r="T236" s="2704" t="str">
        <v>julio 
2030</v>
      </c>
      <c r="U236" s="2704" t="str">
        <v>agosto 
2030</v>
      </c>
      <c r="V236" s="2704" t="str">
        <v>septiembre 
2030</v>
      </c>
      <c r="W236" s="2704" t="str">
        <v>octubre 
2030</v>
      </c>
      <c r="X236" s="2704" t="str">
        <v>noviembre 
2030</v>
      </c>
      <c r="Y236" s="2705" t="str">
        <v>diciembre 
2030</v>
      </c>
    </row>
    <row r="237" spans="1:25">
      <c r="A237" s="1970" t="str">
        <f t="array" ref="A237:A249">A$72:A$84</f>
        <v>mismo mes</v>
      </c>
      <c r="B237" s="1967"/>
      <c r="C237" s="1967"/>
      <c r="D237" s="1967"/>
      <c r="E237" s="1967"/>
      <c r="F237" s="1967"/>
      <c r="G237" s="1967"/>
      <c r="H237" s="1967"/>
      <c r="I237" s="1967"/>
      <c r="J237" s="1967"/>
      <c r="K237" s="1967"/>
      <c r="L237" s="1967"/>
      <c r="M237" s="1967"/>
      <c r="N237" s="592">
        <f t="array" aca="1" ref="N237:Y237" ca="1">B27:M27*Produccion!$N$15</f>
        <v>0</v>
      </c>
      <c r="O237" s="592">
        <f ca="1"/>
        <v>0</v>
      </c>
      <c r="P237" s="592">
        <f ca="1"/>
        <v>0</v>
      </c>
      <c r="Q237" s="592">
        <f ca="1"/>
        <v>0</v>
      </c>
      <c r="R237" s="592">
        <f ca="1"/>
        <v>0</v>
      </c>
      <c r="S237" s="592">
        <f ca="1"/>
        <v>0</v>
      </c>
      <c r="T237" s="592">
        <f ca="1"/>
        <v>0</v>
      </c>
      <c r="U237" s="592">
        <f ca="1"/>
        <v>0</v>
      </c>
      <c r="V237" s="592">
        <f ca="1"/>
        <v>0</v>
      </c>
      <c r="W237" s="592">
        <f ca="1"/>
        <v>0</v>
      </c>
      <c r="X237" s="592">
        <f ca="1"/>
        <v>0</v>
      </c>
      <c r="Y237" s="1982">
        <f ca="1"/>
        <v>0</v>
      </c>
    </row>
    <row r="238" spans="1:25">
      <c r="A238" s="1971" t="str">
        <v>1 mes antes</v>
      </c>
      <c r="B238" s="1967"/>
      <c r="C238" s="1967"/>
      <c r="D238" s="1967"/>
      <c r="E238" s="1967"/>
      <c r="F238" s="1967"/>
      <c r="G238" s="1967"/>
      <c r="H238" s="1967"/>
      <c r="I238" s="1967"/>
      <c r="J238" s="1967"/>
      <c r="K238" s="1967"/>
      <c r="L238" s="1967"/>
      <c r="M238" s="592">
        <f t="array" aca="1" ref="M238:X238" ca="1">B27:M27*Produccion!$M$15</f>
        <v>0</v>
      </c>
      <c r="N238" s="592">
        <f ca="1"/>
        <v>0</v>
      </c>
      <c r="O238" s="592">
        <f ca="1"/>
        <v>0</v>
      </c>
      <c r="P238" s="592">
        <f ca="1"/>
        <v>0</v>
      </c>
      <c r="Q238" s="592">
        <f ca="1"/>
        <v>0</v>
      </c>
      <c r="R238" s="592">
        <f ca="1"/>
        <v>0</v>
      </c>
      <c r="S238" s="592">
        <f ca="1"/>
        <v>0</v>
      </c>
      <c r="T238" s="592">
        <f ca="1"/>
        <v>0</v>
      </c>
      <c r="U238" s="592">
        <f ca="1"/>
        <v>0</v>
      </c>
      <c r="V238" s="592">
        <f ca="1"/>
        <v>0</v>
      </c>
      <c r="W238" s="592">
        <f ca="1"/>
        <v>0</v>
      </c>
      <c r="X238" s="592">
        <f ca="1"/>
        <v>0</v>
      </c>
      <c r="Y238" s="1983">
        <f t="array" aca="1" ref="Y238:Y249" ca="1">'Distr CV 5'!M238:M249</f>
        <v>0</v>
      </c>
    </row>
    <row r="239" spans="1:25">
      <c r="A239" s="1971" t="str">
        <v>2 meses antes</v>
      </c>
      <c r="B239" s="1967"/>
      <c r="C239" s="1967"/>
      <c r="D239" s="1967"/>
      <c r="E239" s="1967"/>
      <c r="F239" s="1967"/>
      <c r="G239" s="1967"/>
      <c r="H239" s="1967"/>
      <c r="I239" s="1967"/>
      <c r="J239" s="1967"/>
      <c r="K239" s="1967"/>
      <c r="L239" s="592">
        <f t="array" aca="1" ref="L239:W239" ca="1">B27:M27*Produccion!$L$15</f>
        <v>0</v>
      </c>
      <c r="M239" s="592">
        <f ca="1"/>
        <v>0</v>
      </c>
      <c r="N239" s="592">
        <f ca="1"/>
        <v>0</v>
      </c>
      <c r="O239" s="592">
        <f ca="1"/>
        <v>0</v>
      </c>
      <c r="P239" s="592">
        <f ca="1"/>
        <v>0</v>
      </c>
      <c r="Q239" s="592">
        <f ca="1"/>
        <v>0</v>
      </c>
      <c r="R239" s="592">
        <f ca="1"/>
        <v>0</v>
      </c>
      <c r="S239" s="592">
        <f ca="1"/>
        <v>0</v>
      </c>
      <c r="T239" s="592">
        <f ca="1"/>
        <v>0</v>
      </c>
      <c r="U239" s="592">
        <f ca="1"/>
        <v>0</v>
      </c>
      <c r="V239" s="592">
        <f ca="1"/>
        <v>0</v>
      </c>
      <c r="W239" s="592">
        <f ca="1"/>
        <v>0</v>
      </c>
      <c r="X239" s="1964">
        <f t="array" aca="1" ref="X239:X249" ca="1">'Distr CV 5'!L239:L249</f>
        <v>0</v>
      </c>
      <c r="Y239" s="1983">
        <f ca="1"/>
        <v>0</v>
      </c>
    </row>
    <row r="240" spans="1:25">
      <c r="A240" s="1971" t="str">
        <v>3 meses antes</v>
      </c>
      <c r="B240" s="1967"/>
      <c r="C240" s="1967"/>
      <c r="D240" s="1967"/>
      <c r="E240" s="1967"/>
      <c r="F240" s="1967"/>
      <c r="G240" s="1967"/>
      <c r="H240" s="1967"/>
      <c r="I240" s="1967"/>
      <c r="J240" s="1967"/>
      <c r="K240" s="592">
        <f t="array" aca="1" ref="K240:V240" ca="1">B27:M27*Produccion!$K$15</f>
        <v>0</v>
      </c>
      <c r="L240" s="592">
        <f ca="1"/>
        <v>0</v>
      </c>
      <c r="M240" s="592">
        <f ca="1"/>
        <v>0</v>
      </c>
      <c r="N240" s="592">
        <f ca="1"/>
        <v>0</v>
      </c>
      <c r="O240" s="592">
        <f ca="1"/>
        <v>0</v>
      </c>
      <c r="P240" s="592">
        <f ca="1"/>
        <v>0</v>
      </c>
      <c r="Q240" s="592">
        <f ca="1"/>
        <v>0</v>
      </c>
      <c r="R240" s="592">
        <f ca="1"/>
        <v>0</v>
      </c>
      <c r="S240" s="592">
        <f ca="1"/>
        <v>0</v>
      </c>
      <c r="T240" s="592">
        <f ca="1"/>
        <v>0</v>
      </c>
      <c r="U240" s="592">
        <f ca="1"/>
        <v>0</v>
      </c>
      <c r="V240" s="592">
        <f ca="1"/>
        <v>0</v>
      </c>
      <c r="W240" s="1964">
        <f t="array" aca="1" ref="W240:W249" ca="1">'Distr CV 5'!K240:K249</f>
        <v>0</v>
      </c>
      <c r="X240" s="1964">
        <f ca="1"/>
        <v>0</v>
      </c>
      <c r="Y240" s="1983">
        <f ca="1"/>
        <v>0</v>
      </c>
    </row>
    <row r="241" spans="1:25">
      <c r="A241" s="1971" t="str">
        <v>4 meses antes</v>
      </c>
      <c r="B241" s="1967"/>
      <c r="C241" s="1967"/>
      <c r="D241" s="1967"/>
      <c r="E241" s="1967"/>
      <c r="F241" s="1967"/>
      <c r="G241" s="1967"/>
      <c r="H241" s="1967"/>
      <c r="I241" s="1967"/>
      <c r="J241" s="592">
        <f t="array" aca="1" ref="J241:U241" ca="1">B27:M27*Produccion!$J$15</f>
        <v>0</v>
      </c>
      <c r="K241" s="592">
        <f ca="1"/>
        <v>0</v>
      </c>
      <c r="L241" s="592">
        <f ca="1"/>
        <v>0</v>
      </c>
      <c r="M241" s="592">
        <f ca="1"/>
        <v>0</v>
      </c>
      <c r="N241" s="592">
        <f ca="1"/>
        <v>0</v>
      </c>
      <c r="O241" s="592">
        <f ca="1"/>
        <v>0</v>
      </c>
      <c r="P241" s="592">
        <f ca="1"/>
        <v>0</v>
      </c>
      <c r="Q241" s="592">
        <f ca="1"/>
        <v>0</v>
      </c>
      <c r="R241" s="592">
        <f ca="1"/>
        <v>0</v>
      </c>
      <c r="S241" s="592">
        <f ca="1"/>
        <v>0</v>
      </c>
      <c r="T241" s="592">
        <f ca="1"/>
        <v>0</v>
      </c>
      <c r="U241" s="592">
        <f ca="1"/>
        <v>0</v>
      </c>
      <c r="V241" s="1964">
        <f t="array" aca="1" ref="V241:V249" ca="1">'Distr CV 5'!J241:J249</f>
        <v>0</v>
      </c>
      <c r="W241" s="1964">
        <f ca="1"/>
        <v>0</v>
      </c>
      <c r="X241" s="1964">
        <f ca="1"/>
        <v>0</v>
      </c>
      <c r="Y241" s="1983">
        <f ca="1"/>
        <v>0</v>
      </c>
    </row>
    <row r="242" spans="1:25">
      <c r="A242" s="1971" t="str">
        <v>5 meses antes</v>
      </c>
      <c r="B242" s="1967"/>
      <c r="C242" s="1967"/>
      <c r="D242" s="1967"/>
      <c r="E242" s="1967"/>
      <c r="F242" s="1967"/>
      <c r="G242" s="1967"/>
      <c r="H242" s="1967"/>
      <c r="I242" s="592">
        <f t="array" aca="1" ref="I242:T242" ca="1">B27:M27*Produccion!$I$15</f>
        <v>0</v>
      </c>
      <c r="J242" s="592">
        <f ca="1"/>
        <v>0</v>
      </c>
      <c r="K242" s="592">
        <f ca="1"/>
        <v>0</v>
      </c>
      <c r="L242" s="592">
        <f ca="1"/>
        <v>0</v>
      </c>
      <c r="M242" s="592">
        <f ca="1"/>
        <v>0</v>
      </c>
      <c r="N242" s="592">
        <f ca="1"/>
        <v>0</v>
      </c>
      <c r="O242" s="592">
        <f ca="1"/>
        <v>0</v>
      </c>
      <c r="P242" s="592">
        <f ca="1"/>
        <v>0</v>
      </c>
      <c r="Q242" s="592">
        <f ca="1"/>
        <v>0</v>
      </c>
      <c r="R242" s="592">
        <f ca="1"/>
        <v>0</v>
      </c>
      <c r="S242" s="592">
        <f ca="1"/>
        <v>0</v>
      </c>
      <c r="T242" s="592">
        <f ca="1"/>
        <v>0</v>
      </c>
      <c r="U242" s="1964">
        <f t="array" aca="1" ref="U242:U249" ca="1">'Distr CV 5'!I242:I249</f>
        <v>0</v>
      </c>
      <c r="V242" s="1964">
        <f ca="1"/>
        <v>0</v>
      </c>
      <c r="W242" s="1964">
        <f ca="1"/>
        <v>0</v>
      </c>
      <c r="X242" s="1964">
        <f ca="1"/>
        <v>0</v>
      </c>
      <c r="Y242" s="1983">
        <f ca="1"/>
        <v>0</v>
      </c>
    </row>
    <row r="243" spans="1:25">
      <c r="A243" s="1971" t="str">
        <v>6 meses antes</v>
      </c>
      <c r="B243" s="1967"/>
      <c r="C243" s="1967"/>
      <c r="D243" s="1967"/>
      <c r="E243" s="1967"/>
      <c r="F243" s="1967"/>
      <c r="G243" s="1967"/>
      <c r="H243" s="592">
        <f t="array" aca="1" ref="H243:S243" ca="1">B27:M27*Produccion!$H$15</f>
        <v>0</v>
      </c>
      <c r="I243" s="592">
        <f ca="1"/>
        <v>0</v>
      </c>
      <c r="J243" s="592">
        <f ca="1"/>
        <v>0</v>
      </c>
      <c r="K243" s="592">
        <f ca="1"/>
        <v>0</v>
      </c>
      <c r="L243" s="592">
        <f ca="1"/>
        <v>0</v>
      </c>
      <c r="M243" s="592">
        <f ca="1"/>
        <v>0</v>
      </c>
      <c r="N243" s="592">
        <f ca="1"/>
        <v>0</v>
      </c>
      <c r="O243" s="592">
        <f ca="1"/>
        <v>0</v>
      </c>
      <c r="P243" s="592">
        <f ca="1"/>
        <v>0</v>
      </c>
      <c r="Q243" s="592">
        <f ca="1"/>
        <v>0</v>
      </c>
      <c r="R243" s="592">
        <f ca="1"/>
        <v>0</v>
      </c>
      <c r="S243" s="592">
        <f ca="1"/>
        <v>0</v>
      </c>
      <c r="T243" s="1964">
        <f t="array" aca="1" ref="T243:T249" ca="1">'Distr CV 5'!H243:H249</f>
        <v>0</v>
      </c>
      <c r="U243" s="1964">
        <f ca="1"/>
        <v>0</v>
      </c>
      <c r="V243" s="1964">
        <f ca="1"/>
        <v>0</v>
      </c>
      <c r="W243" s="1964">
        <f ca="1"/>
        <v>0</v>
      </c>
      <c r="X243" s="1964">
        <f ca="1"/>
        <v>0</v>
      </c>
      <c r="Y243" s="1983">
        <f ca="1"/>
        <v>0</v>
      </c>
    </row>
    <row r="244" spans="1:25">
      <c r="A244" s="1971" t="str">
        <v>7 meses antes</v>
      </c>
      <c r="B244" s="1967"/>
      <c r="C244" s="1967"/>
      <c r="D244" s="1967"/>
      <c r="E244" s="1967"/>
      <c r="F244" s="1967"/>
      <c r="G244" s="592">
        <f t="array" aca="1" ref="G244:R244" ca="1">B27:M27*Produccion!$G$15</f>
        <v>0</v>
      </c>
      <c r="H244" s="592">
        <f ca="1"/>
        <v>0</v>
      </c>
      <c r="I244" s="592">
        <f ca="1"/>
        <v>0</v>
      </c>
      <c r="J244" s="592">
        <f ca="1"/>
        <v>0</v>
      </c>
      <c r="K244" s="592">
        <f ca="1"/>
        <v>0</v>
      </c>
      <c r="L244" s="592">
        <f ca="1"/>
        <v>0</v>
      </c>
      <c r="M244" s="592">
        <f ca="1"/>
        <v>0</v>
      </c>
      <c r="N244" s="592">
        <f ca="1"/>
        <v>0</v>
      </c>
      <c r="O244" s="592">
        <f ca="1"/>
        <v>0</v>
      </c>
      <c r="P244" s="592">
        <f ca="1"/>
        <v>0</v>
      </c>
      <c r="Q244" s="592">
        <f ca="1"/>
        <v>0</v>
      </c>
      <c r="R244" s="592">
        <f ca="1"/>
        <v>0</v>
      </c>
      <c r="S244" s="1968">
        <f t="array" aca="1" ref="S244:S249" ca="1">'Distr CV 5'!G244:G249</f>
        <v>0</v>
      </c>
      <c r="T244" s="1968">
        <f ca="1"/>
        <v>0</v>
      </c>
      <c r="U244" s="1968">
        <f ca="1"/>
        <v>0</v>
      </c>
      <c r="V244" s="1968">
        <f ca="1"/>
        <v>0</v>
      </c>
      <c r="W244" s="1968">
        <f ca="1"/>
        <v>0</v>
      </c>
      <c r="X244" s="1968">
        <f ca="1"/>
        <v>0</v>
      </c>
      <c r="Y244" s="1986">
        <f ca="1"/>
        <v>0</v>
      </c>
    </row>
    <row r="245" spans="1:25">
      <c r="A245" s="1971" t="str">
        <v>8 meses antes</v>
      </c>
      <c r="B245" s="1967"/>
      <c r="C245" s="1967"/>
      <c r="D245" s="1967"/>
      <c r="E245" s="1967"/>
      <c r="F245" s="592">
        <f t="array" aca="1" ref="F245:Q245" ca="1">B27:M27*Produccion!$F$15</f>
        <v>0</v>
      </c>
      <c r="G245" s="592">
        <f ca="1"/>
        <v>0</v>
      </c>
      <c r="H245" s="592">
        <f ca="1"/>
        <v>0</v>
      </c>
      <c r="I245" s="592">
        <f ca="1"/>
        <v>0</v>
      </c>
      <c r="J245" s="592">
        <f ca="1"/>
        <v>0</v>
      </c>
      <c r="K245" s="592">
        <f ca="1"/>
        <v>0</v>
      </c>
      <c r="L245" s="592">
        <f ca="1"/>
        <v>0</v>
      </c>
      <c r="M245" s="592">
        <f ca="1"/>
        <v>0</v>
      </c>
      <c r="N245" s="592">
        <f ca="1"/>
        <v>0</v>
      </c>
      <c r="O245" s="592">
        <f ca="1"/>
        <v>0</v>
      </c>
      <c r="P245" s="592">
        <f ca="1"/>
        <v>0</v>
      </c>
      <c r="Q245" s="592">
        <f ca="1"/>
        <v>0</v>
      </c>
      <c r="R245" s="1968">
        <f t="array" aca="1" ref="R245:R249" ca="1">'Distr CV 5'!F245:F249</f>
        <v>0</v>
      </c>
      <c r="S245" s="1968">
        <f ca="1"/>
        <v>0</v>
      </c>
      <c r="T245" s="1968">
        <f ca="1"/>
        <v>0</v>
      </c>
      <c r="U245" s="1968">
        <f ca="1"/>
        <v>0</v>
      </c>
      <c r="V245" s="1968">
        <f ca="1"/>
        <v>0</v>
      </c>
      <c r="W245" s="1968">
        <f ca="1"/>
        <v>0</v>
      </c>
      <c r="X245" s="1968">
        <f ca="1"/>
        <v>0</v>
      </c>
      <c r="Y245" s="1986">
        <f ca="1"/>
        <v>0</v>
      </c>
    </row>
    <row r="246" spans="1:25">
      <c r="A246" s="1971" t="str">
        <v>9 meses antes</v>
      </c>
      <c r="B246" s="1967"/>
      <c r="C246" s="1967"/>
      <c r="D246" s="1967"/>
      <c r="E246" s="592">
        <f t="array" aca="1" ref="E246:P246" ca="1">B27:M27*Produccion!$E$15</f>
        <v>0</v>
      </c>
      <c r="F246" s="592">
        <f ca="1"/>
        <v>0</v>
      </c>
      <c r="G246" s="592">
        <f ca="1"/>
        <v>0</v>
      </c>
      <c r="H246" s="592">
        <f ca="1"/>
        <v>0</v>
      </c>
      <c r="I246" s="592">
        <f ca="1"/>
        <v>0</v>
      </c>
      <c r="J246" s="592">
        <f ca="1"/>
        <v>0</v>
      </c>
      <c r="K246" s="592">
        <f ca="1"/>
        <v>0</v>
      </c>
      <c r="L246" s="592">
        <f ca="1"/>
        <v>0</v>
      </c>
      <c r="M246" s="592">
        <f ca="1"/>
        <v>0</v>
      </c>
      <c r="N246" s="592">
        <f ca="1"/>
        <v>0</v>
      </c>
      <c r="O246" s="592">
        <f ca="1"/>
        <v>0</v>
      </c>
      <c r="P246" s="592">
        <f ca="1"/>
        <v>0</v>
      </c>
      <c r="Q246" s="1968">
        <f t="array" aca="1" ref="Q246:Q249" ca="1">'Distr CV 5'!E246:E249</f>
        <v>0</v>
      </c>
      <c r="R246" s="1968">
        <f ca="1"/>
        <v>0</v>
      </c>
      <c r="S246" s="1968">
        <f ca="1"/>
        <v>0</v>
      </c>
      <c r="T246" s="1968">
        <f ca="1"/>
        <v>0</v>
      </c>
      <c r="U246" s="1968">
        <f ca="1"/>
        <v>0</v>
      </c>
      <c r="V246" s="1968">
        <f ca="1"/>
        <v>0</v>
      </c>
      <c r="W246" s="1968">
        <f ca="1"/>
        <v>0</v>
      </c>
      <c r="X246" s="1968">
        <f ca="1"/>
        <v>0</v>
      </c>
      <c r="Y246" s="1986">
        <f ca="1"/>
        <v>0</v>
      </c>
    </row>
    <row r="247" spans="1:25">
      <c r="A247" s="1971" t="str">
        <v>10 meses antes</v>
      </c>
      <c r="B247" s="1967"/>
      <c r="C247" s="1967"/>
      <c r="D247" s="592">
        <f t="array" aca="1" ref="D247:O247" ca="1">B27:M27*Produccion!$D$15</f>
        <v>0</v>
      </c>
      <c r="E247" s="592">
        <f ca="1"/>
        <v>0</v>
      </c>
      <c r="F247" s="592">
        <f ca="1"/>
        <v>0</v>
      </c>
      <c r="G247" s="592">
        <f ca="1"/>
        <v>0</v>
      </c>
      <c r="H247" s="592">
        <f ca="1"/>
        <v>0</v>
      </c>
      <c r="I247" s="592">
        <f ca="1"/>
        <v>0</v>
      </c>
      <c r="J247" s="592">
        <f ca="1"/>
        <v>0</v>
      </c>
      <c r="K247" s="592">
        <f ca="1"/>
        <v>0</v>
      </c>
      <c r="L247" s="592">
        <f ca="1"/>
        <v>0</v>
      </c>
      <c r="M247" s="592">
        <f ca="1"/>
        <v>0</v>
      </c>
      <c r="N247" s="592">
        <f ca="1"/>
        <v>0</v>
      </c>
      <c r="O247" s="592">
        <f ca="1"/>
        <v>0</v>
      </c>
      <c r="P247" s="1968">
        <f t="array" aca="1" ref="P247:P249" ca="1">'Distr CV 5'!D247:D249</f>
        <v>0</v>
      </c>
      <c r="Q247" s="1968">
        <f ca="1"/>
        <v>0</v>
      </c>
      <c r="R247" s="1968">
        <f ca="1"/>
        <v>0</v>
      </c>
      <c r="S247" s="1968">
        <f ca="1"/>
        <v>0</v>
      </c>
      <c r="T247" s="1968">
        <f ca="1"/>
        <v>0</v>
      </c>
      <c r="U247" s="1968">
        <f ca="1"/>
        <v>0</v>
      </c>
      <c r="V247" s="1968">
        <f ca="1"/>
        <v>0</v>
      </c>
      <c r="W247" s="1968">
        <f ca="1"/>
        <v>0</v>
      </c>
      <c r="X247" s="1968">
        <f ca="1"/>
        <v>0</v>
      </c>
      <c r="Y247" s="1986">
        <f ca="1"/>
        <v>0</v>
      </c>
    </row>
    <row r="248" spans="1:25">
      <c r="A248" s="1971" t="str">
        <v>11 meses antes</v>
      </c>
      <c r="B248" s="1967"/>
      <c r="C248" s="592">
        <f t="array" aca="1" ref="C248:N248" ca="1">B27:M27*Produccion!$C$15</f>
        <v>0</v>
      </c>
      <c r="D248" s="592">
        <f ca="1"/>
        <v>0</v>
      </c>
      <c r="E248" s="592">
        <f ca="1"/>
        <v>0</v>
      </c>
      <c r="F248" s="592">
        <f ca="1"/>
        <v>0</v>
      </c>
      <c r="G248" s="592">
        <f ca="1"/>
        <v>0</v>
      </c>
      <c r="H248" s="592">
        <f ca="1"/>
        <v>0</v>
      </c>
      <c r="I248" s="592">
        <f ca="1"/>
        <v>0</v>
      </c>
      <c r="J248" s="592">
        <f ca="1"/>
        <v>0</v>
      </c>
      <c r="K248" s="592">
        <f ca="1"/>
        <v>0</v>
      </c>
      <c r="L248" s="592">
        <f ca="1"/>
        <v>0</v>
      </c>
      <c r="M248" s="592">
        <f ca="1"/>
        <v>0</v>
      </c>
      <c r="N248" s="592">
        <f ca="1"/>
        <v>0</v>
      </c>
      <c r="O248" s="1968">
        <f ca="1">'Distr CV 5'!C248</f>
        <v>0</v>
      </c>
      <c r="P248" s="1968">
        <f ca="1"/>
        <v>0</v>
      </c>
      <c r="Q248" s="1968">
        <f ca="1"/>
        <v>0</v>
      </c>
      <c r="R248" s="1968">
        <f ca="1"/>
        <v>0</v>
      </c>
      <c r="S248" s="1968">
        <f ca="1"/>
        <v>0</v>
      </c>
      <c r="T248" s="1968">
        <f ca="1"/>
        <v>0</v>
      </c>
      <c r="U248" s="1968">
        <f ca="1"/>
        <v>0</v>
      </c>
      <c r="V248" s="1968">
        <f ca="1"/>
        <v>0</v>
      </c>
      <c r="W248" s="1968">
        <f ca="1"/>
        <v>0</v>
      </c>
      <c r="X248" s="1968">
        <f ca="1"/>
        <v>0</v>
      </c>
      <c r="Y248" s="1986">
        <f ca="1"/>
        <v>0</v>
      </c>
    </row>
    <row r="249" spans="1:25" ht="13.5" thickBot="1">
      <c r="A249" s="1971" t="str">
        <v>12 meses antes</v>
      </c>
      <c r="B249" s="592">
        <f t="array" aca="1" ref="B249:M249" ca="1">B27:M27*Produccion!$B$15</f>
        <v>0</v>
      </c>
      <c r="C249" s="592">
        <f ca="1"/>
        <v>0</v>
      </c>
      <c r="D249" s="592">
        <f ca="1"/>
        <v>0</v>
      </c>
      <c r="E249" s="592">
        <f ca="1"/>
        <v>0</v>
      </c>
      <c r="F249" s="592">
        <f ca="1"/>
        <v>0</v>
      </c>
      <c r="G249" s="592">
        <f ca="1"/>
        <v>0</v>
      </c>
      <c r="H249" s="592">
        <f ca="1"/>
        <v>0</v>
      </c>
      <c r="I249" s="592">
        <f ca="1"/>
        <v>0</v>
      </c>
      <c r="J249" s="592">
        <f ca="1"/>
        <v>0</v>
      </c>
      <c r="K249" s="592">
        <f ca="1"/>
        <v>0</v>
      </c>
      <c r="L249" s="592">
        <f ca="1"/>
        <v>0</v>
      </c>
      <c r="M249" s="592">
        <f ca="1"/>
        <v>0</v>
      </c>
      <c r="N249" s="1967">
        <f ca="1">'Distr CV 5'!B249</f>
        <v>0</v>
      </c>
      <c r="O249" s="1968">
        <f ca="1">'Distr CV 5'!C249</f>
        <v>0</v>
      </c>
      <c r="P249" s="1968">
        <f ca="1"/>
        <v>0</v>
      </c>
      <c r="Q249" s="1968">
        <f ca="1"/>
        <v>0</v>
      </c>
      <c r="R249" s="1968">
        <f ca="1"/>
        <v>0</v>
      </c>
      <c r="S249" s="1968">
        <f ca="1"/>
        <v>0</v>
      </c>
      <c r="T249" s="1968">
        <f ca="1"/>
        <v>0</v>
      </c>
      <c r="U249" s="1968">
        <f ca="1"/>
        <v>0</v>
      </c>
      <c r="V249" s="1968">
        <f ca="1"/>
        <v>0</v>
      </c>
      <c r="W249" s="1968">
        <f ca="1"/>
        <v>0</v>
      </c>
      <c r="X249" s="1968">
        <f ca="1"/>
        <v>0</v>
      </c>
      <c r="Y249" s="1986">
        <f ca="1"/>
        <v>0</v>
      </c>
    </row>
    <row r="250" spans="1:25" ht="13.5" thickBot="1">
      <c r="A250" s="103" t="str">
        <f>"Totales CV "&amp;A$15</f>
        <v xml:space="preserve">Totales CV </v>
      </c>
      <c r="B250" s="596">
        <f t="shared" ref="B250:Y250" ca="1" si="17">SUM(B237:B249)</f>
        <v>0</v>
      </c>
      <c r="C250" s="596">
        <f t="shared" ca="1" si="17"/>
        <v>0</v>
      </c>
      <c r="D250" s="596">
        <f t="shared" ca="1" si="17"/>
        <v>0</v>
      </c>
      <c r="E250" s="596">
        <f t="shared" ca="1" si="17"/>
        <v>0</v>
      </c>
      <c r="F250" s="596">
        <f t="shared" ca="1" si="17"/>
        <v>0</v>
      </c>
      <c r="G250" s="596">
        <f t="shared" ca="1" si="17"/>
        <v>0</v>
      </c>
      <c r="H250" s="596">
        <f t="shared" ca="1" si="17"/>
        <v>0</v>
      </c>
      <c r="I250" s="596">
        <f t="shared" ca="1" si="17"/>
        <v>0</v>
      </c>
      <c r="J250" s="596">
        <f t="shared" ca="1" si="17"/>
        <v>0</v>
      </c>
      <c r="K250" s="596">
        <f t="shared" ca="1" si="17"/>
        <v>0</v>
      </c>
      <c r="L250" s="596">
        <f t="shared" ca="1" si="17"/>
        <v>0</v>
      </c>
      <c r="M250" s="596">
        <f t="shared" ca="1" si="17"/>
        <v>0</v>
      </c>
      <c r="N250" s="596">
        <f t="shared" ca="1" si="17"/>
        <v>0</v>
      </c>
      <c r="O250" s="596">
        <f t="shared" ca="1" si="17"/>
        <v>0</v>
      </c>
      <c r="P250" s="596">
        <f t="shared" ca="1" si="17"/>
        <v>0</v>
      </c>
      <c r="Q250" s="596">
        <f t="shared" ca="1" si="17"/>
        <v>0</v>
      </c>
      <c r="R250" s="596">
        <f t="shared" ca="1" si="17"/>
        <v>0</v>
      </c>
      <c r="S250" s="596">
        <f t="shared" ca="1" si="17"/>
        <v>0</v>
      </c>
      <c r="T250" s="596">
        <f t="shared" ca="1" si="17"/>
        <v>0</v>
      </c>
      <c r="U250" s="596">
        <f t="shared" ca="1" si="17"/>
        <v>0</v>
      </c>
      <c r="V250" s="596">
        <f t="shared" ca="1" si="17"/>
        <v>0</v>
      </c>
      <c r="W250" s="596">
        <f t="shared" ca="1" si="17"/>
        <v>0</v>
      </c>
      <c r="X250" s="596">
        <f t="shared" ca="1" si="17"/>
        <v>0</v>
      </c>
      <c r="Y250" s="1984">
        <f t="shared" ca="1" si="17"/>
        <v>0</v>
      </c>
    </row>
    <row r="251" spans="1:25" ht="13.5" thickBot="1">
      <c r="A251" s="103" t="str">
        <f>'Datos Básicos'!A28&amp;" sop. CV "&amp;$A$15</f>
        <v xml:space="preserve">IVA sop. CV </v>
      </c>
      <c r="B251" s="596">
        <f t="array" aca="1" ref="B251:Y251" ca="1">$K$235*B250:Y250</f>
        <v>0</v>
      </c>
      <c r="C251" s="596">
        <f ca="1"/>
        <v>0</v>
      </c>
      <c r="D251" s="596">
        <f ca="1"/>
        <v>0</v>
      </c>
      <c r="E251" s="596">
        <f ca="1"/>
        <v>0</v>
      </c>
      <c r="F251" s="596">
        <f ca="1"/>
        <v>0</v>
      </c>
      <c r="G251" s="596">
        <f ca="1"/>
        <v>0</v>
      </c>
      <c r="H251" s="596">
        <f ca="1"/>
        <v>0</v>
      </c>
      <c r="I251" s="596">
        <f ca="1"/>
        <v>0</v>
      </c>
      <c r="J251" s="596">
        <f ca="1"/>
        <v>0</v>
      </c>
      <c r="K251" s="596">
        <f ca="1"/>
        <v>0</v>
      </c>
      <c r="L251" s="596">
        <f ca="1"/>
        <v>0</v>
      </c>
      <c r="M251" s="596">
        <f ca="1"/>
        <v>0</v>
      </c>
      <c r="N251" s="596">
        <f ca="1"/>
        <v>0</v>
      </c>
      <c r="O251" s="596">
        <f ca="1"/>
        <v>0</v>
      </c>
      <c r="P251" s="596">
        <f ca="1"/>
        <v>0</v>
      </c>
      <c r="Q251" s="596">
        <f ca="1"/>
        <v>0</v>
      </c>
      <c r="R251" s="596">
        <f ca="1"/>
        <v>0</v>
      </c>
      <c r="S251" s="596">
        <f ca="1"/>
        <v>0</v>
      </c>
      <c r="T251" s="596">
        <f ca="1"/>
        <v>0</v>
      </c>
      <c r="U251" s="596">
        <f ca="1"/>
        <v>0</v>
      </c>
      <c r="V251" s="596">
        <f ca="1"/>
        <v>0</v>
      </c>
      <c r="W251" s="596">
        <f ca="1"/>
        <v>0</v>
      </c>
      <c r="X251" s="596">
        <f ca="1"/>
        <v>0</v>
      </c>
      <c r="Y251" s="1984">
        <f ca="1"/>
        <v>0</v>
      </c>
    </row>
  </sheetData>
  <sheetProtection sheet="1" objects="1" scenarios="1"/>
  <phoneticPr fontId="6" type="noConversion"/>
  <printOptions horizontalCentered="1" verticalCentered="1"/>
  <pageMargins left="0.38" right="0.19685039370078741" top="0.53" bottom="0.71" header="0.51181102362204722" footer="0.39370078740157483"/>
  <pageSetup paperSize="9" scale="26" fitToHeight="2" orientation="landscape" horizontalDpi="300" verticalDpi="300" r:id="rId1"/>
  <headerFooter alignWithMargins="0">
    <oddFooter>&amp;C&amp;"Tahoma,Normal"&amp;10&amp;A</oddFooter>
  </headerFooter>
  <rowBreaks count="1" manualBreakCount="1">
    <brk id="73" max="16383" man="1"/>
  </rowBreaks>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68">
    <tabColor indexed="16"/>
    <pageSetUpPr fitToPage="1"/>
  </sheetPr>
  <dimension ref="A1:Z251"/>
  <sheetViews>
    <sheetView workbookViewId="0"/>
  </sheetViews>
  <sheetFormatPr baseColWidth="10" defaultColWidth="11" defaultRowHeight="12.75"/>
  <cols>
    <col min="1" max="1" width="24" style="232" customWidth="1"/>
    <col min="2" max="2" width="11.375" style="60" customWidth="1"/>
    <col min="3" max="4" width="11.375" style="61" customWidth="1"/>
    <col min="5" max="5" width="10.375" style="61" customWidth="1"/>
    <col min="6" max="14" width="11.375" style="61" customWidth="1"/>
    <col min="15" max="15" width="11.5" style="232" customWidth="1"/>
    <col min="16" max="18" width="11" style="61"/>
    <col min="19" max="19" width="12.125" style="61" customWidth="1"/>
    <col min="20" max="16384" width="11" style="61"/>
  </cols>
  <sheetData>
    <row r="1" spans="1:15" ht="22.5">
      <c r="A1" s="67" t="s">
        <v>876</v>
      </c>
      <c r="K1" s="2681" t="str">
        <f>Parametros!G$77</f>
        <v>Año 5 :   2031</v>
      </c>
      <c r="L1" s="421"/>
    </row>
    <row r="2" spans="1:15" ht="22.5">
      <c r="A2" s="67" t="str">
        <f>'Datos Básicos'!B9</f>
        <v>nombre empresa</v>
      </c>
    </row>
    <row r="3" spans="1:15" ht="14.25" customHeight="1">
      <c r="A3" s="59"/>
    </row>
    <row r="4" spans="1:15" ht="14.25" customHeight="1">
      <c r="A4" s="59"/>
    </row>
    <row r="5" spans="1:15" ht="14.25" customHeight="1">
      <c r="A5" s="59"/>
    </row>
    <row r="6" spans="1:15" ht="24" customHeight="1" thickBot="1">
      <c r="A6" s="422" t="str">
        <f>'Distr CV 0'!A6</f>
        <v>Previsión de unidades vendidas</v>
      </c>
    </row>
    <row r="7" spans="1:15" s="447" customFormat="1" ht="15.75" customHeight="1" thickBot="1">
      <c r="A7" s="446" t="str">
        <f>'Distr CV 0'!A7</f>
        <v>Ventas (Unidades)</v>
      </c>
      <c r="B7" s="444" t="str">
        <f t="array" ref="B7:M7">meses</f>
        <v>enero</v>
      </c>
      <c r="C7" s="440" t="str">
        <v>febrero</v>
      </c>
      <c r="D7" s="440" t="str">
        <v>marzo</v>
      </c>
      <c r="E7" s="440" t="str">
        <v>abril</v>
      </c>
      <c r="F7" s="440" t="str">
        <v>mayo</v>
      </c>
      <c r="G7" s="440" t="str">
        <v>junio</v>
      </c>
      <c r="H7" s="440" t="str">
        <v>julio</v>
      </c>
      <c r="I7" s="440" t="str">
        <v>agosto</v>
      </c>
      <c r="J7" s="440" t="str">
        <v>septiembre</v>
      </c>
      <c r="K7" s="440" t="str">
        <v>octubre</v>
      </c>
      <c r="L7" s="440" t="str">
        <v>noviembre</v>
      </c>
      <c r="M7" s="441" t="str">
        <v>diciembre</v>
      </c>
      <c r="N7" s="438" t="s">
        <v>15</v>
      </c>
    </row>
    <row r="8" spans="1:15" ht="15.75" customHeight="1">
      <c r="A8" s="1972" t="str">
        <f t="array" ref="A8:A15">productos</f>
        <v>producto o servicio</v>
      </c>
      <c r="B8" s="578">
        <f t="array" aca="1" ref="B8:M15" ca="1">'Estimaciones Ventas'!B71:M78*Parametros!B$88:M$88</f>
        <v>900.40704800000003</v>
      </c>
      <c r="C8" s="579">
        <f ca="1"/>
        <v>1125.50881</v>
      </c>
      <c r="D8" s="579">
        <f ca="1"/>
        <v>1238.0596910000002</v>
      </c>
      <c r="E8" s="579">
        <f ca="1"/>
        <v>1181.7842504999999</v>
      </c>
      <c r="F8" s="579">
        <f ca="1"/>
        <v>1012.9579290000001</v>
      </c>
      <c r="G8" s="579">
        <f ca="1"/>
        <v>956.68248849999998</v>
      </c>
      <c r="H8" s="579">
        <f ca="1"/>
        <v>900.40704800000003</v>
      </c>
      <c r="I8" s="579">
        <f ca="1"/>
        <v>675.30528600000002</v>
      </c>
      <c r="J8" s="579">
        <f ca="1"/>
        <v>900.40704800000003</v>
      </c>
      <c r="K8" s="579">
        <f ca="1"/>
        <v>1069.2333695000002</v>
      </c>
      <c r="L8" s="579">
        <f ca="1"/>
        <v>1125.50881</v>
      </c>
      <c r="M8" s="601">
        <f ca="1"/>
        <v>1350.610572</v>
      </c>
      <c r="N8" s="580">
        <f t="shared" ref="N8:N15" ca="1" si="0">SUM(B8:M8)</f>
        <v>12436.872350499998</v>
      </c>
      <c r="O8" s="61"/>
    </row>
    <row r="9" spans="1:15" ht="15.75" customHeight="1">
      <c r="A9" s="1973" t="str">
        <v/>
      </c>
      <c r="B9" s="581">
        <f ca="1"/>
        <v>0</v>
      </c>
      <c r="C9" s="582">
        <f ca="1"/>
        <v>0</v>
      </c>
      <c r="D9" s="582">
        <f ca="1"/>
        <v>0</v>
      </c>
      <c r="E9" s="582">
        <f ca="1"/>
        <v>0</v>
      </c>
      <c r="F9" s="582">
        <f ca="1"/>
        <v>0</v>
      </c>
      <c r="G9" s="582">
        <f ca="1"/>
        <v>0</v>
      </c>
      <c r="H9" s="582">
        <f ca="1"/>
        <v>0</v>
      </c>
      <c r="I9" s="582">
        <f ca="1"/>
        <v>0</v>
      </c>
      <c r="J9" s="582">
        <f ca="1"/>
        <v>0</v>
      </c>
      <c r="K9" s="582">
        <f ca="1"/>
        <v>0</v>
      </c>
      <c r="L9" s="582">
        <f ca="1"/>
        <v>0</v>
      </c>
      <c r="M9" s="602">
        <f ca="1"/>
        <v>0</v>
      </c>
      <c r="N9" s="583">
        <f t="shared" ca="1" si="0"/>
        <v>0</v>
      </c>
      <c r="O9" s="61"/>
    </row>
    <row r="10" spans="1:15" ht="15.75" customHeight="1">
      <c r="A10" s="1973" t="str">
        <v/>
      </c>
      <c r="B10" s="581">
        <f ca="1"/>
        <v>0</v>
      </c>
      <c r="C10" s="582">
        <f ca="1"/>
        <v>0</v>
      </c>
      <c r="D10" s="582">
        <f ca="1"/>
        <v>0</v>
      </c>
      <c r="E10" s="582">
        <f ca="1"/>
        <v>0</v>
      </c>
      <c r="F10" s="582">
        <f ca="1"/>
        <v>0</v>
      </c>
      <c r="G10" s="582">
        <f ca="1"/>
        <v>0</v>
      </c>
      <c r="H10" s="582">
        <f ca="1"/>
        <v>0</v>
      </c>
      <c r="I10" s="582">
        <f ca="1"/>
        <v>0</v>
      </c>
      <c r="J10" s="582">
        <f ca="1"/>
        <v>0</v>
      </c>
      <c r="K10" s="582">
        <f ca="1"/>
        <v>0</v>
      </c>
      <c r="L10" s="582">
        <f ca="1"/>
        <v>0</v>
      </c>
      <c r="M10" s="602">
        <f ca="1"/>
        <v>0</v>
      </c>
      <c r="N10" s="583">
        <f t="shared" ca="1" si="0"/>
        <v>0</v>
      </c>
      <c r="O10" s="61"/>
    </row>
    <row r="11" spans="1:15" ht="15.75" customHeight="1">
      <c r="A11" s="1973" t="str">
        <v/>
      </c>
      <c r="B11" s="581">
        <f ca="1"/>
        <v>0</v>
      </c>
      <c r="C11" s="582">
        <f ca="1"/>
        <v>0</v>
      </c>
      <c r="D11" s="582">
        <f ca="1"/>
        <v>0</v>
      </c>
      <c r="E11" s="582">
        <f ca="1"/>
        <v>0</v>
      </c>
      <c r="F11" s="582">
        <f ca="1"/>
        <v>0</v>
      </c>
      <c r="G11" s="582">
        <f ca="1"/>
        <v>0</v>
      </c>
      <c r="H11" s="582">
        <f ca="1"/>
        <v>0</v>
      </c>
      <c r="I11" s="582">
        <f ca="1"/>
        <v>0</v>
      </c>
      <c r="J11" s="582">
        <f ca="1"/>
        <v>0</v>
      </c>
      <c r="K11" s="582">
        <f ca="1"/>
        <v>0</v>
      </c>
      <c r="L11" s="582">
        <f ca="1"/>
        <v>0</v>
      </c>
      <c r="M11" s="602">
        <f ca="1"/>
        <v>0</v>
      </c>
      <c r="N11" s="583">
        <f t="shared" ca="1" si="0"/>
        <v>0</v>
      </c>
      <c r="O11" s="61"/>
    </row>
    <row r="12" spans="1:15" ht="15.75" customHeight="1">
      <c r="A12" s="1973" t="str">
        <v/>
      </c>
      <c r="B12" s="581">
        <f ca="1"/>
        <v>0</v>
      </c>
      <c r="C12" s="582">
        <f ca="1"/>
        <v>0</v>
      </c>
      <c r="D12" s="582">
        <f ca="1"/>
        <v>0</v>
      </c>
      <c r="E12" s="582">
        <f ca="1"/>
        <v>0</v>
      </c>
      <c r="F12" s="582">
        <f ca="1"/>
        <v>0</v>
      </c>
      <c r="G12" s="582">
        <f ca="1"/>
        <v>0</v>
      </c>
      <c r="H12" s="582">
        <f ca="1"/>
        <v>0</v>
      </c>
      <c r="I12" s="582">
        <f ca="1"/>
        <v>0</v>
      </c>
      <c r="J12" s="582">
        <f ca="1"/>
        <v>0</v>
      </c>
      <c r="K12" s="582">
        <f ca="1"/>
        <v>0</v>
      </c>
      <c r="L12" s="582">
        <f ca="1"/>
        <v>0</v>
      </c>
      <c r="M12" s="602">
        <f ca="1"/>
        <v>0</v>
      </c>
      <c r="N12" s="583">
        <f t="shared" ca="1" si="0"/>
        <v>0</v>
      </c>
      <c r="O12" s="61"/>
    </row>
    <row r="13" spans="1:15" ht="15.75" customHeight="1">
      <c r="A13" s="1973" t="str">
        <v/>
      </c>
      <c r="B13" s="581">
        <f ca="1"/>
        <v>0</v>
      </c>
      <c r="C13" s="582">
        <f ca="1"/>
        <v>0</v>
      </c>
      <c r="D13" s="582">
        <f ca="1"/>
        <v>0</v>
      </c>
      <c r="E13" s="582">
        <f ca="1"/>
        <v>0</v>
      </c>
      <c r="F13" s="582">
        <f ca="1"/>
        <v>0</v>
      </c>
      <c r="G13" s="582">
        <f ca="1"/>
        <v>0</v>
      </c>
      <c r="H13" s="582">
        <f ca="1"/>
        <v>0</v>
      </c>
      <c r="I13" s="582">
        <f ca="1"/>
        <v>0</v>
      </c>
      <c r="J13" s="582">
        <f ca="1"/>
        <v>0</v>
      </c>
      <c r="K13" s="582">
        <f ca="1"/>
        <v>0</v>
      </c>
      <c r="L13" s="582">
        <f ca="1"/>
        <v>0</v>
      </c>
      <c r="M13" s="602">
        <f ca="1"/>
        <v>0</v>
      </c>
      <c r="N13" s="583">
        <f t="shared" ca="1" si="0"/>
        <v>0</v>
      </c>
      <c r="O13" s="61"/>
    </row>
    <row r="14" spans="1:15" ht="15.75" customHeight="1">
      <c r="A14" s="1973" t="str">
        <v/>
      </c>
      <c r="B14" s="581">
        <f ca="1"/>
        <v>0</v>
      </c>
      <c r="C14" s="582">
        <f ca="1"/>
        <v>0</v>
      </c>
      <c r="D14" s="582">
        <f ca="1"/>
        <v>0</v>
      </c>
      <c r="E14" s="582">
        <f ca="1"/>
        <v>0</v>
      </c>
      <c r="F14" s="582">
        <f ca="1"/>
        <v>0</v>
      </c>
      <c r="G14" s="582">
        <f ca="1"/>
        <v>0</v>
      </c>
      <c r="H14" s="582">
        <f ca="1"/>
        <v>0</v>
      </c>
      <c r="I14" s="582">
        <f ca="1"/>
        <v>0</v>
      </c>
      <c r="J14" s="582">
        <f ca="1"/>
        <v>0</v>
      </c>
      <c r="K14" s="582">
        <f ca="1"/>
        <v>0</v>
      </c>
      <c r="L14" s="582">
        <f ca="1"/>
        <v>0</v>
      </c>
      <c r="M14" s="602">
        <f ca="1"/>
        <v>0</v>
      </c>
      <c r="N14" s="583">
        <f t="shared" ca="1" si="0"/>
        <v>0</v>
      </c>
      <c r="O14" s="61"/>
    </row>
    <row r="15" spans="1:15" ht="15.75" customHeight="1" thickBot="1">
      <c r="A15" s="1974" t="str">
        <v/>
      </c>
      <c r="B15" s="584">
        <f ca="1"/>
        <v>0</v>
      </c>
      <c r="C15" s="585">
        <f ca="1"/>
        <v>0</v>
      </c>
      <c r="D15" s="585">
        <f ca="1"/>
        <v>0</v>
      </c>
      <c r="E15" s="585">
        <f ca="1"/>
        <v>0</v>
      </c>
      <c r="F15" s="585">
        <f ca="1"/>
        <v>0</v>
      </c>
      <c r="G15" s="585">
        <f ca="1"/>
        <v>0</v>
      </c>
      <c r="H15" s="585">
        <f ca="1"/>
        <v>0</v>
      </c>
      <c r="I15" s="585">
        <f ca="1"/>
        <v>0</v>
      </c>
      <c r="J15" s="585">
        <f ca="1"/>
        <v>0</v>
      </c>
      <c r="K15" s="585">
        <f ca="1"/>
        <v>0</v>
      </c>
      <c r="L15" s="585">
        <f ca="1"/>
        <v>0</v>
      </c>
      <c r="M15" s="603">
        <f ca="1"/>
        <v>0</v>
      </c>
      <c r="N15" s="586">
        <f t="shared" ca="1" si="0"/>
        <v>0</v>
      </c>
      <c r="O15" s="61"/>
    </row>
    <row r="16" spans="1:15" ht="15">
      <c r="A16" s="72"/>
    </row>
    <row r="17" spans="1:15" ht="15">
      <c r="A17" s="213"/>
    </row>
    <row r="18" spans="1:15" ht="18.75" thickBot="1">
      <c r="A18" s="1969" t="str">
        <f>'Distr CV 0'!A18</f>
        <v>Previsión de costes de producción de las unidades vendidas</v>
      </c>
      <c r="G18" s="2710" t="str">
        <f>$K$1</f>
        <v>Año 5 :   2031</v>
      </c>
      <c r="I18" s="1969" t="str">
        <f>'Distr CV 0'!I18</f>
        <v>IVA NO incluido</v>
      </c>
    </row>
    <row r="19" spans="1:15" s="445" customFormat="1" ht="15.75" customHeight="1" thickBot="1">
      <c r="A19" s="446" t="str">
        <f>'Distr CV 0'!A19</f>
        <v>Costes producción</v>
      </c>
      <c r="B19" s="444" t="str">
        <f t="array" ref="B19:M19">meses</f>
        <v>enero</v>
      </c>
      <c r="C19" s="440" t="str">
        <v>febrero</v>
      </c>
      <c r="D19" s="440" t="str">
        <v>marzo</v>
      </c>
      <c r="E19" s="440" t="str">
        <v>abril</v>
      </c>
      <c r="F19" s="440" t="str">
        <v>mayo</v>
      </c>
      <c r="G19" s="440" t="str">
        <v>junio</v>
      </c>
      <c r="H19" s="440" t="str">
        <v>julio</v>
      </c>
      <c r="I19" s="440" t="str">
        <v>agosto</v>
      </c>
      <c r="J19" s="440" t="str">
        <v>septiembre</v>
      </c>
      <c r="K19" s="440" t="str">
        <v>octubre</v>
      </c>
      <c r="L19" s="440" t="str">
        <v>noviembre</v>
      </c>
      <c r="M19" s="441" t="str">
        <v>diciembre</v>
      </c>
      <c r="N19" s="438" t="str">
        <f>N$7</f>
        <v>Totales</v>
      </c>
    </row>
    <row r="20" spans="1:15" ht="15.75" customHeight="1">
      <c r="A20" s="1972" t="str">
        <f t="array" ref="A20:A27">productos</f>
        <v>producto o servicio</v>
      </c>
      <c r="B20" s="587">
        <f t="array" aca="1" ref="B20:M27" ca="1">B8:M15*'Precios-CV'!$J19:$J26</f>
        <v>315.14246680000002</v>
      </c>
      <c r="C20" s="588">
        <f ca="1"/>
        <v>393.92808350000007</v>
      </c>
      <c r="D20" s="588">
        <f ca="1"/>
        <v>433.32089185000012</v>
      </c>
      <c r="E20" s="588">
        <f ca="1"/>
        <v>413.62448767500001</v>
      </c>
      <c r="F20" s="588">
        <f ca="1"/>
        <v>354.53527515000007</v>
      </c>
      <c r="G20" s="588">
        <f ca="1"/>
        <v>334.83887097500002</v>
      </c>
      <c r="H20" s="588">
        <f ca="1"/>
        <v>315.14246680000002</v>
      </c>
      <c r="I20" s="588">
        <f ca="1"/>
        <v>236.35685010000003</v>
      </c>
      <c r="J20" s="588">
        <f ca="1"/>
        <v>315.14246680000002</v>
      </c>
      <c r="K20" s="588">
        <f ca="1"/>
        <v>374.23167932500013</v>
      </c>
      <c r="L20" s="588">
        <f ca="1"/>
        <v>393.92808350000007</v>
      </c>
      <c r="M20" s="598">
        <f ca="1"/>
        <v>472.71370020000006</v>
      </c>
      <c r="N20" s="580">
        <f t="shared" ref="N20:N28" ca="1" si="1">SUM(B20:M20)</f>
        <v>4352.9053226750011</v>
      </c>
      <c r="O20" s="61"/>
    </row>
    <row r="21" spans="1:15" ht="15.75" customHeight="1">
      <c r="A21" s="1973" t="str">
        <v/>
      </c>
      <c r="B21" s="589">
        <f ca="1"/>
        <v>0</v>
      </c>
      <c r="C21" s="590">
        <f ca="1"/>
        <v>0</v>
      </c>
      <c r="D21" s="590">
        <f ca="1"/>
        <v>0</v>
      </c>
      <c r="E21" s="590">
        <f ca="1"/>
        <v>0</v>
      </c>
      <c r="F21" s="590">
        <f ca="1"/>
        <v>0</v>
      </c>
      <c r="G21" s="590">
        <f ca="1"/>
        <v>0</v>
      </c>
      <c r="H21" s="590">
        <f ca="1"/>
        <v>0</v>
      </c>
      <c r="I21" s="590">
        <f ca="1"/>
        <v>0</v>
      </c>
      <c r="J21" s="590">
        <f ca="1"/>
        <v>0</v>
      </c>
      <c r="K21" s="590">
        <f ca="1"/>
        <v>0</v>
      </c>
      <c r="L21" s="590">
        <f ca="1"/>
        <v>0</v>
      </c>
      <c r="M21" s="599">
        <f ca="1"/>
        <v>0</v>
      </c>
      <c r="N21" s="583">
        <f t="shared" ca="1" si="1"/>
        <v>0</v>
      </c>
      <c r="O21" s="61"/>
    </row>
    <row r="22" spans="1:15" ht="15.75" customHeight="1">
      <c r="A22" s="1973" t="str">
        <v/>
      </c>
      <c r="B22" s="589">
        <f ca="1"/>
        <v>0</v>
      </c>
      <c r="C22" s="590">
        <f ca="1"/>
        <v>0</v>
      </c>
      <c r="D22" s="590">
        <f ca="1"/>
        <v>0</v>
      </c>
      <c r="E22" s="590">
        <f ca="1"/>
        <v>0</v>
      </c>
      <c r="F22" s="590">
        <f ca="1"/>
        <v>0</v>
      </c>
      <c r="G22" s="590">
        <f ca="1"/>
        <v>0</v>
      </c>
      <c r="H22" s="590">
        <f ca="1"/>
        <v>0</v>
      </c>
      <c r="I22" s="590">
        <f ca="1"/>
        <v>0</v>
      </c>
      <c r="J22" s="590">
        <f ca="1"/>
        <v>0</v>
      </c>
      <c r="K22" s="590">
        <f ca="1"/>
        <v>0</v>
      </c>
      <c r="L22" s="590">
        <f ca="1"/>
        <v>0</v>
      </c>
      <c r="M22" s="599">
        <f ca="1"/>
        <v>0</v>
      </c>
      <c r="N22" s="583">
        <f t="shared" ca="1" si="1"/>
        <v>0</v>
      </c>
      <c r="O22" s="61"/>
    </row>
    <row r="23" spans="1:15" ht="15.75" customHeight="1">
      <c r="A23" s="1973" t="str">
        <v/>
      </c>
      <c r="B23" s="589">
        <f ca="1"/>
        <v>0</v>
      </c>
      <c r="C23" s="590">
        <f ca="1"/>
        <v>0</v>
      </c>
      <c r="D23" s="590">
        <f ca="1"/>
        <v>0</v>
      </c>
      <c r="E23" s="590">
        <f ca="1"/>
        <v>0</v>
      </c>
      <c r="F23" s="590">
        <f ca="1"/>
        <v>0</v>
      </c>
      <c r="G23" s="590">
        <f ca="1"/>
        <v>0</v>
      </c>
      <c r="H23" s="590">
        <f ca="1"/>
        <v>0</v>
      </c>
      <c r="I23" s="590">
        <f ca="1"/>
        <v>0</v>
      </c>
      <c r="J23" s="590">
        <f ca="1"/>
        <v>0</v>
      </c>
      <c r="K23" s="590">
        <f ca="1"/>
        <v>0</v>
      </c>
      <c r="L23" s="590">
        <f ca="1"/>
        <v>0</v>
      </c>
      <c r="M23" s="599">
        <f ca="1"/>
        <v>0</v>
      </c>
      <c r="N23" s="583">
        <f t="shared" ca="1" si="1"/>
        <v>0</v>
      </c>
      <c r="O23" s="61"/>
    </row>
    <row r="24" spans="1:15" ht="15.75" customHeight="1">
      <c r="A24" s="1973" t="str">
        <v/>
      </c>
      <c r="B24" s="589">
        <f ca="1"/>
        <v>0</v>
      </c>
      <c r="C24" s="590">
        <f ca="1"/>
        <v>0</v>
      </c>
      <c r="D24" s="590">
        <f ca="1"/>
        <v>0</v>
      </c>
      <c r="E24" s="590">
        <f ca="1"/>
        <v>0</v>
      </c>
      <c r="F24" s="590">
        <f ca="1"/>
        <v>0</v>
      </c>
      <c r="G24" s="590">
        <f ca="1"/>
        <v>0</v>
      </c>
      <c r="H24" s="590">
        <f ca="1"/>
        <v>0</v>
      </c>
      <c r="I24" s="590">
        <f ca="1"/>
        <v>0</v>
      </c>
      <c r="J24" s="590">
        <f ca="1"/>
        <v>0</v>
      </c>
      <c r="K24" s="590">
        <f ca="1"/>
        <v>0</v>
      </c>
      <c r="L24" s="590">
        <f ca="1"/>
        <v>0</v>
      </c>
      <c r="M24" s="599">
        <f ca="1"/>
        <v>0</v>
      </c>
      <c r="N24" s="583">
        <f t="shared" ca="1" si="1"/>
        <v>0</v>
      </c>
      <c r="O24" s="61"/>
    </row>
    <row r="25" spans="1:15" ht="15.75" customHeight="1">
      <c r="A25" s="1973" t="str">
        <v/>
      </c>
      <c r="B25" s="589">
        <f ca="1"/>
        <v>0</v>
      </c>
      <c r="C25" s="590">
        <f ca="1"/>
        <v>0</v>
      </c>
      <c r="D25" s="590">
        <f ca="1"/>
        <v>0</v>
      </c>
      <c r="E25" s="590">
        <f ca="1"/>
        <v>0</v>
      </c>
      <c r="F25" s="590">
        <f ca="1"/>
        <v>0</v>
      </c>
      <c r="G25" s="590">
        <f ca="1"/>
        <v>0</v>
      </c>
      <c r="H25" s="590">
        <f ca="1"/>
        <v>0</v>
      </c>
      <c r="I25" s="590">
        <f ca="1"/>
        <v>0</v>
      </c>
      <c r="J25" s="590">
        <f ca="1"/>
        <v>0</v>
      </c>
      <c r="K25" s="590">
        <f ca="1"/>
        <v>0</v>
      </c>
      <c r="L25" s="590">
        <f ca="1"/>
        <v>0</v>
      </c>
      <c r="M25" s="599">
        <f ca="1"/>
        <v>0</v>
      </c>
      <c r="N25" s="583">
        <f t="shared" ca="1" si="1"/>
        <v>0</v>
      </c>
      <c r="O25" s="61"/>
    </row>
    <row r="26" spans="1:15" ht="15.75" customHeight="1">
      <c r="A26" s="1973" t="str">
        <v/>
      </c>
      <c r="B26" s="589">
        <f ca="1"/>
        <v>0</v>
      </c>
      <c r="C26" s="590">
        <f ca="1"/>
        <v>0</v>
      </c>
      <c r="D26" s="590">
        <f ca="1"/>
        <v>0</v>
      </c>
      <c r="E26" s="590">
        <f ca="1"/>
        <v>0</v>
      </c>
      <c r="F26" s="590">
        <f ca="1"/>
        <v>0</v>
      </c>
      <c r="G26" s="590">
        <f ca="1"/>
        <v>0</v>
      </c>
      <c r="H26" s="590">
        <f ca="1"/>
        <v>0</v>
      </c>
      <c r="I26" s="590">
        <f ca="1"/>
        <v>0</v>
      </c>
      <c r="J26" s="590">
        <f ca="1"/>
        <v>0</v>
      </c>
      <c r="K26" s="590">
        <f ca="1"/>
        <v>0</v>
      </c>
      <c r="L26" s="590">
        <f ca="1"/>
        <v>0</v>
      </c>
      <c r="M26" s="599">
        <f ca="1"/>
        <v>0</v>
      </c>
      <c r="N26" s="583">
        <f t="shared" ca="1" si="1"/>
        <v>0</v>
      </c>
      <c r="O26" s="61"/>
    </row>
    <row r="27" spans="1:15" ht="15.75" customHeight="1" thickBot="1">
      <c r="A27" s="1974" t="str">
        <v/>
      </c>
      <c r="B27" s="591">
        <f ca="1"/>
        <v>0</v>
      </c>
      <c r="C27" s="592">
        <f ca="1"/>
        <v>0</v>
      </c>
      <c r="D27" s="592">
        <f ca="1"/>
        <v>0</v>
      </c>
      <c r="E27" s="592">
        <f ca="1"/>
        <v>0</v>
      </c>
      <c r="F27" s="592">
        <f ca="1"/>
        <v>0</v>
      </c>
      <c r="G27" s="592">
        <f ca="1"/>
        <v>0</v>
      </c>
      <c r="H27" s="592">
        <f ca="1"/>
        <v>0</v>
      </c>
      <c r="I27" s="592">
        <f ca="1"/>
        <v>0</v>
      </c>
      <c r="J27" s="592">
        <f ca="1"/>
        <v>0</v>
      </c>
      <c r="K27" s="592">
        <f ca="1"/>
        <v>0</v>
      </c>
      <c r="L27" s="592">
        <f ca="1"/>
        <v>0</v>
      </c>
      <c r="M27" s="600">
        <f ca="1"/>
        <v>0</v>
      </c>
      <c r="N27" s="593">
        <f t="shared" ca="1" si="1"/>
        <v>0</v>
      </c>
      <c r="O27" s="61"/>
    </row>
    <row r="28" spans="1:15" ht="15.75" customHeight="1" thickBot="1">
      <c r="A28" s="103" t="s">
        <v>15</v>
      </c>
      <c r="B28" s="595">
        <f t="shared" ref="B28:M28" ca="1" si="2">SUM(B20:B27)</f>
        <v>315.14246680000002</v>
      </c>
      <c r="C28" s="596">
        <f t="shared" ca="1" si="2"/>
        <v>393.92808350000007</v>
      </c>
      <c r="D28" s="596">
        <f t="shared" ca="1" si="2"/>
        <v>433.32089185000012</v>
      </c>
      <c r="E28" s="596">
        <f t="shared" ca="1" si="2"/>
        <v>413.62448767500001</v>
      </c>
      <c r="F28" s="596">
        <f t="shared" ca="1" si="2"/>
        <v>354.53527515000007</v>
      </c>
      <c r="G28" s="596">
        <f t="shared" ca="1" si="2"/>
        <v>334.83887097500002</v>
      </c>
      <c r="H28" s="596">
        <f t="shared" ca="1" si="2"/>
        <v>315.14246680000002</v>
      </c>
      <c r="I28" s="596">
        <f t="shared" ca="1" si="2"/>
        <v>236.35685010000003</v>
      </c>
      <c r="J28" s="596">
        <f t="shared" ca="1" si="2"/>
        <v>315.14246680000002</v>
      </c>
      <c r="K28" s="596">
        <f t="shared" ca="1" si="2"/>
        <v>374.23167932500013</v>
      </c>
      <c r="L28" s="596">
        <f t="shared" ca="1" si="2"/>
        <v>393.92808350000007</v>
      </c>
      <c r="M28" s="597">
        <f t="shared" ca="1" si="2"/>
        <v>472.71370020000006</v>
      </c>
      <c r="N28" s="594">
        <f t="shared" ca="1" si="1"/>
        <v>4352.9053226750011</v>
      </c>
      <c r="O28" s="61"/>
    </row>
    <row r="29" spans="1:15" ht="15">
      <c r="A29" s="213"/>
    </row>
    <row r="30" spans="1:15" ht="15.75" thickBot="1">
      <c r="A30" s="213"/>
    </row>
    <row r="31" spans="1:15" ht="19.5" customHeight="1" thickBot="1">
      <c r="A31" s="446" t="str">
        <f>'Distr CV 0'!A31</f>
        <v>IVA sop. Costes producc.</v>
      </c>
      <c r="B31" s="444" t="str">
        <f t="array" ref="B31:M31">meses</f>
        <v>enero</v>
      </c>
      <c r="C31" s="440" t="str">
        <v>febrero</v>
      </c>
      <c r="D31" s="440" t="str">
        <v>marzo</v>
      </c>
      <c r="E31" s="440" t="str">
        <v>abril</v>
      </c>
      <c r="F31" s="440" t="str">
        <v>mayo</v>
      </c>
      <c r="G31" s="440" t="str">
        <v>junio</v>
      </c>
      <c r="H31" s="440" t="str">
        <v>julio</v>
      </c>
      <c r="I31" s="440" t="str">
        <v>agosto</v>
      </c>
      <c r="J31" s="440" t="str">
        <v>septiembre</v>
      </c>
      <c r="K31" s="440" t="str">
        <v>octubre</v>
      </c>
      <c r="L31" s="440" t="str">
        <v>noviembre</v>
      </c>
      <c r="M31" s="441" t="str">
        <v>diciembre</v>
      </c>
      <c r="N31" s="438" t="str">
        <f>N$7</f>
        <v>Totales</v>
      </c>
    </row>
    <row r="32" spans="1:15" ht="15.75" customHeight="1">
      <c r="A32" s="1972" t="str">
        <f t="array" ref="A32:A39">productos</f>
        <v>producto o servicio</v>
      </c>
      <c r="B32" s="587">
        <f t="array" aca="1" ref="B32:M39" ca="1">B20:M27*Parametros!$F24:$F31</f>
        <v>66.179918028000003</v>
      </c>
      <c r="C32" s="588">
        <f ca="1"/>
        <v>82.724897535000011</v>
      </c>
      <c r="D32" s="588">
        <f ca="1"/>
        <v>90.997387288500022</v>
      </c>
      <c r="E32" s="588">
        <f ca="1"/>
        <v>86.861142411749995</v>
      </c>
      <c r="F32" s="588">
        <f ca="1"/>
        <v>74.452407781500014</v>
      </c>
      <c r="G32" s="588">
        <f ca="1"/>
        <v>70.316162904750001</v>
      </c>
      <c r="H32" s="588">
        <f ca="1"/>
        <v>66.179918028000003</v>
      </c>
      <c r="I32" s="588">
        <f ca="1"/>
        <v>49.634938521000002</v>
      </c>
      <c r="J32" s="588">
        <f ca="1"/>
        <v>66.179918028000003</v>
      </c>
      <c r="K32" s="588">
        <f ca="1"/>
        <v>78.588652658250027</v>
      </c>
      <c r="L32" s="588">
        <f ca="1"/>
        <v>82.724897535000011</v>
      </c>
      <c r="M32" s="598">
        <f ca="1"/>
        <v>99.269877042000005</v>
      </c>
      <c r="N32" s="580">
        <f t="shared" ref="N32:N40" ca="1" si="3">SUM(B32:M32)</f>
        <v>914.11011776174996</v>
      </c>
      <c r="O32" s="61"/>
    </row>
    <row r="33" spans="1:15" ht="15.75" customHeight="1">
      <c r="A33" s="1973" t="str">
        <v/>
      </c>
      <c r="B33" s="589">
        <f ca="1"/>
        <v>0</v>
      </c>
      <c r="C33" s="590">
        <f ca="1"/>
        <v>0</v>
      </c>
      <c r="D33" s="590">
        <f ca="1"/>
        <v>0</v>
      </c>
      <c r="E33" s="590">
        <f ca="1"/>
        <v>0</v>
      </c>
      <c r="F33" s="590">
        <f ca="1"/>
        <v>0</v>
      </c>
      <c r="G33" s="590">
        <f ca="1"/>
        <v>0</v>
      </c>
      <c r="H33" s="590">
        <f ca="1"/>
        <v>0</v>
      </c>
      <c r="I33" s="590">
        <f ca="1"/>
        <v>0</v>
      </c>
      <c r="J33" s="590">
        <f ca="1"/>
        <v>0</v>
      </c>
      <c r="K33" s="590">
        <f ca="1"/>
        <v>0</v>
      </c>
      <c r="L33" s="590">
        <f ca="1"/>
        <v>0</v>
      </c>
      <c r="M33" s="599">
        <f ca="1"/>
        <v>0</v>
      </c>
      <c r="N33" s="583">
        <f t="shared" ca="1" si="3"/>
        <v>0</v>
      </c>
      <c r="O33" s="61"/>
    </row>
    <row r="34" spans="1:15" ht="15.75" customHeight="1">
      <c r="A34" s="1973" t="str">
        <v/>
      </c>
      <c r="B34" s="589">
        <f ca="1"/>
        <v>0</v>
      </c>
      <c r="C34" s="590">
        <f ca="1"/>
        <v>0</v>
      </c>
      <c r="D34" s="590">
        <f ca="1"/>
        <v>0</v>
      </c>
      <c r="E34" s="590">
        <f ca="1"/>
        <v>0</v>
      </c>
      <c r="F34" s="590">
        <f ca="1"/>
        <v>0</v>
      </c>
      <c r="G34" s="590">
        <f ca="1"/>
        <v>0</v>
      </c>
      <c r="H34" s="590">
        <f ca="1"/>
        <v>0</v>
      </c>
      <c r="I34" s="590">
        <f ca="1"/>
        <v>0</v>
      </c>
      <c r="J34" s="590">
        <f ca="1"/>
        <v>0</v>
      </c>
      <c r="K34" s="590">
        <f ca="1"/>
        <v>0</v>
      </c>
      <c r="L34" s="590">
        <f ca="1"/>
        <v>0</v>
      </c>
      <c r="M34" s="599">
        <f ca="1"/>
        <v>0</v>
      </c>
      <c r="N34" s="583">
        <f t="shared" ca="1" si="3"/>
        <v>0</v>
      </c>
      <c r="O34" s="61"/>
    </row>
    <row r="35" spans="1:15" ht="15.75" customHeight="1">
      <c r="A35" s="1973" t="str">
        <v/>
      </c>
      <c r="B35" s="589">
        <f ca="1"/>
        <v>0</v>
      </c>
      <c r="C35" s="590">
        <f ca="1"/>
        <v>0</v>
      </c>
      <c r="D35" s="590">
        <f ca="1"/>
        <v>0</v>
      </c>
      <c r="E35" s="590">
        <f ca="1"/>
        <v>0</v>
      </c>
      <c r="F35" s="590">
        <f ca="1"/>
        <v>0</v>
      </c>
      <c r="G35" s="590">
        <f ca="1"/>
        <v>0</v>
      </c>
      <c r="H35" s="590">
        <f ca="1"/>
        <v>0</v>
      </c>
      <c r="I35" s="590">
        <f ca="1"/>
        <v>0</v>
      </c>
      <c r="J35" s="590">
        <f ca="1"/>
        <v>0</v>
      </c>
      <c r="K35" s="590">
        <f ca="1"/>
        <v>0</v>
      </c>
      <c r="L35" s="590">
        <f ca="1"/>
        <v>0</v>
      </c>
      <c r="M35" s="599">
        <f ca="1"/>
        <v>0</v>
      </c>
      <c r="N35" s="583">
        <f t="shared" ca="1" si="3"/>
        <v>0</v>
      </c>
      <c r="O35" s="61"/>
    </row>
    <row r="36" spans="1:15" ht="15.75" customHeight="1">
      <c r="A36" s="1973" t="str">
        <v/>
      </c>
      <c r="B36" s="589">
        <f ca="1"/>
        <v>0</v>
      </c>
      <c r="C36" s="590">
        <f ca="1"/>
        <v>0</v>
      </c>
      <c r="D36" s="590">
        <f ca="1"/>
        <v>0</v>
      </c>
      <c r="E36" s="590">
        <f ca="1"/>
        <v>0</v>
      </c>
      <c r="F36" s="590">
        <f ca="1"/>
        <v>0</v>
      </c>
      <c r="G36" s="590">
        <f ca="1"/>
        <v>0</v>
      </c>
      <c r="H36" s="590">
        <f ca="1"/>
        <v>0</v>
      </c>
      <c r="I36" s="590">
        <f ca="1"/>
        <v>0</v>
      </c>
      <c r="J36" s="590">
        <f ca="1"/>
        <v>0</v>
      </c>
      <c r="K36" s="590">
        <f ca="1"/>
        <v>0</v>
      </c>
      <c r="L36" s="590">
        <f ca="1"/>
        <v>0</v>
      </c>
      <c r="M36" s="599">
        <f ca="1"/>
        <v>0</v>
      </c>
      <c r="N36" s="583">
        <f t="shared" ca="1" si="3"/>
        <v>0</v>
      </c>
      <c r="O36" s="61"/>
    </row>
    <row r="37" spans="1:15" ht="15.75" customHeight="1">
      <c r="A37" s="1973" t="str">
        <v/>
      </c>
      <c r="B37" s="589">
        <f ca="1"/>
        <v>0</v>
      </c>
      <c r="C37" s="590">
        <f ca="1"/>
        <v>0</v>
      </c>
      <c r="D37" s="590">
        <f ca="1"/>
        <v>0</v>
      </c>
      <c r="E37" s="590">
        <f ca="1"/>
        <v>0</v>
      </c>
      <c r="F37" s="590">
        <f ca="1"/>
        <v>0</v>
      </c>
      <c r="G37" s="590">
        <f ca="1"/>
        <v>0</v>
      </c>
      <c r="H37" s="590">
        <f ca="1"/>
        <v>0</v>
      </c>
      <c r="I37" s="590">
        <f ca="1"/>
        <v>0</v>
      </c>
      <c r="J37" s="590">
        <f ca="1"/>
        <v>0</v>
      </c>
      <c r="K37" s="590">
        <f ca="1"/>
        <v>0</v>
      </c>
      <c r="L37" s="590">
        <f ca="1"/>
        <v>0</v>
      </c>
      <c r="M37" s="599">
        <f ca="1"/>
        <v>0</v>
      </c>
      <c r="N37" s="583">
        <f t="shared" ca="1" si="3"/>
        <v>0</v>
      </c>
      <c r="O37" s="61"/>
    </row>
    <row r="38" spans="1:15" ht="15.75" customHeight="1">
      <c r="A38" s="1973" t="str">
        <v/>
      </c>
      <c r="B38" s="589">
        <f ca="1"/>
        <v>0</v>
      </c>
      <c r="C38" s="590">
        <f ca="1"/>
        <v>0</v>
      </c>
      <c r="D38" s="590">
        <f ca="1"/>
        <v>0</v>
      </c>
      <c r="E38" s="590">
        <f ca="1"/>
        <v>0</v>
      </c>
      <c r="F38" s="590">
        <f ca="1"/>
        <v>0</v>
      </c>
      <c r="G38" s="590">
        <f ca="1"/>
        <v>0</v>
      </c>
      <c r="H38" s="590">
        <f ca="1"/>
        <v>0</v>
      </c>
      <c r="I38" s="590">
        <f ca="1"/>
        <v>0</v>
      </c>
      <c r="J38" s="590">
        <f ca="1"/>
        <v>0</v>
      </c>
      <c r="K38" s="590">
        <f ca="1"/>
        <v>0</v>
      </c>
      <c r="L38" s="590">
        <f ca="1"/>
        <v>0</v>
      </c>
      <c r="M38" s="599">
        <f ca="1"/>
        <v>0</v>
      </c>
      <c r="N38" s="583">
        <f t="shared" ca="1" si="3"/>
        <v>0</v>
      </c>
      <c r="O38" s="61"/>
    </row>
    <row r="39" spans="1:15" ht="15.75" customHeight="1" thickBot="1">
      <c r="A39" s="1974" t="str">
        <v/>
      </c>
      <c r="B39" s="591">
        <f ca="1"/>
        <v>0</v>
      </c>
      <c r="C39" s="592">
        <f ca="1"/>
        <v>0</v>
      </c>
      <c r="D39" s="592">
        <f ca="1"/>
        <v>0</v>
      </c>
      <c r="E39" s="592">
        <f ca="1"/>
        <v>0</v>
      </c>
      <c r="F39" s="592">
        <f ca="1"/>
        <v>0</v>
      </c>
      <c r="G39" s="592">
        <f ca="1"/>
        <v>0</v>
      </c>
      <c r="H39" s="592">
        <f ca="1"/>
        <v>0</v>
      </c>
      <c r="I39" s="592">
        <f ca="1"/>
        <v>0</v>
      </c>
      <c r="J39" s="592">
        <f ca="1"/>
        <v>0</v>
      </c>
      <c r="K39" s="592">
        <f ca="1"/>
        <v>0</v>
      </c>
      <c r="L39" s="592">
        <f ca="1"/>
        <v>0</v>
      </c>
      <c r="M39" s="600">
        <f ca="1"/>
        <v>0</v>
      </c>
      <c r="N39" s="593">
        <f t="shared" ca="1" si="3"/>
        <v>0</v>
      </c>
      <c r="O39" s="61"/>
    </row>
    <row r="40" spans="1:15" ht="15.75" customHeight="1" thickBot="1">
      <c r="A40" s="103" t="str">
        <f>A$28</f>
        <v>Totales</v>
      </c>
      <c r="B40" s="595">
        <f t="shared" ref="B40:M40" ca="1" si="4">SUM(B32:B39)</f>
        <v>66.179918028000003</v>
      </c>
      <c r="C40" s="596">
        <f t="shared" ca="1" si="4"/>
        <v>82.724897535000011</v>
      </c>
      <c r="D40" s="596">
        <f t="shared" ca="1" si="4"/>
        <v>90.997387288500022</v>
      </c>
      <c r="E40" s="596">
        <f t="shared" ca="1" si="4"/>
        <v>86.861142411749995</v>
      </c>
      <c r="F40" s="596">
        <f t="shared" ca="1" si="4"/>
        <v>74.452407781500014</v>
      </c>
      <c r="G40" s="596">
        <f t="shared" ca="1" si="4"/>
        <v>70.316162904750001</v>
      </c>
      <c r="H40" s="596">
        <f t="shared" ca="1" si="4"/>
        <v>66.179918028000003</v>
      </c>
      <c r="I40" s="596">
        <f t="shared" ca="1" si="4"/>
        <v>49.634938521000002</v>
      </c>
      <c r="J40" s="596">
        <f t="shared" ca="1" si="4"/>
        <v>66.179918028000003</v>
      </c>
      <c r="K40" s="596">
        <f t="shared" ca="1" si="4"/>
        <v>78.588652658250027</v>
      </c>
      <c r="L40" s="596">
        <f t="shared" ca="1" si="4"/>
        <v>82.724897535000011</v>
      </c>
      <c r="M40" s="597">
        <f t="shared" ca="1" si="4"/>
        <v>99.269877042000005</v>
      </c>
      <c r="N40" s="594">
        <f t="shared" ca="1" si="3"/>
        <v>914.11011776174996</v>
      </c>
      <c r="O40" s="61"/>
    </row>
    <row r="41" spans="1:15" ht="15">
      <c r="A41" s="213"/>
      <c r="B41" s="2796" t="str">
        <f>'Distr CV 0'!B41</f>
        <v>No tiene sentido calcular el IVA del CV en el mes en el que se imputa (cuando se vende) sino en el mes en el que se produce la compra</v>
      </c>
    </row>
    <row r="42" spans="1:15" ht="15">
      <c r="A42" s="213"/>
    </row>
    <row r="43" spans="1:15" ht="15">
      <c r="A43" s="213"/>
    </row>
    <row r="44" spans="1:15" ht="18.75" thickBot="1">
      <c r="A44" s="1969" t="str">
        <f>'Distr CV 0'!A44</f>
        <v>Costes de producción en el año</v>
      </c>
      <c r="G44" s="2710" t="str">
        <f>$K$1</f>
        <v>Año 5 :   2031</v>
      </c>
      <c r="I44" s="1969" t="str">
        <f>I$18</f>
        <v>IVA NO incluido</v>
      </c>
    </row>
    <row r="45" spans="1:15" s="445" customFormat="1" ht="15.75" customHeight="1" thickBot="1">
      <c r="A45" s="446" t="str">
        <f>A$19</f>
        <v>Costes producción</v>
      </c>
      <c r="B45" s="444" t="str">
        <f t="array" ref="B45:M45">meses</f>
        <v>enero</v>
      </c>
      <c r="C45" s="440" t="str">
        <v>febrero</v>
      </c>
      <c r="D45" s="440" t="str">
        <v>marzo</v>
      </c>
      <c r="E45" s="440" t="str">
        <v>abril</v>
      </c>
      <c r="F45" s="440" t="str">
        <v>mayo</v>
      </c>
      <c r="G45" s="440" t="str">
        <v>junio</v>
      </c>
      <c r="H45" s="440" t="str">
        <v>julio</v>
      </c>
      <c r="I45" s="440" t="str">
        <v>agosto</v>
      </c>
      <c r="J45" s="440" t="str">
        <v>septiembre</v>
      </c>
      <c r="K45" s="440" t="str">
        <v>octubre</v>
      </c>
      <c r="L45" s="440" t="str">
        <v>noviembre</v>
      </c>
      <c r="M45" s="441" t="str">
        <v>diciembre</v>
      </c>
      <c r="N45" s="438" t="str">
        <f>N$7</f>
        <v>Totales</v>
      </c>
    </row>
    <row r="46" spans="1:15" ht="15.75" customHeight="1">
      <c r="A46" s="1972" t="str">
        <f t="array" ref="A46:A53">productos</f>
        <v>producto o servicio</v>
      </c>
      <c r="B46" s="587">
        <f t="array" aca="1" ref="B46:M46" ca="1">N124:Y124</f>
        <v>315.14246680000002</v>
      </c>
      <c r="C46" s="588">
        <f ca="1"/>
        <v>393.92808350000007</v>
      </c>
      <c r="D46" s="588">
        <f ca="1"/>
        <v>433.32089185000012</v>
      </c>
      <c r="E46" s="588">
        <f ca="1"/>
        <v>413.62448767500001</v>
      </c>
      <c r="F46" s="588">
        <f ca="1"/>
        <v>354.53527515000007</v>
      </c>
      <c r="G46" s="588">
        <f ca="1"/>
        <v>334.83887097500002</v>
      </c>
      <c r="H46" s="588">
        <f ca="1"/>
        <v>315.14246680000002</v>
      </c>
      <c r="I46" s="588">
        <f ca="1"/>
        <v>236.35685010000003</v>
      </c>
      <c r="J46" s="588">
        <f ca="1"/>
        <v>315.14246680000002</v>
      </c>
      <c r="K46" s="588">
        <f ca="1"/>
        <v>374.23167932500013</v>
      </c>
      <c r="L46" s="588">
        <f ca="1"/>
        <v>393.92808350000007</v>
      </c>
      <c r="M46" s="598">
        <f ca="1"/>
        <v>472.71370020000006</v>
      </c>
      <c r="N46" s="580">
        <f t="shared" ref="N46:N54" ca="1" si="5">SUM(B46:M46)</f>
        <v>4352.9053226750011</v>
      </c>
      <c r="O46" s="61"/>
    </row>
    <row r="47" spans="1:15" ht="15.75" customHeight="1">
      <c r="A47" s="1973" t="str">
        <v/>
      </c>
      <c r="B47" s="589">
        <f t="array" aca="1" ref="B47:M47" ca="1">N142:Y142</f>
        <v>0</v>
      </c>
      <c r="C47" s="590">
        <f ca="1"/>
        <v>0</v>
      </c>
      <c r="D47" s="590">
        <f ca="1"/>
        <v>0</v>
      </c>
      <c r="E47" s="590">
        <f ca="1"/>
        <v>0</v>
      </c>
      <c r="F47" s="590">
        <f ca="1"/>
        <v>0</v>
      </c>
      <c r="G47" s="590">
        <f ca="1"/>
        <v>0</v>
      </c>
      <c r="H47" s="590">
        <f ca="1"/>
        <v>0</v>
      </c>
      <c r="I47" s="590">
        <f ca="1"/>
        <v>0</v>
      </c>
      <c r="J47" s="590">
        <f ca="1"/>
        <v>0</v>
      </c>
      <c r="K47" s="590">
        <f ca="1"/>
        <v>0</v>
      </c>
      <c r="L47" s="590">
        <f ca="1"/>
        <v>0</v>
      </c>
      <c r="M47" s="599">
        <f ca="1"/>
        <v>0</v>
      </c>
      <c r="N47" s="583">
        <f t="shared" ca="1" si="5"/>
        <v>0</v>
      </c>
      <c r="O47" s="61"/>
    </row>
    <row r="48" spans="1:15" ht="15.75" customHeight="1">
      <c r="A48" s="1973" t="str">
        <v/>
      </c>
      <c r="B48" s="589">
        <f t="array" aca="1" ref="B48:M48" ca="1">N160:Y160</f>
        <v>0</v>
      </c>
      <c r="C48" s="590">
        <f ca="1"/>
        <v>0</v>
      </c>
      <c r="D48" s="590">
        <f ca="1"/>
        <v>0</v>
      </c>
      <c r="E48" s="590">
        <f ca="1"/>
        <v>0</v>
      </c>
      <c r="F48" s="590">
        <f ca="1"/>
        <v>0</v>
      </c>
      <c r="G48" s="590">
        <f ca="1"/>
        <v>0</v>
      </c>
      <c r="H48" s="590">
        <f ca="1"/>
        <v>0</v>
      </c>
      <c r="I48" s="590">
        <f ca="1"/>
        <v>0</v>
      </c>
      <c r="J48" s="590">
        <f ca="1"/>
        <v>0</v>
      </c>
      <c r="K48" s="590">
        <f ca="1"/>
        <v>0</v>
      </c>
      <c r="L48" s="590">
        <f ca="1"/>
        <v>0</v>
      </c>
      <c r="M48" s="599">
        <f ca="1"/>
        <v>0</v>
      </c>
      <c r="N48" s="583">
        <f t="shared" ca="1" si="5"/>
        <v>0</v>
      </c>
      <c r="O48" s="61"/>
    </row>
    <row r="49" spans="1:15" ht="15.75" customHeight="1">
      <c r="A49" s="1973" t="str">
        <v/>
      </c>
      <c r="B49" s="589">
        <f t="array" aca="1" ref="B49:M49" ca="1">N178:Y178</f>
        <v>0</v>
      </c>
      <c r="C49" s="590">
        <f ca="1"/>
        <v>0</v>
      </c>
      <c r="D49" s="590">
        <f ca="1"/>
        <v>0</v>
      </c>
      <c r="E49" s="590">
        <f ca="1"/>
        <v>0</v>
      </c>
      <c r="F49" s="590">
        <f ca="1"/>
        <v>0</v>
      </c>
      <c r="G49" s="590">
        <f ca="1"/>
        <v>0</v>
      </c>
      <c r="H49" s="590">
        <f ca="1"/>
        <v>0</v>
      </c>
      <c r="I49" s="590">
        <f ca="1"/>
        <v>0</v>
      </c>
      <c r="J49" s="590">
        <f ca="1"/>
        <v>0</v>
      </c>
      <c r="K49" s="590">
        <f ca="1"/>
        <v>0</v>
      </c>
      <c r="L49" s="590">
        <f ca="1"/>
        <v>0</v>
      </c>
      <c r="M49" s="599">
        <f ca="1"/>
        <v>0</v>
      </c>
      <c r="N49" s="583">
        <f t="shared" ca="1" si="5"/>
        <v>0</v>
      </c>
      <c r="O49" s="61"/>
    </row>
    <row r="50" spans="1:15" ht="15.75" customHeight="1">
      <c r="A50" s="1973" t="str">
        <v/>
      </c>
      <c r="B50" s="589">
        <f t="array" aca="1" ref="B50:M50" ca="1">N196:Y196</f>
        <v>0</v>
      </c>
      <c r="C50" s="590">
        <f ca="1"/>
        <v>0</v>
      </c>
      <c r="D50" s="590">
        <f ca="1"/>
        <v>0</v>
      </c>
      <c r="E50" s="590">
        <f ca="1"/>
        <v>0</v>
      </c>
      <c r="F50" s="590">
        <f ca="1"/>
        <v>0</v>
      </c>
      <c r="G50" s="590">
        <f ca="1"/>
        <v>0</v>
      </c>
      <c r="H50" s="590">
        <f ca="1"/>
        <v>0</v>
      </c>
      <c r="I50" s="590">
        <f ca="1"/>
        <v>0</v>
      </c>
      <c r="J50" s="590">
        <f ca="1"/>
        <v>0</v>
      </c>
      <c r="K50" s="590">
        <f ca="1"/>
        <v>0</v>
      </c>
      <c r="L50" s="590">
        <f ca="1"/>
        <v>0</v>
      </c>
      <c r="M50" s="599">
        <f ca="1"/>
        <v>0</v>
      </c>
      <c r="N50" s="583">
        <f t="shared" ca="1" si="5"/>
        <v>0</v>
      </c>
      <c r="O50" s="61"/>
    </row>
    <row r="51" spans="1:15" ht="15.75" customHeight="1">
      <c r="A51" s="1973" t="str">
        <v/>
      </c>
      <c r="B51" s="589">
        <f t="array" aca="1" ref="B51:M51" ca="1">N214:Y214</f>
        <v>0</v>
      </c>
      <c r="C51" s="590">
        <f ca="1"/>
        <v>0</v>
      </c>
      <c r="D51" s="590">
        <f ca="1"/>
        <v>0</v>
      </c>
      <c r="E51" s="590">
        <f ca="1"/>
        <v>0</v>
      </c>
      <c r="F51" s="590">
        <f ca="1"/>
        <v>0</v>
      </c>
      <c r="G51" s="590">
        <f ca="1"/>
        <v>0</v>
      </c>
      <c r="H51" s="590">
        <f ca="1"/>
        <v>0</v>
      </c>
      <c r="I51" s="590">
        <f ca="1"/>
        <v>0</v>
      </c>
      <c r="J51" s="590">
        <f ca="1"/>
        <v>0</v>
      </c>
      <c r="K51" s="590">
        <f ca="1"/>
        <v>0</v>
      </c>
      <c r="L51" s="590">
        <f ca="1"/>
        <v>0</v>
      </c>
      <c r="M51" s="599">
        <f ca="1"/>
        <v>0</v>
      </c>
      <c r="N51" s="583">
        <f t="shared" ca="1" si="5"/>
        <v>0</v>
      </c>
      <c r="O51" s="61"/>
    </row>
    <row r="52" spans="1:15" ht="15.75" customHeight="1">
      <c r="A52" s="1973" t="str">
        <v/>
      </c>
      <c r="B52" s="589">
        <f t="array" aca="1" ref="B52:M52" ca="1">N232:Y232</f>
        <v>0</v>
      </c>
      <c r="C52" s="590">
        <f ca="1"/>
        <v>0</v>
      </c>
      <c r="D52" s="590">
        <f ca="1"/>
        <v>0</v>
      </c>
      <c r="E52" s="590">
        <f ca="1"/>
        <v>0</v>
      </c>
      <c r="F52" s="590">
        <f ca="1"/>
        <v>0</v>
      </c>
      <c r="G52" s="590">
        <f ca="1"/>
        <v>0</v>
      </c>
      <c r="H52" s="590">
        <f ca="1"/>
        <v>0</v>
      </c>
      <c r="I52" s="590">
        <f ca="1"/>
        <v>0</v>
      </c>
      <c r="J52" s="590">
        <f ca="1"/>
        <v>0</v>
      </c>
      <c r="K52" s="590">
        <f ca="1"/>
        <v>0</v>
      </c>
      <c r="L52" s="590">
        <f ca="1"/>
        <v>0</v>
      </c>
      <c r="M52" s="599">
        <f ca="1"/>
        <v>0</v>
      </c>
      <c r="N52" s="583">
        <f t="shared" ca="1" si="5"/>
        <v>0</v>
      </c>
      <c r="O52" s="61"/>
    </row>
    <row r="53" spans="1:15" ht="15.75" customHeight="1" thickBot="1">
      <c r="A53" s="1974" t="str">
        <v/>
      </c>
      <c r="B53" s="591">
        <f t="array" aca="1" ref="B53:M53" ca="1">N250:Y250</f>
        <v>0</v>
      </c>
      <c r="C53" s="592">
        <f ca="1"/>
        <v>0</v>
      </c>
      <c r="D53" s="592">
        <f ca="1"/>
        <v>0</v>
      </c>
      <c r="E53" s="592">
        <f ca="1"/>
        <v>0</v>
      </c>
      <c r="F53" s="592">
        <f ca="1"/>
        <v>0</v>
      </c>
      <c r="G53" s="592">
        <f ca="1"/>
        <v>0</v>
      </c>
      <c r="H53" s="592">
        <f ca="1"/>
        <v>0</v>
      </c>
      <c r="I53" s="592">
        <f ca="1"/>
        <v>0</v>
      </c>
      <c r="J53" s="592">
        <f ca="1"/>
        <v>0</v>
      </c>
      <c r="K53" s="592">
        <f ca="1"/>
        <v>0</v>
      </c>
      <c r="L53" s="592">
        <f ca="1"/>
        <v>0</v>
      </c>
      <c r="M53" s="600">
        <f ca="1"/>
        <v>0</v>
      </c>
      <c r="N53" s="593">
        <f t="shared" ca="1" si="5"/>
        <v>0</v>
      </c>
      <c r="O53" s="61"/>
    </row>
    <row r="54" spans="1:15" ht="15.75" customHeight="1" thickBot="1">
      <c r="A54" s="103" t="str">
        <f>A$28</f>
        <v>Totales</v>
      </c>
      <c r="B54" s="595">
        <f t="shared" ref="B54:M54" ca="1" si="6">SUM(B46:B53)</f>
        <v>315.14246680000002</v>
      </c>
      <c r="C54" s="596">
        <f t="shared" ca="1" si="6"/>
        <v>393.92808350000007</v>
      </c>
      <c r="D54" s="596">
        <f t="shared" ca="1" si="6"/>
        <v>433.32089185000012</v>
      </c>
      <c r="E54" s="596">
        <f t="shared" ca="1" si="6"/>
        <v>413.62448767500001</v>
      </c>
      <c r="F54" s="596">
        <f t="shared" ca="1" si="6"/>
        <v>354.53527515000007</v>
      </c>
      <c r="G54" s="596">
        <f t="shared" ca="1" si="6"/>
        <v>334.83887097500002</v>
      </c>
      <c r="H54" s="596">
        <f t="shared" ca="1" si="6"/>
        <v>315.14246680000002</v>
      </c>
      <c r="I54" s="596">
        <f t="shared" ca="1" si="6"/>
        <v>236.35685010000003</v>
      </c>
      <c r="J54" s="596">
        <f t="shared" ca="1" si="6"/>
        <v>315.14246680000002</v>
      </c>
      <c r="K54" s="596">
        <f t="shared" ca="1" si="6"/>
        <v>374.23167932500013</v>
      </c>
      <c r="L54" s="596">
        <f t="shared" ca="1" si="6"/>
        <v>393.92808350000007</v>
      </c>
      <c r="M54" s="597">
        <f t="shared" ca="1" si="6"/>
        <v>472.71370020000006</v>
      </c>
      <c r="N54" s="594">
        <f t="shared" ca="1" si="5"/>
        <v>4352.9053226750011</v>
      </c>
      <c r="O54" s="61"/>
    </row>
    <row r="55" spans="1:15">
      <c r="A55" s="1003" t="s">
        <v>891</v>
      </c>
      <c r="B55" s="1003">
        <f ca="1">SUM(B124:M124,B142:M142,B160:M160,B178:M178,B196:M196,B214:M214,B232:M232,B250:M250)</f>
        <v>0</v>
      </c>
    </row>
    <row r="57" spans="1:15" ht="18.75" thickBot="1">
      <c r="A57" s="1969" t="str">
        <f>'Distr CV 0'!A57</f>
        <v>IVA soportado de los costes de producción en el año</v>
      </c>
      <c r="G57" s="2710" t="str">
        <f>$K$1</f>
        <v>Año 5 :   2031</v>
      </c>
      <c r="I57" s="1969"/>
    </row>
    <row r="58" spans="1:15" s="445" customFormat="1" ht="15.75" customHeight="1" thickBot="1">
      <c r="A58" s="446" t="str">
        <f>A$19</f>
        <v>Costes producción</v>
      </c>
      <c r="B58" s="444" t="str">
        <f t="array" ref="B58:M58">meses</f>
        <v>enero</v>
      </c>
      <c r="C58" s="440" t="str">
        <v>febrero</v>
      </c>
      <c r="D58" s="440" t="str">
        <v>marzo</v>
      </c>
      <c r="E58" s="440" t="str">
        <v>abril</v>
      </c>
      <c r="F58" s="440" t="str">
        <v>mayo</v>
      </c>
      <c r="G58" s="440" t="str">
        <v>junio</v>
      </c>
      <c r="H58" s="440" t="str">
        <v>julio</v>
      </c>
      <c r="I58" s="440" t="str">
        <v>agosto</v>
      </c>
      <c r="J58" s="440" t="str">
        <v>septiembre</v>
      </c>
      <c r="K58" s="440" t="str">
        <v>octubre</v>
      </c>
      <c r="L58" s="440" t="str">
        <v>noviembre</v>
      </c>
      <c r="M58" s="441" t="str">
        <v>diciembre</v>
      </c>
      <c r="N58" s="438" t="str">
        <f>N$7</f>
        <v>Totales</v>
      </c>
    </row>
    <row r="59" spans="1:15" ht="15.75" customHeight="1">
      <c r="A59" s="1972" t="str">
        <f t="array" ref="A59:A66">productos</f>
        <v>producto o servicio</v>
      </c>
      <c r="B59" s="587">
        <f t="array" aca="1" ref="B59:M59" ca="1">N125:Y125</f>
        <v>66.179918028000003</v>
      </c>
      <c r="C59" s="588">
        <f ca="1"/>
        <v>82.724897535000011</v>
      </c>
      <c r="D59" s="588">
        <f ca="1"/>
        <v>90.997387288500022</v>
      </c>
      <c r="E59" s="588">
        <f ca="1"/>
        <v>86.861142411749995</v>
      </c>
      <c r="F59" s="588">
        <f ca="1"/>
        <v>74.452407781500014</v>
      </c>
      <c r="G59" s="588">
        <f ca="1"/>
        <v>70.316162904750001</v>
      </c>
      <c r="H59" s="588">
        <f ca="1"/>
        <v>66.179918028000003</v>
      </c>
      <c r="I59" s="588">
        <f ca="1"/>
        <v>49.634938521000002</v>
      </c>
      <c r="J59" s="588">
        <f ca="1"/>
        <v>66.179918028000003</v>
      </c>
      <c r="K59" s="588">
        <f ca="1"/>
        <v>78.588652658250027</v>
      </c>
      <c r="L59" s="588">
        <f ca="1"/>
        <v>82.724897535000011</v>
      </c>
      <c r="M59" s="598">
        <f ca="1"/>
        <v>99.269877042000005</v>
      </c>
      <c r="N59" s="580">
        <f t="shared" ref="N59:N67" ca="1" si="7">SUM(B59:M59)</f>
        <v>914.11011776174996</v>
      </c>
      <c r="O59" s="61"/>
    </row>
    <row r="60" spans="1:15" ht="15.75" customHeight="1">
      <c r="A60" s="1973" t="str">
        <v/>
      </c>
      <c r="B60" s="589">
        <f t="array" aca="1" ref="B60:M60" ca="1">N143:Y143</f>
        <v>0</v>
      </c>
      <c r="C60" s="590">
        <f ca="1"/>
        <v>0</v>
      </c>
      <c r="D60" s="590">
        <f ca="1"/>
        <v>0</v>
      </c>
      <c r="E60" s="590">
        <f ca="1"/>
        <v>0</v>
      </c>
      <c r="F60" s="590">
        <f ca="1"/>
        <v>0</v>
      </c>
      <c r="G60" s="590">
        <f ca="1"/>
        <v>0</v>
      </c>
      <c r="H60" s="590">
        <f ca="1"/>
        <v>0</v>
      </c>
      <c r="I60" s="590">
        <f ca="1"/>
        <v>0</v>
      </c>
      <c r="J60" s="590">
        <f ca="1"/>
        <v>0</v>
      </c>
      <c r="K60" s="590">
        <f ca="1"/>
        <v>0</v>
      </c>
      <c r="L60" s="590">
        <f ca="1"/>
        <v>0</v>
      </c>
      <c r="M60" s="599">
        <f ca="1"/>
        <v>0</v>
      </c>
      <c r="N60" s="583">
        <f t="shared" ca="1" si="7"/>
        <v>0</v>
      </c>
      <c r="O60" s="61"/>
    </row>
    <row r="61" spans="1:15" ht="15.75" customHeight="1">
      <c r="A61" s="1973" t="str">
        <v/>
      </c>
      <c r="B61" s="589">
        <f t="array" aca="1" ref="B61:M61" ca="1">N161:Y161</f>
        <v>0</v>
      </c>
      <c r="C61" s="590">
        <f ca="1"/>
        <v>0</v>
      </c>
      <c r="D61" s="590">
        <f ca="1"/>
        <v>0</v>
      </c>
      <c r="E61" s="590">
        <f ca="1"/>
        <v>0</v>
      </c>
      <c r="F61" s="590">
        <f ca="1"/>
        <v>0</v>
      </c>
      <c r="G61" s="590">
        <f ca="1"/>
        <v>0</v>
      </c>
      <c r="H61" s="590">
        <f ca="1"/>
        <v>0</v>
      </c>
      <c r="I61" s="590">
        <f ca="1"/>
        <v>0</v>
      </c>
      <c r="J61" s="590">
        <f ca="1"/>
        <v>0</v>
      </c>
      <c r="K61" s="590">
        <f ca="1"/>
        <v>0</v>
      </c>
      <c r="L61" s="590">
        <f ca="1"/>
        <v>0</v>
      </c>
      <c r="M61" s="599">
        <f ca="1"/>
        <v>0</v>
      </c>
      <c r="N61" s="583">
        <f t="shared" ca="1" si="7"/>
        <v>0</v>
      </c>
      <c r="O61" s="61"/>
    </row>
    <row r="62" spans="1:15" ht="15.75" customHeight="1">
      <c r="A62" s="1973" t="str">
        <v/>
      </c>
      <c r="B62" s="589">
        <f t="array" aca="1" ref="B62:M62" ca="1">N179:Y179</f>
        <v>0</v>
      </c>
      <c r="C62" s="590">
        <f ca="1"/>
        <v>0</v>
      </c>
      <c r="D62" s="590">
        <f ca="1"/>
        <v>0</v>
      </c>
      <c r="E62" s="590">
        <f ca="1"/>
        <v>0</v>
      </c>
      <c r="F62" s="590">
        <f ca="1"/>
        <v>0</v>
      </c>
      <c r="G62" s="590">
        <f ca="1"/>
        <v>0</v>
      </c>
      <c r="H62" s="590">
        <f ca="1"/>
        <v>0</v>
      </c>
      <c r="I62" s="590">
        <f ca="1"/>
        <v>0</v>
      </c>
      <c r="J62" s="590">
        <f ca="1"/>
        <v>0</v>
      </c>
      <c r="K62" s="590">
        <f ca="1"/>
        <v>0</v>
      </c>
      <c r="L62" s="590">
        <f ca="1"/>
        <v>0</v>
      </c>
      <c r="M62" s="599">
        <f ca="1"/>
        <v>0</v>
      </c>
      <c r="N62" s="583">
        <f t="shared" ca="1" si="7"/>
        <v>0</v>
      </c>
      <c r="O62" s="61"/>
    </row>
    <row r="63" spans="1:15" ht="15.75" customHeight="1">
      <c r="A63" s="1973" t="str">
        <v/>
      </c>
      <c r="B63" s="589">
        <f t="array" aca="1" ref="B63:M63" ca="1">N197:Y197</f>
        <v>0</v>
      </c>
      <c r="C63" s="590">
        <f ca="1"/>
        <v>0</v>
      </c>
      <c r="D63" s="590">
        <f ca="1"/>
        <v>0</v>
      </c>
      <c r="E63" s="590">
        <f ca="1"/>
        <v>0</v>
      </c>
      <c r="F63" s="590">
        <f ca="1"/>
        <v>0</v>
      </c>
      <c r="G63" s="590">
        <f ca="1"/>
        <v>0</v>
      </c>
      <c r="H63" s="590">
        <f ca="1"/>
        <v>0</v>
      </c>
      <c r="I63" s="590">
        <f ca="1"/>
        <v>0</v>
      </c>
      <c r="J63" s="590">
        <f ca="1"/>
        <v>0</v>
      </c>
      <c r="K63" s="590">
        <f ca="1"/>
        <v>0</v>
      </c>
      <c r="L63" s="590">
        <f ca="1"/>
        <v>0</v>
      </c>
      <c r="M63" s="599">
        <f ca="1"/>
        <v>0</v>
      </c>
      <c r="N63" s="583">
        <f t="shared" ca="1" si="7"/>
        <v>0</v>
      </c>
      <c r="O63" s="61"/>
    </row>
    <row r="64" spans="1:15" ht="15.75" customHeight="1">
      <c r="A64" s="1973" t="str">
        <v/>
      </c>
      <c r="B64" s="589">
        <f t="array" aca="1" ref="B64:M64" ca="1">N215:Y215</f>
        <v>0</v>
      </c>
      <c r="C64" s="590">
        <f ca="1"/>
        <v>0</v>
      </c>
      <c r="D64" s="590">
        <f ca="1"/>
        <v>0</v>
      </c>
      <c r="E64" s="590">
        <f ca="1"/>
        <v>0</v>
      </c>
      <c r="F64" s="590">
        <f ca="1"/>
        <v>0</v>
      </c>
      <c r="G64" s="590">
        <f ca="1"/>
        <v>0</v>
      </c>
      <c r="H64" s="590">
        <f ca="1"/>
        <v>0</v>
      </c>
      <c r="I64" s="590">
        <f ca="1"/>
        <v>0</v>
      </c>
      <c r="J64" s="590">
        <f ca="1"/>
        <v>0</v>
      </c>
      <c r="K64" s="590">
        <f ca="1"/>
        <v>0</v>
      </c>
      <c r="L64" s="590">
        <f ca="1"/>
        <v>0</v>
      </c>
      <c r="M64" s="599">
        <f ca="1"/>
        <v>0</v>
      </c>
      <c r="N64" s="583">
        <f t="shared" ca="1" si="7"/>
        <v>0</v>
      </c>
      <c r="O64" s="61"/>
    </row>
    <row r="65" spans="1:26" ht="15.75" customHeight="1">
      <c r="A65" s="1973" t="str">
        <v/>
      </c>
      <c r="B65" s="589">
        <f t="array" aca="1" ref="B65:M65" ca="1">N233:Y233</f>
        <v>0</v>
      </c>
      <c r="C65" s="590">
        <f ca="1"/>
        <v>0</v>
      </c>
      <c r="D65" s="590">
        <f ca="1"/>
        <v>0</v>
      </c>
      <c r="E65" s="590">
        <f ca="1"/>
        <v>0</v>
      </c>
      <c r="F65" s="590">
        <f ca="1"/>
        <v>0</v>
      </c>
      <c r="G65" s="590">
        <f ca="1"/>
        <v>0</v>
      </c>
      <c r="H65" s="590">
        <f ca="1"/>
        <v>0</v>
      </c>
      <c r="I65" s="590">
        <f ca="1"/>
        <v>0</v>
      </c>
      <c r="J65" s="590">
        <f ca="1"/>
        <v>0</v>
      </c>
      <c r="K65" s="590">
        <f ca="1"/>
        <v>0</v>
      </c>
      <c r="L65" s="590">
        <f ca="1"/>
        <v>0</v>
      </c>
      <c r="M65" s="599">
        <f ca="1"/>
        <v>0</v>
      </c>
      <c r="N65" s="583">
        <f t="shared" ca="1" si="7"/>
        <v>0</v>
      </c>
      <c r="O65" s="61"/>
    </row>
    <row r="66" spans="1:26" ht="15.75" customHeight="1" thickBot="1">
      <c r="A66" s="1974" t="str">
        <v/>
      </c>
      <c r="B66" s="591">
        <f t="array" aca="1" ref="B66:M66" ca="1">N251:Y251</f>
        <v>0</v>
      </c>
      <c r="C66" s="592">
        <f ca="1"/>
        <v>0</v>
      </c>
      <c r="D66" s="592">
        <f ca="1"/>
        <v>0</v>
      </c>
      <c r="E66" s="592">
        <f ca="1"/>
        <v>0</v>
      </c>
      <c r="F66" s="592">
        <f ca="1"/>
        <v>0</v>
      </c>
      <c r="G66" s="592">
        <f ca="1"/>
        <v>0</v>
      </c>
      <c r="H66" s="592">
        <f ca="1"/>
        <v>0</v>
      </c>
      <c r="I66" s="592">
        <f ca="1"/>
        <v>0</v>
      </c>
      <c r="J66" s="592">
        <f ca="1"/>
        <v>0</v>
      </c>
      <c r="K66" s="592">
        <f ca="1"/>
        <v>0</v>
      </c>
      <c r="L66" s="592">
        <f ca="1"/>
        <v>0</v>
      </c>
      <c r="M66" s="600">
        <f ca="1"/>
        <v>0</v>
      </c>
      <c r="N66" s="593">
        <f t="shared" ca="1" si="7"/>
        <v>0</v>
      </c>
      <c r="O66" s="61"/>
    </row>
    <row r="67" spans="1:26" ht="15.75" customHeight="1" thickBot="1">
      <c r="A67" s="103" t="str">
        <f>A$28</f>
        <v>Totales</v>
      </c>
      <c r="B67" s="595">
        <f t="shared" ref="B67:M67" ca="1" si="8">SUM(B59:B66)</f>
        <v>66.179918028000003</v>
      </c>
      <c r="C67" s="596">
        <f t="shared" ca="1" si="8"/>
        <v>82.724897535000011</v>
      </c>
      <c r="D67" s="596">
        <f t="shared" ca="1" si="8"/>
        <v>90.997387288500022</v>
      </c>
      <c r="E67" s="596">
        <f t="shared" ca="1" si="8"/>
        <v>86.861142411749995</v>
      </c>
      <c r="F67" s="596">
        <f t="shared" ca="1" si="8"/>
        <v>74.452407781500014</v>
      </c>
      <c r="G67" s="596">
        <f t="shared" ca="1" si="8"/>
        <v>70.316162904750001</v>
      </c>
      <c r="H67" s="596">
        <f t="shared" ca="1" si="8"/>
        <v>66.179918028000003</v>
      </c>
      <c r="I67" s="596">
        <f t="shared" ca="1" si="8"/>
        <v>49.634938521000002</v>
      </c>
      <c r="J67" s="596">
        <f t="shared" ca="1" si="8"/>
        <v>66.179918028000003</v>
      </c>
      <c r="K67" s="596">
        <f t="shared" ca="1" si="8"/>
        <v>78.588652658250027</v>
      </c>
      <c r="L67" s="596">
        <f t="shared" ca="1" si="8"/>
        <v>82.724897535000011</v>
      </c>
      <c r="M67" s="597">
        <f t="shared" ca="1" si="8"/>
        <v>99.269877042000005</v>
      </c>
      <c r="N67" s="594">
        <f t="shared" ca="1" si="7"/>
        <v>914.11011776174996</v>
      </c>
      <c r="O67" s="61"/>
    </row>
    <row r="68" spans="1:26">
      <c r="A68" s="1003" t="s">
        <v>892</v>
      </c>
      <c r="B68" s="1003">
        <f ca="1">SUM(B125:M125,B143:M143,B161:M161,B179:M179,B197:M197,B215:M215,B233:M233,B251:M251)</f>
        <v>0</v>
      </c>
    </row>
    <row r="69" spans="1:26" ht="15">
      <c r="A69" s="213"/>
    </row>
    <row r="70" spans="1:26" ht="18.75" thickBot="1">
      <c r="A70" s="1969" t="str">
        <f>'Distr CV 0'!A70</f>
        <v>Distribución de los costes de producción por meses de las unidades vendidas en el año</v>
      </c>
      <c r="I70" s="1969" t="str">
        <f>I$18</f>
        <v>IVA NO incluido</v>
      </c>
    </row>
    <row r="71" spans="1:26" s="445" customFormat="1" ht="32.25" customHeight="1" thickBot="1">
      <c r="A71" s="446" t="str">
        <f>A$19</f>
        <v>Costes producción</v>
      </c>
      <c r="B71" s="1987" t="str">
        <f t="array" ref="B71:M71">'Estimaciones Ventas'!B57:M57</f>
        <v>enero 
2030</v>
      </c>
      <c r="C71" s="1987" t="str">
        <v>febrero 
2030</v>
      </c>
      <c r="D71" s="1987" t="str">
        <v>marzo 
2030</v>
      </c>
      <c r="E71" s="1987" t="str">
        <v>abril 
2030</v>
      </c>
      <c r="F71" s="1987" t="str">
        <v>mayo 
2030</v>
      </c>
      <c r="G71" s="1987" t="str">
        <v>junio 
2030</v>
      </c>
      <c r="H71" s="1987" t="str">
        <v>julio 
2030</v>
      </c>
      <c r="I71" s="1987" t="str">
        <v>agosto 
2030</v>
      </c>
      <c r="J71" s="1987" t="str">
        <v>septiembre 
2030</v>
      </c>
      <c r="K71" s="1987" t="str">
        <v>octubre 
2030</v>
      </c>
      <c r="L71" s="1987" t="str">
        <v>noviembre 
2030</v>
      </c>
      <c r="M71" s="1987" t="str">
        <v>diciembre 
2030</v>
      </c>
      <c r="N71" s="2703" t="str">
        <f t="array" ref="N71:Y71">'Estimaciones Ventas'!B70:M70</f>
        <v>enero 
2031</v>
      </c>
      <c r="O71" s="2704" t="str">
        <v>febrero 
2031</v>
      </c>
      <c r="P71" s="2704" t="str">
        <v>marzo 
2031</v>
      </c>
      <c r="Q71" s="2704" t="str">
        <v>abril 
2031</v>
      </c>
      <c r="R71" s="2704" t="str">
        <v>mayo 
2031</v>
      </c>
      <c r="S71" s="2704" t="str">
        <v>junio 
2031</v>
      </c>
      <c r="T71" s="2704" t="str">
        <v>julio 
2031</v>
      </c>
      <c r="U71" s="2704" t="str">
        <v>agosto 
2031</v>
      </c>
      <c r="V71" s="2704" t="str">
        <v>septiembre 
2031</v>
      </c>
      <c r="W71" s="2704" t="str">
        <v>octubre 
2031</v>
      </c>
      <c r="X71" s="2704" t="str">
        <v>noviembre 
2031</v>
      </c>
      <c r="Y71" s="2705" t="str">
        <v>diciembre 
2031</v>
      </c>
      <c r="Z71" s="61"/>
    </row>
    <row r="72" spans="1:26" ht="15.75" customHeight="1">
      <c r="A72" s="1970" t="s">
        <v>862</v>
      </c>
      <c r="B72" s="1967"/>
      <c r="C72" s="1967"/>
      <c r="D72" s="1967"/>
      <c r="E72" s="1967"/>
      <c r="F72" s="1967"/>
      <c r="G72" s="1967"/>
      <c r="H72" s="1965">
        <v>0</v>
      </c>
      <c r="I72" s="1966">
        <v>0</v>
      </c>
      <c r="J72" s="1966">
        <v>0</v>
      </c>
      <c r="K72" s="1966">
        <v>0</v>
      </c>
      <c r="L72" s="1966">
        <v>0</v>
      </c>
      <c r="M72" s="1966">
        <v>0</v>
      </c>
      <c r="N72" s="588">
        <f t="array" aca="1" ref="N72" ca="1">SUM(B20:B27*Produccion!$N$8:$N$15)</f>
        <v>315.14246680000002</v>
      </c>
      <c r="O72" s="588">
        <f t="array" aca="1" ref="O72" ca="1">SUM(C20:C27*Produccion!$N$8:$N$15)</f>
        <v>393.92808350000007</v>
      </c>
      <c r="P72" s="588">
        <f t="array" aca="1" ref="P72" ca="1">SUM(D20:D27*Produccion!$N$8:$N$15)</f>
        <v>433.32089185000012</v>
      </c>
      <c r="Q72" s="588">
        <f t="array" aca="1" ref="Q72" ca="1">SUM(E20:E27*Produccion!$N$8:$N$15)</f>
        <v>413.62448767500001</v>
      </c>
      <c r="R72" s="588">
        <f t="array" aca="1" ref="R72" ca="1">SUM(F20:F27*Produccion!$N$8:$N$15)</f>
        <v>354.53527515000007</v>
      </c>
      <c r="S72" s="588">
        <f t="array" aca="1" ref="S72" ca="1">SUM(G20:G27*Produccion!$N$8:$N$15)</f>
        <v>334.83887097500002</v>
      </c>
      <c r="T72" s="588">
        <f t="array" aca="1" ref="T72" ca="1">SUM(H20:H27*Produccion!$N$8:$N$15)</f>
        <v>315.14246680000002</v>
      </c>
      <c r="U72" s="588">
        <f t="array" aca="1" ref="U72" ca="1">SUM(I20:I27*Produccion!$N$8:$N$15)</f>
        <v>236.35685010000003</v>
      </c>
      <c r="V72" s="588">
        <f t="array" aca="1" ref="V72" ca="1">SUM(J20:J27*Produccion!$N$8:$N$15)</f>
        <v>315.14246680000002</v>
      </c>
      <c r="W72" s="588">
        <f t="array" aca="1" ref="W72" ca="1">SUM(K20:K27*Produccion!$N$8:$N$15)</f>
        <v>374.23167932500013</v>
      </c>
      <c r="X72" s="588">
        <f t="array" aca="1" ref="X72" ca="1">SUM(L20:L27*Produccion!$N$8:$N$15)</f>
        <v>393.92808350000007</v>
      </c>
      <c r="Y72" s="1985">
        <f t="array" aca="1" ref="Y72" ca="1">SUM(M20:M27*Produccion!$N$8:$N$15)</f>
        <v>472.71370020000006</v>
      </c>
    </row>
    <row r="73" spans="1:26" ht="15.75" customHeight="1">
      <c r="A73" s="1971" t="s">
        <v>864</v>
      </c>
      <c r="B73" s="1967"/>
      <c r="C73" s="1967"/>
      <c r="D73" s="1967"/>
      <c r="E73" s="1967"/>
      <c r="F73" s="1967"/>
      <c r="G73" s="1967"/>
      <c r="H73" s="1967"/>
      <c r="I73" s="1964"/>
      <c r="J73" s="1964"/>
      <c r="K73" s="1964"/>
      <c r="L73" s="1964"/>
      <c r="M73" s="590">
        <f t="array" aca="1" ref="M73" ca="1">SUM(B20:B27*Produccion!$M$8:$M$15)</f>
        <v>0</v>
      </c>
      <c r="N73" s="590">
        <f t="array" aca="1" ref="N73" ca="1">SUM(C20:C27*Produccion!$M$8:$M$15)</f>
        <v>0</v>
      </c>
      <c r="O73" s="590">
        <f t="array" aca="1" ref="O73" ca="1">SUM(D20:D27*Produccion!$M$8:$M$15)</f>
        <v>0</v>
      </c>
      <c r="P73" s="590">
        <f t="array" aca="1" ref="P73" ca="1">SUM(E20:E27*Produccion!$M$8:$M$15)</f>
        <v>0</v>
      </c>
      <c r="Q73" s="590">
        <f t="array" aca="1" ref="Q73" ca="1">SUM(F20:F27*Produccion!$M$8:$M$15)</f>
        <v>0</v>
      </c>
      <c r="R73" s="590">
        <f t="array" aca="1" ref="R73" ca="1">SUM(G20:G27*Produccion!$M$8:$M$15)</f>
        <v>0</v>
      </c>
      <c r="S73" s="590">
        <f t="array" aca="1" ref="S73" ca="1">SUM(H20:H27*Produccion!$M$8:$M$15)</f>
        <v>0</v>
      </c>
      <c r="T73" s="590">
        <f t="array" aca="1" ref="T73" ca="1">SUM(I20:I27*Produccion!$M$8:$M$15)</f>
        <v>0</v>
      </c>
      <c r="U73" s="590">
        <f t="array" aca="1" ref="U73" ca="1">SUM(J20:J27*Produccion!$M$8:$M$15)</f>
        <v>0</v>
      </c>
      <c r="V73" s="590">
        <f t="array" aca="1" ref="V73" ca="1">SUM(K20:K27*Produccion!$M$8:$M$15)</f>
        <v>0</v>
      </c>
      <c r="W73" s="590">
        <f t="array" aca="1" ref="W73" ca="1">SUM(L20:L27*Produccion!$M$8:$M$15)</f>
        <v>0</v>
      </c>
      <c r="X73" s="590">
        <f t="array" aca="1" ref="X73" ca="1">SUM(M20:M27*Produccion!$M$8:$M$15)</f>
        <v>0</v>
      </c>
      <c r="Y73" s="1983"/>
    </row>
    <row r="74" spans="1:26" ht="15.75" customHeight="1">
      <c r="A74" s="1971" t="s">
        <v>865</v>
      </c>
      <c r="B74" s="1967"/>
      <c r="C74" s="1967"/>
      <c r="D74" s="1967"/>
      <c r="E74" s="1967"/>
      <c r="F74" s="1967"/>
      <c r="G74" s="1967"/>
      <c r="H74" s="1967"/>
      <c r="I74" s="1964"/>
      <c r="J74" s="1964"/>
      <c r="K74" s="1964"/>
      <c r="L74" s="590">
        <f t="array" aca="1" ref="L74" ca="1">SUM(B20:B27*Produccion!$L$8:$L$15)</f>
        <v>0</v>
      </c>
      <c r="M74" s="590">
        <f t="array" aca="1" ref="M74" ca="1">SUM(C20:C27*Produccion!$L$8:$L$15)</f>
        <v>0</v>
      </c>
      <c r="N74" s="590">
        <f t="array" aca="1" ref="N74" ca="1">SUM(D20:D27*Produccion!$L$8:$L$15)</f>
        <v>0</v>
      </c>
      <c r="O74" s="590">
        <f t="array" aca="1" ref="O74" ca="1">SUM(E20:E27*Produccion!$L$8:$L$15)</f>
        <v>0</v>
      </c>
      <c r="P74" s="590">
        <f t="array" aca="1" ref="P74" ca="1">SUM(F20:F27*Produccion!$L$8:$L$15)</f>
        <v>0</v>
      </c>
      <c r="Q74" s="590">
        <f t="array" aca="1" ref="Q74" ca="1">SUM(G20:G27*Produccion!$L$8:$L$15)</f>
        <v>0</v>
      </c>
      <c r="R74" s="590">
        <f t="array" aca="1" ref="R74" ca="1">SUM(H20:H27*Produccion!$L$8:$L$15)</f>
        <v>0</v>
      </c>
      <c r="S74" s="590">
        <f t="array" aca="1" ref="S74" ca="1">SUM(I20:I27*Produccion!$L$8:$L$15)</f>
        <v>0</v>
      </c>
      <c r="T74" s="590">
        <f t="array" aca="1" ref="T74" ca="1">SUM(J20:J27*Produccion!$L$8:$L$15)</f>
        <v>0</v>
      </c>
      <c r="U74" s="590">
        <f t="array" aca="1" ref="U74" ca="1">SUM(K20:K27*Produccion!$L$8:$L$15)</f>
        <v>0</v>
      </c>
      <c r="V74" s="590">
        <f t="array" aca="1" ref="V74" ca="1">SUM(L20:L27*Produccion!$L$8:$L$15)</f>
        <v>0</v>
      </c>
      <c r="W74" s="590">
        <f t="array" aca="1" ref="W74" ca="1">SUM(M20:M27*Produccion!$L$8:$L$15)</f>
        <v>0</v>
      </c>
      <c r="X74" s="1964"/>
      <c r="Y74" s="1983"/>
    </row>
    <row r="75" spans="1:26" ht="15.75" customHeight="1">
      <c r="A75" s="1971" t="s">
        <v>866</v>
      </c>
      <c r="B75" s="1967"/>
      <c r="C75" s="1967"/>
      <c r="D75" s="1967"/>
      <c r="E75" s="1967"/>
      <c r="F75" s="1967"/>
      <c r="G75" s="1967"/>
      <c r="H75" s="1967"/>
      <c r="I75" s="1964"/>
      <c r="J75" s="1964"/>
      <c r="K75" s="590">
        <f t="array" aca="1" ref="K75" ca="1">SUM(B20:B27*Produccion!$K$8:$K$15)</f>
        <v>0</v>
      </c>
      <c r="L75" s="590">
        <f t="array" aca="1" ref="L75" ca="1">SUM(C20:C27*Produccion!$K$8:$K$15)</f>
        <v>0</v>
      </c>
      <c r="M75" s="590">
        <f t="array" aca="1" ref="M75" ca="1">SUM(D20:D27*Produccion!$K$8:$K$15)</f>
        <v>0</v>
      </c>
      <c r="N75" s="590">
        <f t="array" aca="1" ref="N75" ca="1">SUM(E20:E27*Produccion!$K$8:$K$15)</f>
        <v>0</v>
      </c>
      <c r="O75" s="590">
        <f t="array" aca="1" ref="O75" ca="1">SUM(F20:F27*Produccion!$K$8:$K$15)</f>
        <v>0</v>
      </c>
      <c r="P75" s="590">
        <f t="array" aca="1" ref="P75" ca="1">SUM(G20:G27*Produccion!$K$8:$K$15)</f>
        <v>0</v>
      </c>
      <c r="Q75" s="590">
        <f t="array" aca="1" ref="Q75" ca="1">SUM(H20:H27*Produccion!$K$8:$K$15)</f>
        <v>0</v>
      </c>
      <c r="R75" s="590">
        <f t="array" aca="1" ref="R75" ca="1">SUM(I20:I27*Produccion!$K$8:$K$15)</f>
        <v>0</v>
      </c>
      <c r="S75" s="590">
        <f t="array" aca="1" ref="S75" ca="1">SUM(J20:J27*Produccion!$K$8:$K$15)</f>
        <v>0</v>
      </c>
      <c r="T75" s="590">
        <f t="array" aca="1" ref="T75" ca="1">SUM(K20:K27*Produccion!$K$8:$K$15)</f>
        <v>0</v>
      </c>
      <c r="U75" s="590">
        <f t="array" aca="1" ref="U75" ca="1">SUM(L20:L27*Produccion!$K$8:$K$15)</f>
        <v>0</v>
      </c>
      <c r="V75" s="590">
        <f t="array" aca="1" ref="V75" ca="1">SUM(M20:M27*Produccion!$K$8:$K$15)</f>
        <v>0</v>
      </c>
      <c r="W75" s="1964"/>
      <c r="X75" s="1964"/>
      <c r="Y75" s="1983"/>
    </row>
    <row r="76" spans="1:26" ht="15.75" customHeight="1">
      <c r="A76" s="1971" t="s">
        <v>867</v>
      </c>
      <c r="B76" s="1967"/>
      <c r="C76" s="1967"/>
      <c r="D76" s="1967"/>
      <c r="E76" s="1967"/>
      <c r="F76" s="1967"/>
      <c r="G76" s="1967"/>
      <c r="H76" s="1967"/>
      <c r="I76" s="1964"/>
      <c r="J76" s="590">
        <f t="array" aca="1" ref="J76" ca="1">SUM(B20:B27*Produccion!$J$8:$J$15)</f>
        <v>0</v>
      </c>
      <c r="K76" s="590">
        <f t="array" aca="1" ref="K76" ca="1">SUM(C20:C27*Produccion!$J$8:$J$15)</f>
        <v>0</v>
      </c>
      <c r="L76" s="590">
        <f t="array" aca="1" ref="L76" ca="1">SUM(D20:D27*Produccion!$J$8:$J$15)</f>
        <v>0</v>
      </c>
      <c r="M76" s="590">
        <f t="array" aca="1" ref="M76" ca="1">SUM(E20:E27*Produccion!$J$8:$J$15)</f>
        <v>0</v>
      </c>
      <c r="N76" s="590">
        <f t="array" aca="1" ref="N76" ca="1">SUM(F20:F27*Produccion!$J$8:$J$15)</f>
        <v>0</v>
      </c>
      <c r="O76" s="590">
        <f t="array" aca="1" ref="O76" ca="1">SUM(G20:G27*Produccion!$J$8:$J$15)</f>
        <v>0</v>
      </c>
      <c r="P76" s="590">
        <f t="array" aca="1" ref="P76" ca="1">SUM(H20:H27*Produccion!$J$8:$J$15)</f>
        <v>0</v>
      </c>
      <c r="Q76" s="590">
        <f t="array" aca="1" ref="Q76" ca="1">SUM(I20:I27*Produccion!$J$8:$J$15)</f>
        <v>0</v>
      </c>
      <c r="R76" s="590">
        <f t="array" aca="1" ref="R76" ca="1">SUM(J20:J27*Produccion!$J$8:$J$15)</f>
        <v>0</v>
      </c>
      <c r="S76" s="590">
        <f t="array" aca="1" ref="S76" ca="1">SUM(K20:K27*Produccion!$J$8:$J$15)</f>
        <v>0</v>
      </c>
      <c r="T76" s="590">
        <f t="array" aca="1" ref="T76" ca="1">SUM(L20:L27*Produccion!$J$8:$J$15)</f>
        <v>0</v>
      </c>
      <c r="U76" s="590">
        <f t="array" aca="1" ref="U76" ca="1">SUM(M20:M27*Produccion!$J$8:$J$15)</f>
        <v>0</v>
      </c>
      <c r="V76" s="1964"/>
      <c r="W76" s="1964"/>
      <c r="X76" s="1964"/>
      <c r="Y76" s="1983"/>
    </row>
    <row r="77" spans="1:26" ht="15.75" customHeight="1">
      <c r="A77" s="1971" t="s">
        <v>868</v>
      </c>
      <c r="B77" s="1967"/>
      <c r="C77" s="1967"/>
      <c r="D77" s="1967"/>
      <c r="E77" s="1967"/>
      <c r="F77" s="1967"/>
      <c r="G77" s="1967"/>
      <c r="H77" s="1967"/>
      <c r="I77" s="590">
        <f t="array" aca="1" ref="I77" ca="1">SUM(B20:B27*Produccion!$I$8:$I$15)</f>
        <v>0</v>
      </c>
      <c r="J77" s="590">
        <f t="array" aca="1" ref="J77" ca="1">SUM(C20:C27*Produccion!$I$8:$I$15)</f>
        <v>0</v>
      </c>
      <c r="K77" s="590">
        <f t="array" aca="1" ref="K77" ca="1">SUM(D20:D27*Produccion!$I$8:$I$15)</f>
        <v>0</v>
      </c>
      <c r="L77" s="590">
        <f t="array" aca="1" ref="L77" ca="1">SUM(E20:E27*Produccion!$I$8:$I$15)</f>
        <v>0</v>
      </c>
      <c r="M77" s="590">
        <f t="array" aca="1" ref="M77" ca="1">SUM(F20:F27*Produccion!$I$8:$I$15)</f>
        <v>0</v>
      </c>
      <c r="N77" s="590">
        <f t="array" aca="1" ref="N77" ca="1">SUM(G20:G27*Produccion!$I$8:$I$15)</f>
        <v>0</v>
      </c>
      <c r="O77" s="590">
        <f t="array" aca="1" ref="O77" ca="1">SUM(H20:H27*Produccion!$I$8:$I$15)</f>
        <v>0</v>
      </c>
      <c r="P77" s="590">
        <f t="array" aca="1" ref="P77" ca="1">SUM(I20:I27*Produccion!$I$8:$I$15)</f>
        <v>0</v>
      </c>
      <c r="Q77" s="590">
        <f t="array" aca="1" ref="Q77" ca="1">SUM(J20:J27*Produccion!$I$8:$I$15)</f>
        <v>0</v>
      </c>
      <c r="R77" s="590">
        <f t="array" aca="1" ref="R77" ca="1">SUM(K20:K27*Produccion!$I$8:$I$15)</f>
        <v>0</v>
      </c>
      <c r="S77" s="590">
        <f t="array" aca="1" ref="S77" ca="1">SUM(L20:L27*Produccion!$I$8:$I$15)</f>
        <v>0</v>
      </c>
      <c r="T77" s="590">
        <f t="array" aca="1" ref="T77" ca="1">SUM(M20:M27*Produccion!$I$8:$I$15)</f>
        <v>0</v>
      </c>
      <c r="U77" s="1964"/>
      <c r="V77" s="1964"/>
      <c r="W77" s="1964"/>
      <c r="X77" s="1964"/>
      <c r="Y77" s="1983"/>
    </row>
    <row r="78" spans="1:26" ht="15.75" customHeight="1">
      <c r="A78" s="1971" t="s">
        <v>869</v>
      </c>
      <c r="B78" s="1967"/>
      <c r="C78" s="1967"/>
      <c r="D78" s="1967"/>
      <c r="E78" s="1967"/>
      <c r="F78" s="1967"/>
      <c r="G78" s="1967"/>
      <c r="H78" s="590">
        <f t="array" aca="1" ref="H78" ca="1">SUM(B20:B27*Produccion!$H$8:$H$15)</f>
        <v>0</v>
      </c>
      <c r="I78" s="590">
        <f t="array" aca="1" ref="I78" ca="1">SUM(C20:C27*Produccion!$H$8:$H$15)</f>
        <v>0</v>
      </c>
      <c r="J78" s="590">
        <f t="array" aca="1" ref="J78" ca="1">SUM(D20:D27*Produccion!$H$8:$H$15)</f>
        <v>0</v>
      </c>
      <c r="K78" s="590">
        <f t="array" aca="1" ref="K78" ca="1">SUM(E20:E27*Produccion!$H$8:$H$15)</f>
        <v>0</v>
      </c>
      <c r="L78" s="590">
        <f t="array" aca="1" ref="L78" ca="1">SUM(F20:F27*Produccion!$H$8:$H$15)</f>
        <v>0</v>
      </c>
      <c r="M78" s="590">
        <f t="array" aca="1" ref="M78" ca="1">SUM(G20:G27*Produccion!$H$8:$H$15)</f>
        <v>0</v>
      </c>
      <c r="N78" s="590">
        <f t="array" aca="1" ref="N78" ca="1">SUM(H20:H27*Produccion!$H$8:$H$15)</f>
        <v>0</v>
      </c>
      <c r="O78" s="590">
        <f t="array" aca="1" ref="O78" ca="1">SUM(I20:I27*Produccion!$H$8:$H$15)</f>
        <v>0</v>
      </c>
      <c r="P78" s="590">
        <f t="array" aca="1" ref="P78" ca="1">SUM(J20:J27*Produccion!$H$8:$H$15)</f>
        <v>0</v>
      </c>
      <c r="Q78" s="590">
        <f t="array" aca="1" ref="Q78" ca="1">SUM(K20:K27*Produccion!$H$8:$H$15)</f>
        <v>0</v>
      </c>
      <c r="R78" s="590">
        <f t="array" aca="1" ref="R78" ca="1">SUM(L20:L27*Produccion!$H$8:$H$15)</f>
        <v>0</v>
      </c>
      <c r="S78" s="590">
        <f t="array" aca="1" ref="S78" ca="1">SUM(M20:M27*Produccion!$H$8:$H$15)</f>
        <v>0</v>
      </c>
      <c r="T78" s="1964"/>
      <c r="U78" s="1964"/>
      <c r="V78" s="1964"/>
      <c r="W78" s="1964"/>
      <c r="X78" s="1964"/>
      <c r="Y78" s="1983"/>
    </row>
    <row r="79" spans="1:26" ht="15.75" customHeight="1">
      <c r="A79" s="1971" t="s">
        <v>870</v>
      </c>
      <c r="B79" s="1967"/>
      <c r="C79" s="1967"/>
      <c r="D79" s="1967"/>
      <c r="E79" s="1967"/>
      <c r="F79" s="1967"/>
      <c r="G79" s="592">
        <f t="array" aca="1" ref="G79" ca="1">SUM(B20:B27*Produccion!$G$8:$G$15)</f>
        <v>0</v>
      </c>
      <c r="H79" s="592">
        <f t="array" aca="1" ref="H79" ca="1">SUM(C20:C27*Produccion!$G$8:$G$15)</f>
        <v>0</v>
      </c>
      <c r="I79" s="592">
        <f t="array" aca="1" ref="I79" ca="1">SUM(D20:D27*Produccion!$G$8:$G$15)</f>
        <v>0</v>
      </c>
      <c r="J79" s="592">
        <f t="array" aca="1" ref="J79" ca="1">SUM(E20:E27*Produccion!$G$8:$G$15)</f>
        <v>0</v>
      </c>
      <c r="K79" s="592">
        <f t="array" aca="1" ref="K79" ca="1">SUM(F20:F27*Produccion!$G$8:$G$15)</f>
        <v>0</v>
      </c>
      <c r="L79" s="592">
        <f t="array" aca="1" ref="L79" ca="1">SUM(G20:G27*Produccion!$G$8:$G$15)</f>
        <v>0</v>
      </c>
      <c r="M79" s="592">
        <f t="array" aca="1" ref="M79" ca="1">SUM(H20:H27*Produccion!$G$8:$G$15)</f>
        <v>0</v>
      </c>
      <c r="N79" s="592">
        <f t="array" aca="1" ref="N79" ca="1">SUM(I20:I27*Produccion!$G$8:$G$15)</f>
        <v>0</v>
      </c>
      <c r="O79" s="592">
        <f t="array" aca="1" ref="O79" ca="1">SUM(J20:J27*Produccion!$G$8:$G$15)</f>
        <v>0</v>
      </c>
      <c r="P79" s="592">
        <f t="array" aca="1" ref="P79" ca="1">SUM(K20:K27*Produccion!$G$8:$G$15)</f>
        <v>0</v>
      </c>
      <c r="Q79" s="592">
        <f t="array" aca="1" ref="Q79" ca="1">SUM(L20:L27*Produccion!$G$8:$G$15)</f>
        <v>0</v>
      </c>
      <c r="R79" s="592">
        <f t="array" aca="1" ref="R79" ca="1">SUM(M20:M27*Produccion!$G$8:$G$15)</f>
        <v>0</v>
      </c>
      <c r="S79" s="1968"/>
      <c r="T79" s="1968"/>
      <c r="U79" s="1968"/>
      <c r="V79" s="1968"/>
      <c r="W79" s="1968"/>
      <c r="X79" s="1968"/>
      <c r="Y79" s="1986"/>
    </row>
    <row r="80" spans="1:26" ht="15.75" customHeight="1">
      <c r="A80" s="1971" t="s">
        <v>871</v>
      </c>
      <c r="B80" s="1967"/>
      <c r="C80" s="1967"/>
      <c r="D80" s="1967"/>
      <c r="E80" s="1967"/>
      <c r="F80" s="592">
        <f t="array" aca="1" ref="F80" ca="1">SUM(B20:B27*Produccion!$F$8:$F$15)</f>
        <v>0</v>
      </c>
      <c r="G80" s="592">
        <f t="array" aca="1" ref="G80" ca="1">SUM(C20:C27*Produccion!$F$8:$F$15)</f>
        <v>0</v>
      </c>
      <c r="H80" s="592">
        <f t="array" aca="1" ref="H80" ca="1">SUM(D20:D27*Produccion!$F$8:$F$15)</f>
        <v>0</v>
      </c>
      <c r="I80" s="592">
        <f t="array" aca="1" ref="I80" ca="1">SUM(E20:E27*Produccion!$F$8:$F$15)</f>
        <v>0</v>
      </c>
      <c r="J80" s="592">
        <f t="array" aca="1" ref="J80" ca="1">SUM(F20:F27*Produccion!$F$8:$F$15)</f>
        <v>0</v>
      </c>
      <c r="K80" s="592">
        <f t="array" aca="1" ref="K80" ca="1">SUM(G20:G27*Produccion!$F$8:$F$15)</f>
        <v>0</v>
      </c>
      <c r="L80" s="592">
        <f t="array" aca="1" ref="L80" ca="1">SUM(H20:H27*Produccion!$F$8:$F$15)</f>
        <v>0</v>
      </c>
      <c r="M80" s="592">
        <f t="array" aca="1" ref="M80" ca="1">SUM(I20:I27*Produccion!$F$8:$F$15)</f>
        <v>0</v>
      </c>
      <c r="N80" s="592">
        <f t="array" aca="1" ref="N80" ca="1">SUM(J20:J27*Produccion!$F$8:$F$15)</f>
        <v>0</v>
      </c>
      <c r="O80" s="592">
        <f t="array" aca="1" ref="O80" ca="1">SUM(K20:K27*Produccion!$F$8:$F$15)</f>
        <v>0</v>
      </c>
      <c r="P80" s="592">
        <f t="array" aca="1" ref="P80" ca="1">SUM(L20:L27*Produccion!$F$8:$F$15)</f>
        <v>0</v>
      </c>
      <c r="Q80" s="592">
        <f t="array" aca="1" ref="Q80" ca="1">SUM(M20:M27*Produccion!$F$8:$F$15)</f>
        <v>0</v>
      </c>
      <c r="R80" s="1968"/>
      <c r="S80" s="1968"/>
      <c r="T80" s="1968"/>
      <c r="U80" s="1968"/>
      <c r="V80" s="1968"/>
      <c r="W80" s="1968"/>
      <c r="X80" s="1968"/>
      <c r="Y80" s="1986"/>
    </row>
    <row r="81" spans="1:26" ht="15.75" customHeight="1">
      <c r="A81" s="1971" t="s">
        <v>872</v>
      </c>
      <c r="B81" s="1967"/>
      <c r="C81" s="1967"/>
      <c r="D81" s="1967"/>
      <c r="E81" s="592">
        <f t="array" aca="1" ref="E81" ca="1">SUM(B20:B27*Produccion!$E$8:$E$15)</f>
        <v>0</v>
      </c>
      <c r="F81" s="592">
        <f t="array" aca="1" ref="F81" ca="1">SUM(C20:C27*Produccion!$E$8:$E$15)</f>
        <v>0</v>
      </c>
      <c r="G81" s="592">
        <f t="array" aca="1" ref="G81" ca="1">SUM(D20:D27*Produccion!$E$8:$E$15)</f>
        <v>0</v>
      </c>
      <c r="H81" s="592">
        <f t="array" aca="1" ref="H81" ca="1">SUM(E20:E27*Produccion!$E$8:$E$15)</f>
        <v>0</v>
      </c>
      <c r="I81" s="592">
        <f t="array" aca="1" ref="I81" ca="1">SUM(F20:F27*Produccion!$E$8:$E$15)</f>
        <v>0</v>
      </c>
      <c r="J81" s="592">
        <f t="array" aca="1" ref="J81" ca="1">SUM(G20:G27*Produccion!$E$8:$E$15)</f>
        <v>0</v>
      </c>
      <c r="K81" s="592">
        <f t="array" aca="1" ref="K81" ca="1">SUM(H20:H27*Produccion!$E$8:$E$15)</f>
        <v>0</v>
      </c>
      <c r="L81" s="592">
        <f t="array" aca="1" ref="L81" ca="1">SUM(I20:I27*Produccion!$E$8:$E$15)</f>
        <v>0</v>
      </c>
      <c r="M81" s="592">
        <f t="array" aca="1" ref="M81" ca="1">SUM(J20:J27*Produccion!$E$8:$E$15)</f>
        <v>0</v>
      </c>
      <c r="N81" s="592">
        <f t="array" aca="1" ref="N81" ca="1">SUM(K20:K27*Produccion!$E$8:$E$15)</f>
        <v>0</v>
      </c>
      <c r="O81" s="592">
        <f t="array" aca="1" ref="O81" ca="1">SUM(L20:L27*Produccion!$E$8:$E$15)</f>
        <v>0</v>
      </c>
      <c r="P81" s="592">
        <f t="array" aca="1" ref="P81" ca="1">SUM(M20:M27*Produccion!$E$8:$E$15)</f>
        <v>0</v>
      </c>
      <c r="Q81" s="1968"/>
      <c r="R81" s="1968"/>
      <c r="S81" s="1968"/>
      <c r="T81" s="1968"/>
      <c r="U81" s="1968"/>
      <c r="V81" s="1968"/>
      <c r="W81" s="1968"/>
      <c r="X81" s="1968"/>
      <c r="Y81" s="1986"/>
    </row>
    <row r="82" spans="1:26" ht="15.75" customHeight="1">
      <c r="A82" s="1971" t="s">
        <v>873</v>
      </c>
      <c r="B82" s="1967"/>
      <c r="C82" s="1967"/>
      <c r="D82" s="591">
        <f t="array" aca="1" ref="D82" ca="1">SUM(B20:B27*Produccion!$D$8:$D$15)</f>
        <v>0</v>
      </c>
      <c r="E82" s="591">
        <f t="array" aca="1" ref="E82" ca="1">SUM(C20:C27*Produccion!$D$8:$D$15)</f>
        <v>0</v>
      </c>
      <c r="F82" s="591">
        <f t="array" aca="1" ref="F82" ca="1">SUM(D20:D27*Produccion!$D$8:$D$15)</f>
        <v>0</v>
      </c>
      <c r="G82" s="591">
        <f t="array" aca="1" ref="G82" ca="1">SUM(E20:E27*Produccion!$D$8:$D$15)</f>
        <v>0</v>
      </c>
      <c r="H82" s="591">
        <f t="array" aca="1" ref="H82" ca="1">SUM(F20:F27*Produccion!$D$8:$D$15)</f>
        <v>0</v>
      </c>
      <c r="I82" s="591">
        <f t="array" aca="1" ref="I82" ca="1">SUM(G20:G27*Produccion!$D$8:$D$15)</f>
        <v>0</v>
      </c>
      <c r="J82" s="591">
        <f t="array" aca="1" ref="J82" ca="1">SUM(H20:H27*Produccion!$D$8:$D$15)</f>
        <v>0</v>
      </c>
      <c r="K82" s="591">
        <f t="array" aca="1" ref="K82" ca="1">SUM(I20:I27*Produccion!$D$8:$D$15)</f>
        <v>0</v>
      </c>
      <c r="L82" s="591">
        <f t="array" aca="1" ref="L82" ca="1">SUM(J20:J27*Produccion!$D$8:$D$15)</f>
        <v>0</v>
      </c>
      <c r="M82" s="591">
        <f t="array" aca="1" ref="M82" ca="1">SUM(K20:K27*Produccion!$D$8:$D$15)</f>
        <v>0</v>
      </c>
      <c r="N82" s="591">
        <f t="array" aca="1" ref="N82" ca="1">SUM(L20:L27*Produccion!$D$8:$D$15)</f>
        <v>0</v>
      </c>
      <c r="O82" s="591">
        <f t="array" aca="1" ref="O82" ca="1">SUM(M20:M27*Produccion!$D$8:$D$15)</f>
        <v>0</v>
      </c>
      <c r="P82" s="1968"/>
      <c r="Q82" s="1968"/>
      <c r="R82" s="1968"/>
      <c r="S82" s="1968"/>
      <c r="T82" s="1968"/>
      <c r="U82" s="1968"/>
      <c r="V82" s="1968"/>
      <c r="W82" s="1968"/>
      <c r="X82" s="1968"/>
      <c r="Y82" s="1986"/>
    </row>
    <row r="83" spans="1:26" ht="15.75" customHeight="1">
      <c r="A83" s="1971" t="s">
        <v>874</v>
      </c>
      <c r="B83" s="1967"/>
      <c r="C83" s="592">
        <f t="array" aca="1" ref="C83" ca="1">SUM(B20:B27*Produccion!$C$8:$C$15)</f>
        <v>0</v>
      </c>
      <c r="D83" s="592">
        <f t="array" aca="1" ref="D83" ca="1">SUM(C20:C27*Produccion!$C$8:$C$15)</f>
        <v>0</v>
      </c>
      <c r="E83" s="592">
        <f t="array" aca="1" ref="E83" ca="1">SUM(D20:D27*Produccion!$C$8:$C$15)</f>
        <v>0</v>
      </c>
      <c r="F83" s="592">
        <f t="array" aca="1" ref="F83" ca="1">SUM(E20:E27*Produccion!$C$8:$C$15)</f>
        <v>0</v>
      </c>
      <c r="G83" s="592">
        <f t="array" aca="1" ref="G83" ca="1">SUM(F20:F27*Produccion!$C$8:$C$15)</f>
        <v>0</v>
      </c>
      <c r="H83" s="592">
        <f t="array" aca="1" ref="H83" ca="1">SUM(G20:G27*Produccion!$C$8:$C$15)</f>
        <v>0</v>
      </c>
      <c r="I83" s="592">
        <f t="array" aca="1" ref="I83" ca="1">SUM(H20:H27*Produccion!$C$8:$C$15)</f>
        <v>0</v>
      </c>
      <c r="J83" s="592">
        <f t="array" aca="1" ref="J83" ca="1">SUM(I20:I27*Produccion!$C$8:$C$15)</f>
        <v>0</v>
      </c>
      <c r="K83" s="592">
        <f t="array" aca="1" ref="K83" ca="1">SUM(J20:J27*Produccion!$C$8:$C$15)</f>
        <v>0</v>
      </c>
      <c r="L83" s="592">
        <f t="array" aca="1" ref="L83" ca="1">SUM(K20:K27*Produccion!$C$8:$C$15)</f>
        <v>0</v>
      </c>
      <c r="M83" s="592">
        <f t="array" aca="1" ref="M83" ca="1">SUM(L20:L27*Produccion!$C$8:$C$15)</f>
        <v>0</v>
      </c>
      <c r="N83" s="592">
        <f t="array" aca="1" ref="N83" ca="1">SUM(M20:M27*Produccion!$C$8:$C$15)</f>
        <v>0</v>
      </c>
      <c r="O83" s="1968"/>
      <c r="P83" s="1968"/>
      <c r="Q83" s="1968"/>
      <c r="R83" s="1968"/>
      <c r="S83" s="1968"/>
      <c r="T83" s="1968"/>
      <c r="U83" s="1968"/>
      <c r="V83" s="1968"/>
      <c r="W83" s="1968"/>
      <c r="X83" s="1968"/>
      <c r="Y83" s="1986"/>
    </row>
    <row r="84" spans="1:26" ht="15.75" customHeight="1" thickBot="1">
      <c r="A84" s="1971" t="s">
        <v>875</v>
      </c>
      <c r="B84" s="592">
        <f t="array" aca="1" ref="B84" ca="1">SUM(B20:B27*Produccion!$B$8:$B$15)</f>
        <v>0</v>
      </c>
      <c r="C84" s="592">
        <f t="array" aca="1" ref="C84" ca="1">SUM(C20:C27*Produccion!$B$8:$B$15)</f>
        <v>0</v>
      </c>
      <c r="D84" s="592">
        <f t="array" aca="1" ref="D84" ca="1">SUM(D20:D27*Produccion!$B$8:$B$15)</f>
        <v>0</v>
      </c>
      <c r="E84" s="592">
        <f t="array" aca="1" ref="E84" ca="1">SUM(E20:E27*Produccion!$B$8:$B$15)</f>
        <v>0</v>
      </c>
      <c r="F84" s="592">
        <f t="array" aca="1" ref="F84" ca="1">SUM(F20:F27*Produccion!$B$8:$B$15)</f>
        <v>0</v>
      </c>
      <c r="G84" s="592">
        <f t="array" aca="1" ref="G84" ca="1">SUM(G20:G27*Produccion!$B$8:$B$15)</f>
        <v>0</v>
      </c>
      <c r="H84" s="592">
        <f t="array" aca="1" ref="H84" ca="1">SUM(H20:H27*Produccion!$B$8:$B$15)</f>
        <v>0</v>
      </c>
      <c r="I84" s="592">
        <f t="array" aca="1" ref="I84" ca="1">SUM(I20:I27*Produccion!$B$8:$B$15)</f>
        <v>0</v>
      </c>
      <c r="J84" s="592">
        <f t="array" aca="1" ref="J84" ca="1">SUM(J20:J27*Produccion!$B$8:$B$15)</f>
        <v>0</v>
      </c>
      <c r="K84" s="592">
        <f t="array" aca="1" ref="K84" ca="1">SUM(K20:K27*Produccion!$B$8:$B$15)</f>
        <v>0</v>
      </c>
      <c r="L84" s="592">
        <f t="array" aca="1" ref="L84" ca="1">SUM(L20:L27*Produccion!$B$8:$B$15)</f>
        <v>0</v>
      </c>
      <c r="M84" s="592">
        <f t="array" aca="1" ref="M84" ca="1">SUM(M20:M27*Produccion!$B$8:$B$15)</f>
        <v>0</v>
      </c>
      <c r="N84" s="1968"/>
      <c r="O84" s="1968"/>
      <c r="P84" s="1968"/>
      <c r="Q84" s="1968"/>
      <c r="R84" s="1968"/>
      <c r="S84" s="1968"/>
      <c r="T84" s="1968"/>
      <c r="U84" s="1968"/>
      <c r="V84" s="1968"/>
      <c r="W84" s="1968"/>
      <c r="X84" s="1968"/>
      <c r="Y84" s="1986"/>
    </row>
    <row r="85" spans="1:26" ht="15.75" customHeight="1" thickBot="1">
      <c r="A85" s="103" t="str">
        <f>A$28</f>
        <v>Totales</v>
      </c>
      <c r="B85" s="596">
        <f t="shared" ref="B85:Y85" ca="1" si="9">SUM(B72:B84)</f>
        <v>0</v>
      </c>
      <c r="C85" s="596">
        <f t="shared" ca="1" si="9"/>
        <v>0</v>
      </c>
      <c r="D85" s="596">
        <f t="shared" ca="1" si="9"/>
        <v>0</v>
      </c>
      <c r="E85" s="596">
        <f t="shared" ca="1" si="9"/>
        <v>0</v>
      </c>
      <c r="F85" s="596">
        <f t="shared" ca="1" si="9"/>
        <v>0</v>
      </c>
      <c r="G85" s="596">
        <f t="shared" ca="1" si="9"/>
        <v>0</v>
      </c>
      <c r="H85" s="596">
        <f t="shared" ca="1" si="9"/>
        <v>0</v>
      </c>
      <c r="I85" s="596">
        <f t="shared" ca="1" si="9"/>
        <v>0</v>
      </c>
      <c r="J85" s="596">
        <f t="shared" ca="1" si="9"/>
        <v>0</v>
      </c>
      <c r="K85" s="596">
        <f t="shared" ca="1" si="9"/>
        <v>0</v>
      </c>
      <c r="L85" s="596">
        <f t="shared" ca="1" si="9"/>
        <v>0</v>
      </c>
      <c r="M85" s="596">
        <f t="shared" ca="1" si="9"/>
        <v>0</v>
      </c>
      <c r="N85" s="596">
        <f t="shared" ca="1" si="9"/>
        <v>315.14246680000002</v>
      </c>
      <c r="O85" s="596">
        <f t="shared" ca="1" si="9"/>
        <v>393.92808350000007</v>
      </c>
      <c r="P85" s="596">
        <f t="shared" ca="1" si="9"/>
        <v>433.32089185000012</v>
      </c>
      <c r="Q85" s="596">
        <f t="shared" ca="1" si="9"/>
        <v>413.62448767500001</v>
      </c>
      <c r="R85" s="596">
        <f t="shared" ca="1" si="9"/>
        <v>354.53527515000007</v>
      </c>
      <c r="S85" s="596">
        <f t="shared" ca="1" si="9"/>
        <v>334.83887097500002</v>
      </c>
      <c r="T85" s="596">
        <f t="shared" ca="1" si="9"/>
        <v>315.14246680000002</v>
      </c>
      <c r="U85" s="596">
        <f t="shared" ca="1" si="9"/>
        <v>236.35685010000003</v>
      </c>
      <c r="V85" s="596">
        <f t="shared" ca="1" si="9"/>
        <v>315.14246680000002</v>
      </c>
      <c r="W85" s="596">
        <f t="shared" ca="1" si="9"/>
        <v>374.23167932500013</v>
      </c>
      <c r="X85" s="596">
        <f t="shared" ca="1" si="9"/>
        <v>393.92808350000007</v>
      </c>
      <c r="Y85" s="1984">
        <f t="shared" ca="1" si="9"/>
        <v>472.71370020000006</v>
      </c>
    </row>
    <row r="86" spans="1:26">
      <c r="B86" s="61"/>
    </row>
    <row r="87" spans="1:26">
      <c r="B87" s="61">
        <f ca="1">SUM(B85:M85)</f>
        <v>0</v>
      </c>
    </row>
    <row r="88" spans="1:26">
      <c r="B88" s="61"/>
    </row>
    <row r="89" spans="1:26" ht="18.75" thickBot="1">
      <c r="A89" s="1969" t="str">
        <f>'Distr CV 0'!A89</f>
        <v>IVA de los costes de producción por meses de compra</v>
      </c>
      <c r="I89" s="1969"/>
    </row>
    <row r="90" spans="1:26" s="445" customFormat="1" ht="35.25" customHeight="1" thickBot="1">
      <c r="A90" s="446" t="str">
        <f>A$19</f>
        <v>Costes producción</v>
      </c>
      <c r="B90" s="1987" t="str">
        <f t="array" ref="B90:Y90">B$71:Y$71</f>
        <v>enero 
2030</v>
      </c>
      <c r="C90" s="1987" t="str">
        <v>febrero 
2030</v>
      </c>
      <c r="D90" s="1987" t="str">
        <v>marzo 
2030</v>
      </c>
      <c r="E90" s="1987" t="str">
        <v>abril 
2030</v>
      </c>
      <c r="F90" s="1987" t="str">
        <v>mayo 
2030</v>
      </c>
      <c r="G90" s="1987" t="str">
        <v>junio 
2030</v>
      </c>
      <c r="H90" s="1987" t="str">
        <v>julio 
2030</v>
      </c>
      <c r="I90" s="1987" t="str">
        <v>agosto 
2030</v>
      </c>
      <c r="J90" s="1987" t="str">
        <v>septiembre 
2030</v>
      </c>
      <c r="K90" s="1987" t="str">
        <v>octubre 
2030</v>
      </c>
      <c r="L90" s="1987" t="str">
        <v>noviembre 
2030</v>
      </c>
      <c r="M90" s="1987" t="str">
        <v>diciembre 
2030</v>
      </c>
      <c r="N90" s="2706" t="str">
        <v>enero 
2031</v>
      </c>
      <c r="O90" s="2707" t="str">
        <v>febrero 
2031</v>
      </c>
      <c r="P90" s="2707" t="str">
        <v>marzo 
2031</v>
      </c>
      <c r="Q90" s="2707" t="str">
        <v>abril 
2031</v>
      </c>
      <c r="R90" s="2707" t="str">
        <v>mayo 
2031</v>
      </c>
      <c r="S90" s="2707" t="str">
        <v>junio 
2031</v>
      </c>
      <c r="T90" s="2707" t="str">
        <v>julio 
2031</v>
      </c>
      <c r="U90" s="2707" t="str">
        <v>agosto 
2031</v>
      </c>
      <c r="V90" s="2707" t="str">
        <v>septiembre 
2031</v>
      </c>
      <c r="W90" s="2707" t="str">
        <v>octubre 
2031</v>
      </c>
      <c r="X90" s="2707" t="str">
        <v>noviembre 
2031</v>
      </c>
      <c r="Y90" s="2708" t="str">
        <v>diciembre 
2031</v>
      </c>
      <c r="Z90" s="61"/>
    </row>
    <row r="91" spans="1:26" ht="15.75" customHeight="1">
      <c r="A91" s="1970" t="str">
        <f t="array" ref="A91:A104">A$72:A$85</f>
        <v>mismo mes</v>
      </c>
      <c r="B91" s="1967"/>
      <c r="C91" s="1967"/>
      <c r="D91" s="1967"/>
      <c r="E91" s="1967"/>
      <c r="F91" s="1967"/>
      <c r="G91" s="1967"/>
      <c r="H91" s="1965">
        <v>0</v>
      </c>
      <c r="I91" s="1966">
        <v>0</v>
      </c>
      <c r="J91" s="1966">
        <v>0</v>
      </c>
      <c r="K91" s="1966">
        <v>0</v>
      </c>
      <c r="L91" s="1966">
        <v>0</v>
      </c>
      <c r="M91" s="1966">
        <v>0</v>
      </c>
      <c r="N91" s="588">
        <f t="array" aca="1" ref="N91" ca="1">SUM(B32:B39*Produccion!$N$8:$N$15)</f>
        <v>66.179918028000003</v>
      </c>
      <c r="O91" s="588">
        <f t="array" aca="1" ref="O91" ca="1">SUM(C32:C39*Produccion!$N$8:$N$15)</f>
        <v>82.724897535000011</v>
      </c>
      <c r="P91" s="588">
        <f t="array" aca="1" ref="P91" ca="1">SUM(D32:D39*Produccion!$N$8:$N$15)</f>
        <v>90.997387288500022</v>
      </c>
      <c r="Q91" s="588">
        <f t="array" aca="1" ref="Q91" ca="1">SUM(E32:E39*Produccion!$N$8:$N$15)</f>
        <v>86.861142411749995</v>
      </c>
      <c r="R91" s="588">
        <f t="array" aca="1" ref="R91" ca="1">SUM(F32:F39*Produccion!$N$8:$N$15)</f>
        <v>74.452407781500014</v>
      </c>
      <c r="S91" s="588">
        <f t="array" aca="1" ref="S91" ca="1">SUM(G32:G39*Produccion!$N$8:$N$15)</f>
        <v>70.316162904750001</v>
      </c>
      <c r="T91" s="588">
        <f t="array" aca="1" ref="T91" ca="1">SUM(H32:H39*Produccion!$N$8:$N$15)</f>
        <v>66.179918028000003</v>
      </c>
      <c r="U91" s="588">
        <f t="array" aca="1" ref="U91" ca="1">SUM(I32:I39*Produccion!$N$8:$N$15)</f>
        <v>49.634938521000002</v>
      </c>
      <c r="V91" s="588">
        <f t="array" aca="1" ref="V91" ca="1">SUM(J32:J39*Produccion!$N$8:$N$15)</f>
        <v>66.179918028000003</v>
      </c>
      <c r="W91" s="588">
        <f t="array" aca="1" ref="W91" ca="1">SUM(K32:K39*Produccion!$N$8:$N$15)</f>
        <v>78.588652658250027</v>
      </c>
      <c r="X91" s="588">
        <f t="array" aca="1" ref="X91" ca="1">SUM(L32:L39*Produccion!$N$8:$N$15)</f>
        <v>82.724897535000011</v>
      </c>
      <c r="Y91" s="1985">
        <f t="array" aca="1" ref="Y91" ca="1">SUM(M32:M39*Produccion!$N$8:$N$15)</f>
        <v>99.269877042000005</v>
      </c>
    </row>
    <row r="92" spans="1:26" ht="15.75" customHeight="1">
      <c r="A92" s="1971" t="str">
        <v>1 mes antes</v>
      </c>
      <c r="B92" s="1967"/>
      <c r="C92" s="1967"/>
      <c r="D92" s="1967"/>
      <c r="E92" s="1967"/>
      <c r="F92" s="1967"/>
      <c r="G92" s="1967"/>
      <c r="H92" s="1967"/>
      <c r="I92" s="1964"/>
      <c r="J92" s="1964"/>
      <c r="K92" s="1964"/>
      <c r="L92" s="1964"/>
      <c r="M92" s="590">
        <f t="array" aca="1" ref="M92" ca="1">SUM(B32:B39*Produccion!$M$8:$M$15)</f>
        <v>0</v>
      </c>
      <c r="N92" s="590">
        <f t="array" aca="1" ref="N92" ca="1">SUM(C32:C39*Produccion!$M$8:$M$15)</f>
        <v>0</v>
      </c>
      <c r="O92" s="590">
        <f t="array" aca="1" ref="O92" ca="1">SUM(D32:D39*Produccion!$M$8:$M$15)</f>
        <v>0</v>
      </c>
      <c r="P92" s="590">
        <f t="array" aca="1" ref="P92" ca="1">SUM(E32:E39*Produccion!$M$8:$M$15)</f>
        <v>0</v>
      </c>
      <c r="Q92" s="590">
        <f t="array" aca="1" ref="Q92" ca="1">SUM(F32:F39*Produccion!$M$8:$M$15)</f>
        <v>0</v>
      </c>
      <c r="R92" s="590">
        <f t="array" aca="1" ref="R92" ca="1">SUM(G32:G39*Produccion!$M$8:$M$15)</f>
        <v>0</v>
      </c>
      <c r="S92" s="590">
        <f t="array" aca="1" ref="S92" ca="1">SUM(H32:H39*Produccion!$M$8:$M$15)</f>
        <v>0</v>
      </c>
      <c r="T92" s="590">
        <f t="array" aca="1" ref="T92" ca="1">SUM(I32:I39*Produccion!$M$8:$M$15)</f>
        <v>0</v>
      </c>
      <c r="U92" s="590">
        <f t="array" aca="1" ref="U92" ca="1">SUM(J32:J39*Produccion!$M$8:$M$15)</f>
        <v>0</v>
      </c>
      <c r="V92" s="590">
        <f t="array" aca="1" ref="V92" ca="1">SUM(K32:K39*Produccion!$M$8:$M$15)</f>
        <v>0</v>
      </c>
      <c r="W92" s="590">
        <f t="array" aca="1" ref="W92" ca="1">SUM(L32:L39*Produccion!$M$8:$M$15)</f>
        <v>0</v>
      </c>
      <c r="X92" s="590">
        <f t="array" aca="1" ref="X92" ca="1">SUM(M32:M39*Produccion!$M$8:$M$15)</f>
        <v>0</v>
      </c>
      <c r="Y92" s="1983"/>
    </row>
    <row r="93" spans="1:26" ht="15.75" customHeight="1">
      <c r="A93" s="1971" t="str">
        <v>2 meses antes</v>
      </c>
      <c r="B93" s="1967"/>
      <c r="C93" s="1967"/>
      <c r="D93" s="1967"/>
      <c r="E93" s="1967"/>
      <c r="F93" s="1967"/>
      <c r="G93" s="1967"/>
      <c r="H93" s="1967"/>
      <c r="I93" s="1964"/>
      <c r="J93" s="1964"/>
      <c r="K93" s="1964"/>
      <c r="L93" s="590">
        <f t="array" aca="1" ref="L93" ca="1">SUM(B32:B39*Produccion!$L$8:$L$15)</f>
        <v>0</v>
      </c>
      <c r="M93" s="590">
        <f t="array" aca="1" ref="M93" ca="1">SUM(C32:C39*Produccion!$L$8:$L$15)</f>
        <v>0</v>
      </c>
      <c r="N93" s="590">
        <f t="array" aca="1" ref="N93" ca="1">SUM(D32:D39*Produccion!$L$8:$L$15)</f>
        <v>0</v>
      </c>
      <c r="O93" s="590">
        <f t="array" aca="1" ref="O93" ca="1">SUM(E32:E39*Produccion!$L$8:$L$15)</f>
        <v>0</v>
      </c>
      <c r="P93" s="590">
        <f t="array" aca="1" ref="P93" ca="1">SUM(F32:F39*Produccion!$L$8:$L$15)</f>
        <v>0</v>
      </c>
      <c r="Q93" s="590">
        <f t="array" aca="1" ref="Q93" ca="1">SUM(G32:G39*Produccion!$L$8:$L$15)</f>
        <v>0</v>
      </c>
      <c r="R93" s="590">
        <f t="array" aca="1" ref="R93" ca="1">SUM(H32:H39*Produccion!$L$8:$L$15)</f>
        <v>0</v>
      </c>
      <c r="S93" s="590">
        <f t="array" aca="1" ref="S93" ca="1">SUM(I32:I39*Produccion!$L$8:$L$15)</f>
        <v>0</v>
      </c>
      <c r="T93" s="590">
        <f t="array" aca="1" ref="T93" ca="1">SUM(J32:J39*Produccion!$L$8:$L$15)</f>
        <v>0</v>
      </c>
      <c r="U93" s="590">
        <f t="array" aca="1" ref="U93" ca="1">SUM(K32:K39*Produccion!$L$8:$L$15)</f>
        <v>0</v>
      </c>
      <c r="V93" s="590">
        <f t="array" aca="1" ref="V93" ca="1">SUM(L32:L39*Produccion!$L$8:$L$15)</f>
        <v>0</v>
      </c>
      <c r="W93" s="590">
        <f t="array" aca="1" ref="W93" ca="1">SUM(M32:M39*Produccion!$L$8:$L$15)</f>
        <v>0</v>
      </c>
      <c r="X93" s="1964"/>
      <c r="Y93" s="1983"/>
    </row>
    <row r="94" spans="1:26" ht="15.75" customHeight="1">
      <c r="A94" s="1971" t="str">
        <v>3 meses antes</v>
      </c>
      <c r="B94" s="1967"/>
      <c r="C94" s="1967"/>
      <c r="D94" s="1967"/>
      <c r="E94" s="1967"/>
      <c r="F94" s="1967"/>
      <c r="G94" s="1967"/>
      <c r="H94" s="1967"/>
      <c r="I94" s="1964"/>
      <c r="J94" s="1964"/>
      <c r="K94" s="590">
        <f t="array" aca="1" ref="K94" ca="1">SUM(B32:B39*Produccion!$K$8:$K$15)</f>
        <v>0</v>
      </c>
      <c r="L94" s="590">
        <f t="array" aca="1" ref="L94" ca="1">SUM(C32:C39*Produccion!$K$8:$K$15)</f>
        <v>0</v>
      </c>
      <c r="M94" s="590">
        <f t="array" aca="1" ref="M94" ca="1">SUM(D32:D39*Produccion!$K$8:$K$15)</f>
        <v>0</v>
      </c>
      <c r="N94" s="590">
        <f t="array" aca="1" ref="N94" ca="1">SUM(E32:E39*Produccion!$K$8:$K$15)</f>
        <v>0</v>
      </c>
      <c r="O94" s="590">
        <f t="array" aca="1" ref="O94" ca="1">SUM(F32:F39*Produccion!$K$8:$K$15)</f>
        <v>0</v>
      </c>
      <c r="P94" s="590">
        <f t="array" aca="1" ref="P94" ca="1">SUM(G32:G39*Produccion!$K$8:$K$15)</f>
        <v>0</v>
      </c>
      <c r="Q94" s="590">
        <f t="array" aca="1" ref="Q94" ca="1">SUM(H32:H39*Produccion!$K$8:$K$15)</f>
        <v>0</v>
      </c>
      <c r="R94" s="590">
        <f t="array" aca="1" ref="R94" ca="1">SUM(I32:I39*Produccion!$K$8:$K$15)</f>
        <v>0</v>
      </c>
      <c r="S94" s="590">
        <f t="array" aca="1" ref="S94" ca="1">SUM(J32:J39*Produccion!$K$8:$K$15)</f>
        <v>0</v>
      </c>
      <c r="T94" s="590">
        <f t="array" aca="1" ref="T94" ca="1">SUM(K32:K39*Produccion!$K$8:$K$15)</f>
        <v>0</v>
      </c>
      <c r="U94" s="590">
        <f t="array" aca="1" ref="U94" ca="1">SUM(L32:L39*Produccion!$K$8:$K$15)</f>
        <v>0</v>
      </c>
      <c r="V94" s="590">
        <f t="array" aca="1" ref="V94" ca="1">SUM(M32:M39*Produccion!$K$8:$K$15)</f>
        <v>0</v>
      </c>
      <c r="W94" s="1964"/>
      <c r="X94" s="1964"/>
      <c r="Y94" s="1983"/>
    </row>
    <row r="95" spans="1:26" ht="15.75" customHeight="1">
      <c r="A95" s="1971" t="str">
        <v>4 meses antes</v>
      </c>
      <c r="B95" s="1967"/>
      <c r="C95" s="1967"/>
      <c r="D95" s="1967"/>
      <c r="E95" s="1967"/>
      <c r="F95" s="1967"/>
      <c r="G95" s="1967"/>
      <c r="H95" s="1967"/>
      <c r="I95" s="1964"/>
      <c r="J95" s="590">
        <f t="array" aca="1" ref="J95" ca="1">SUM(B32:B39*Produccion!$J$8:$J$15)</f>
        <v>0</v>
      </c>
      <c r="K95" s="590">
        <f t="array" aca="1" ref="K95" ca="1">SUM(C32:C39*Produccion!$J$8:$J$15)</f>
        <v>0</v>
      </c>
      <c r="L95" s="590">
        <f t="array" aca="1" ref="L95" ca="1">SUM(D32:D39*Produccion!$J$8:$J$15)</f>
        <v>0</v>
      </c>
      <c r="M95" s="590">
        <f t="array" aca="1" ref="M95" ca="1">SUM(E32:E39*Produccion!$J$8:$J$15)</f>
        <v>0</v>
      </c>
      <c r="N95" s="590">
        <f t="array" aca="1" ref="N95" ca="1">SUM(F32:F39*Produccion!$J$8:$J$15)</f>
        <v>0</v>
      </c>
      <c r="O95" s="590">
        <f t="array" aca="1" ref="O95" ca="1">SUM(G32:G39*Produccion!$J$8:$J$15)</f>
        <v>0</v>
      </c>
      <c r="P95" s="590">
        <f t="array" aca="1" ref="P95" ca="1">SUM(H32:H39*Produccion!$J$8:$J$15)</f>
        <v>0</v>
      </c>
      <c r="Q95" s="590">
        <f t="array" aca="1" ref="Q95" ca="1">SUM(I32:I39*Produccion!$J$8:$J$15)</f>
        <v>0</v>
      </c>
      <c r="R95" s="590">
        <f t="array" aca="1" ref="R95" ca="1">SUM(J32:J39*Produccion!$J$8:$J$15)</f>
        <v>0</v>
      </c>
      <c r="S95" s="590">
        <f t="array" aca="1" ref="S95" ca="1">SUM(K32:K39*Produccion!$J$8:$J$15)</f>
        <v>0</v>
      </c>
      <c r="T95" s="590">
        <f t="array" aca="1" ref="T95" ca="1">SUM(L32:L39*Produccion!$J$8:$J$15)</f>
        <v>0</v>
      </c>
      <c r="U95" s="590">
        <f t="array" aca="1" ref="U95" ca="1">SUM(M32:M39*Produccion!$J$8:$J$15)</f>
        <v>0</v>
      </c>
      <c r="V95" s="1964"/>
      <c r="W95" s="1964"/>
      <c r="X95" s="1964"/>
      <c r="Y95" s="1983"/>
    </row>
    <row r="96" spans="1:26" ht="15.75" customHeight="1">
      <c r="A96" s="1971" t="str">
        <v>5 meses antes</v>
      </c>
      <c r="B96" s="1967"/>
      <c r="C96" s="1967"/>
      <c r="D96" s="1967"/>
      <c r="E96" s="1967"/>
      <c r="F96" s="1967"/>
      <c r="G96" s="1967"/>
      <c r="H96" s="1967"/>
      <c r="I96" s="590">
        <f t="array" aca="1" ref="I96" ca="1">SUM(B32:B39*Produccion!$I$8:$I$15)</f>
        <v>0</v>
      </c>
      <c r="J96" s="590">
        <f t="array" aca="1" ref="J96" ca="1">SUM(C32:C39*Produccion!$I$8:$I$15)</f>
        <v>0</v>
      </c>
      <c r="K96" s="590">
        <f t="array" aca="1" ref="K96" ca="1">SUM(D32:D39*Produccion!$I$8:$I$15)</f>
        <v>0</v>
      </c>
      <c r="L96" s="590">
        <f t="array" aca="1" ref="L96" ca="1">SUM(E32:E39*Produccion!$I$8:$I$15)</f>
        <v>0</v>
      </c>
      <c r="M96" s="590">
        <f t="array" aca="1" ref="M96" ca="1">SUM(F32:F39*Produccion!$I$8:$I$15)</f>
        <v>0</v>
      </c>
      <c r="N96" s="590">
        <f t="array" aca="1" ref="N96" ca="1">SUM(G32:G39*Produccion!$I$8:$I$15)</f>
        <v>0</v>
      </c>
      <c r="O96" s="590">
        <f t="array" aca="1" ref="O96" ca="1">SUM(H32:H39*Produccion!$I$8:$I$15)</f>
        <v>0</v>
      </c>
      <c r="P96" s="590">
        <f t="array" aca="1" ref="P96" ca="1">SUM(I32:I39*Produccion!$I$8:$I$15)</f>
        <v>0</v>
      </c>
      <c r="Q96" s="590">
        <f t="array" aca="1" ref="Q96" ca="1">SUM(J32:J39*Produccion!$I$8:$I$15)</f>
        <v>0</v>
      </c>
      <c r="R96" s="590">
        <f t="array" aca="1" ref="R96" ca="1">SUM(K32:K39*Produccion!$I$8:$I$15)</f>
        <v>0</v>
      </c>
      <c r="S96" s="590">
        <f t="array" aca="1" ref="S96" ca="1">SUM(L32:L39*Produccion!$I$8:$I$15)</f>
        <v>0</v>
      </c>
      <c r="T96" s="590">
        <f t="array" aca="1" ref="T96" ca="1">SUM(M32:M39*Produccion!$I$8:$I$15)</f>
        <v>0</v>
      </c>
      <c r="U96" s="1964"/>
      <c r="V96" s="1964"/>
      <c r="W96" s="1964"/>
      <c r="X96" s="1964"/>
      <c r="Y96" s="1983"/>
    </row>
    <row r="97" spans="1:26" ht="15.75" customHeight="1">
      <c r="A97" s="1971" t="str">
        <v>6 meses antes</v>
      </c>
      <c r="B97" s="1967"/>
      <c r="C97" s="1967"/>
      <c r="D97" s="1967"/>
      <c r="E97" s="1967"/>
      <c r="F97" s="1967"/>
      <c r="G97" s="1967"/>
      <c r="H97" s="590">
        <f t="array" aca="1" ref="H97" ca="1">SUM(B32:B39*Produccion!$H$8:$H$15)</f>
        <v>0</v>
      </c>
      <c r="I97" s="590">
        <f t="array" aca="1" ref="I97" ca="1">SUM(C32:C39*Produccion!$H$8:$H$15)</f>
        <v>0</v>
      </c>
      <c r="J97" s="590">
        <f t="array" aca="1" ref="J97" ca="1">SUM(D32:D39*Produccion!$H$8:$H$15)</f>
        <v>0</v>
      </c>
      <c r="K97" s="590">
        <f t="array" aca="1" ref="K97" ca="1">SUM(E32:E39*Produccion!$H$8:$H$15)</f>
        <v>0</v>
      </c>
      <c r="L97" s="590">
        <f t="array" aca="1" ref="L97" ca="1">SUM(F32:F39*Produccion!$H$8:$H$15)</f>
        <v>0</v>
      </c>
      <c r="M97" s="590">
        <f t="array" aca="1" ref="M97" ca="1">SUM(G32:G39*Produccion!$H$8:$H$15)</f>
        <v>0</v>
      </c>
      <c r="N97" s="590">
        <f t="array" aca="1" ref="N97" ca="1">SUM(H32:H39*Produccion!$H$8:$H$15)</f>
        <v>0</v>
      </c>
      <c r="O97" s="590">
        <f t="array" aca="1" ref="O97" ca="1">SUM(I32:I39*Produccion!$H$8:$H$15)</f>
        <v>0</v>
      </c>
      <c r="P97" s="590">
        <f t="array" aca="1" ref="P97" ca="1">SUM(J32:J39*Produccion!$H$8:$H$15)</f>
        <v>0</v>
      </c>
      <c r="Q97" s="590">
        <f t="array" aca="1" ref="Q97" ca="1">SUM(K32:K39*Produccion!$H$8:$H$15)</f>
        <v>0</v>
      </c>
      <c r="R97" s="590">
        <f t="array" aca="1" ref="R97" ca="1">SUM(L32:L39*Produccion!$H$8:$H$15)</f>
        <v>0</v>
      </c>
      <c r="S97" s="590">
        <f t="array" aca="1" ref="S97" ca="1">SUM(M32:M39*Produccion!$H$8:$H$15)</f>
        <v>0</v>
      </c>
      <c r="T97" s="1964"/>
      <c r="U97" s="1964"/>
      <c r="V97" s="1964"/>
      <c r="W97" s="1964"/>
      <c r="X97" s="1964"/>
      <c r="Y97" s="1983"/>
    </row>
    <row r="98" spans="1:26" ht="15.75" customHeight="1">
      <c r="A98" s="1971" t="str">
        <v>7 meses antes</v>
      </c>
      <c r="B98" s="1967"/>
      <c r="C98" s="1967"/>
      <c r="D98" s="1967"/>
      <c r="E98" s="1967"/>
      <c r="F98" s="1967"/>
      <c r="G98" s="592">
        <f t="array" aca="1" ref="G98" ca="1">SUM(B32:B39*Produccion!$G$8:$G$15)</f>
        <v>0</v>
      </c>
      <c r="H98" s="592">
        <f t="array" aca="1" ref="H98" ca="1">SUM(C32:C39*Produccion!$G$8:$G$15)</f>
        <v>0</v>
      </c>
      <c r="I98" s="592">
        <f t="array" aca="1" ref="I98" ca="1">SUM(D32:D39*Produccion!$G$8:$G$15)</f>
        <v>0</v>
      </c>
      <c r="J98" s="592">
        <f t="array" aca="1" ref="J98" ca="1">SUM(E32:E39*Produccion!$G$8:$G$15)</f>
        <v>0</v>
      </c>
      <c r="K98" s="592">
        <f t="array" aca="1" ref="K98" ca="1">SUM(F32:F39*Produccion!$G$8:$G$15)</f>
        <v>0</v>
      </c>
      <c r="L98" s="592">
        <f t="array" aca="1" ref="L98" ca="1">SUM(G32:G39*Produccion!$G$8:$G$15)</f>
        <v>0</v>
      </c>
      <c r="M98" s="592">
        <f t="array" aca="1" ref="M98" ca="1">SUM(H32:H39*Produccion!$G$8:$G$15)</f>
        <v>0</v>
      </c>
      <c r="N98" s="592">
        <f t="array" aca="1" ref="N98" ca="1">SUM(I32:I39*Produccion!$G$8:$G$15)</f>
        <v>0</v>
      </c>
      <c r="O98" s="592">
        <f t="array" aca="1" ref="O98" ca="1">SUM(J32:J39*Produccion!$G$8:$G$15)</f>
        <v>0</v>
      </c>
      <c r="P98" s="592">
        <f t="array" aca="1" ref="P98" ca="1">SUM(K32:K39*Produccion!$G$8:$G$15)</f>
        <v>0</v>
      </c>
      <c r="Q98" s="592">
        <f t="array" aca="1" ref="Q98" ca="1">SUM(L32:L39*Produccion!$G$8:$G$15)</f>
        <v>0</v>
      </c>
      <c r="R98" s="592">
        <f t="array" aca="1" ref="R98" ca="1">SUM(M32:M39*Produccion!$G$8:$G$15)</f>
        <v>0</v>
      </c>
      <c r="S98" s="1968"/>
      <c r="T98" s="1968"/>
      <c r="U98" s="1968"/>
      <c r="V98" s="1968"/>
      <c r="W98" s="1968"/>
      <c r="X98" s="1968"/>
      <c r="Y98" s="1986"/>
    </row>
    <row r="99" spans="1:26" ht="15.75" customHeight="1">
      <c r="A99" s="1971" t="str">
        <v>8 meses antes</v>
      </c>
      <c r="B99" s="1967"/>
      <c r="C99" s="1967"/>
      <c r="D99" s="1967"/>
      <c r="E99" s="1967"/>
      <c r="F99" s="592">
        <f t="array" aca="1" ref="F99" ca="1">SUM(B32:B39*Produccion!$F$8:$F$15)</f>
        <v>0</v>
      </c>
      <c r="G99" s="592">
        <f t="array" aca="1" ref="G99" ca="1">SUM(C32:C39*Produccion!$F$8:$F$15)</f>
        <v>0</v>
      </c>
      <c r="H99" s="592">
        <f t="array" aca="1" ref="H99" ca="1">SUM(D32:D39*Produccion!$F$8:$F$15)</f>
        <v>0</v>
      </c>
      <c r="I99" s="592">
        <f t="array" aca="1" ref="I99" ca="1">SUM(E32:E39*Produccion!$F$8:$F$15)</f>
        <v>0</v>
      </c>
      <c r="J99" s="592">
        <f t="array" aca="1" ref="J99" ca="1">SUM(F32:F39*Produccion!$F$8:$F$15)</f>
        <v>0</v>
      </c>
      <c r="K99" s="592">
        <f t="array" aca="1" ref="K99" ca="1">SUM(G32:G39*Produccion!$F$8:$F$15)</f>
        <v>0</v>
      </c>
      <c r="L99" s="592">
        <f t="array" aca="1" ref="L99" ca="1">SUM(H32:H39*Produccion!$F$8:$F$15)</f>
        <v>0</v>
      </c>
      <c r="M99" s="592">
        <f t="array" aca="1" ref="M99" ca="1">SUM(I32:I39*Produccion!$F$8:$F$15)</f>
        <v>0</v>
      </c>
      <c r="N99" s="592">
        <f t="array" aca="1" ref="N99" ca="1">SUM(J32:J39*Produccion!$F$8:$F$15)</f>
        <v>0</v>
      </c>
      <c r="O99" s="592">
        <f t="array" aca="1" ref="O99" ca="1">SUM(K32:K39*Produccion!$F$8:$F$15)</f>
        <v>0</v>
      </c>
      <c r="P99" s="592">
        <f t="array" aca="1" ref="P99" ca="1">SUM(L32:L39*Produccion!$F$8:$F$15)</f>
        <v>0</v>
      </c>
      <c r="Q99" s="592">
        <f t="array" aca="1" ref="Q99" ca="1">SUM(M32:M39*Produccion!$F$8:$F$15)</f>
        <v>0</v>
      </c>
      <c r="R99" s="1968"/>
      <c r="S99" s="1968"/>
      <c r="T99" s="1968"/>
      <c r="U99" s="1968"/>
      <c r="V99" s="1968"/>
      <c r="W99" s="1968"/>
      <c r="X99" s="1968"/>
      <c r="Y99" s="1986"/>
    </row>
    <row r="100" spans="1:26" ht="15.75" customHeight="1">
      <c r="A100" s="1971" t="str">
        <v>9 meses antes</v>
      </c>
      <c r="B100" s="1967"/>
      <c r="C100" s="1967"/>
      <c r="D100" s="1967"/>
      <c r="E100" s="592">
        <f t="array" aca="1" ref="E100" ca="1">SUM(B32:B39*Produccion!$E$8:$E$15)</f>
        <v>0</v>
      </c>
      <c r="F100" s="592">
        <f t="array" aca="1" ref="F100" ca="1">SUM(C32:C39*Produccion!$E$8:$E$15)</f>
        <v>0</v>
      </c>
      <c r="G100" s="592">
        <f t="array" aca="1" ref="G100" ca="1">SUM(D32:D39*Produccion!$E$8:$E$15)</f>
        <v>0</v>
      </c>
      <c r="H100" s="592">
        <f t="array" aca="1" ref="H100" ca="1">SUM(E32:E39*Produccion!$E$8:$E$15)</f>
        <v>0</v>
      </c>
      <c r="I100" s="592">
        <f t="array" aca="1" ref="I100" ca="1">SUM(F32:F39*Produccion!$E$8:$E$15)</f>
        <v>0</v>
      </c>
      <c r="J100" s="592">
        <f t="array" aca="1" ref="J100" ca="1">SUM(G32:G39*Produccion!$E$8:$E$15)</f>
        <v>0</v>
      </c>
      <c r="K100" s="592">
        <f t="array" aca="1" ref="K100" ca="1">SUM(H32:H39*Produccion!$E$8:$E$15)</f>
        <v>0</v>
      </c>
      <c r="L100" s="592">
        <f t="array" aca="1" ref="L100" ca="1">SUM(I32:I39*Produccion!$E$8:$E$15)</f>
        <v>0</v>
      </c>
      <c r="M100" s="592">
        <f t="array" aca="1" ref="M100" ca="1">SUM(J32:J39*Produccion!$E$8:$E$15)</f>
        <v>0</v>
      </c>
      <c r="N100" s="592">
        <f t="array" aca="1" ref="N100" ca="1">SUM(K32:K39*Produccion!$E$8:$E$15)</f>
        <v>0</v>
      </c>
      <c r="O100" s="592">
        <f t="array" aca="1" ref="O100" ca="1">SUM(L32:L39*Produccion!$E$8:$E$15)</f>
        <v>0</v>
      </c>
      <c r="P100" s="592">
        <f t="array" aca="1" ref="P100" ca="1">SUM(M32:M39*Produccion!$E$8:$E$15)</f>
        <v>0</v>
      </c>
      <c r="Q100" s="1968"/>
      <c r="R100" s="1968"/>
      <c r="S100" s="1968"/>
      <c r="T100" s="1968"/>
      <c r="U100" s="1968"/>
      <c r="V100" s="1968"/>
      <c r="W100" s="1968"/>
      <c r="X100" s="1968"/>
      <c r="Y100" s="1986"/>
    </row>
    <row r="101" spans="1:26" ht="15.75" customHeight="1">
      <c r="A101" s="1971" t="str">
        <v>10 meses antes</v>
      </c>
      <c r="B101" s="1967"/>
      <c r="C101" s="1967"/>
      <c r="D101" s="591">
        <f t="array" aca="1" ref="D101" ca="1">SUM(B32:B39*Produccion!$D$8:$D$15)</f>
        <v>0</v>
      </c>
      <c r="E101" s="591">
        <f t="array" aca="1" ref="E101" ca="1">SUM(C32:C39*Produccion!$D$8:$D$15)</f>
        <v>0</v>
      </c>
      <c r="F101" s="591">
        <f t="array" aca="1" ref="F101" ca="1">SUM(D32:D39*Produccion!$D$8:$D$15)</f>
        <v>0</v>
      </c>
      <c r="G101" s="591">
        <f t="array" aca="1" ref="G101" ca="1">SUM(E32:E39*Produccion!$D$8:$D$15)</f>
        <v>0</v>
      </c>
      <c r="H101" s="591">
        <f t="array" aca="1" ref="H101" ca="1">SUM(F32:F39*Produccion!$D$8:$D$15)</f>
        <v>0</v>
      </c>
      <c r="I101" s="591">
        <f t="array" aca="1" ref="I101" ca="1">SUM(G32:G39*Produccion!$D$8:$D$15)</f>
        <v>0</v>
      </c>
      <c r="J101" s="591">
        <f t="array" aca="1" ref="J101" ca="1">SUM(H32:H39*Produccion!$D$8:$D$15)</f>
        <v>0</v>
      </c>
      <c r="K101" s="591">
        <f t="array" aca="1" ref="K101" ca="1">SUM(I32:I39*Produccion!$D$8:$D$15)</f>
        <v>0</v>
      </c>
      <c r="L101" s="591">
        <f t="array" aca="1" ref="L101" ca="1">SUM(J32:J39*Produccion!$D$8:$D$15)</f>
        <v>0</v>
      </c>
      <c r="M101" s="591">
        <f t="array" aca="1" ref="M101" ca="1">SUM(K32:K39*Produccion!$D$8:$D$15)</f>
        <v>0</v>
      </c>
      <c r="N101" s="591">
        <f t="array" aca="1" ref="N101" ca="1">SUM(L32:L39*Produccion!$D$8:$D$15)</f>
        <v>0</v>
      </c>
      <c r="O101" s="591">
        <f t="array" aca="1" ref="O101" ca="1">SUM(M32:M39*Produccion!$D$8:$D$15)</f>
        <v>0</v>
      </c>
      <c r="P101" s="1968"/>
      <c r="Q101" s="1968"/>
      <c r="R101" s="1968"/>
      <c r="S101" s="1968"/>
      <c r="T101" s="1968"/>
      <c r="U101" s="1968"/>
      <c r="V101" s="1968"/>
      <c r="W101" s="1968"/>
      <c r="X101" s="1968"/>
      <c r="Y101" s="1986"/>
    </row>
    <row r="102" spans="1:26" ht="15.75" customHeight="1">
      <c r="A102" s="1971" t="str">
        <v>11 meses antes</v>
      </c>
      <c r="B102" s="1967"/>
      <c r="C102" s="592">
        <f t="array" aca="1" ref="C102" ca="1">SUM(B32:B39*Produccion!$C$8:$C$15)</f>
        <v>0</v>
      </c>
      <c r="D102" s="592">
        <f t="array" aca="1" ref="D102" ca="1">SUM(C32:C39*Produccion!$C$8:$C$15)</f>
        <v>0</v>
      </c>
      <c r="E102" s="592">
        <f t="array" aca="1" ref="E102" ca="1">SUM(D32:D39*Produccion!$C$8:$C$15)</f>
        <v>0</v>
      </c>
      <c r="F102" s="592">
        <f t="array" aca="1" ref="F102" ca="1">SUM(E32:E39*Produccion!$C$8:$C$15)</f>
        <v>0</v>
      </c>
      <c r="G102" s="592">
        <f t="array" aca="1" ref="G102" ca="1">SUM(F32:F39*Produccion!$C$8:$C$15)</f>
        <v>0</v>
      </c>
      <c r="H102" s="592">
        <f t="array" aca="1" ref="H102" ca="1">SUM(G32:G39*Produccion!$C$8:$C$15)</f>
        <v>0</v>
      </c>
      <c r="I102" s="592">
        <f t="array" aca="1" ref="I102" ca="1">SUM(H32:H39*Produccion!$C$8:$C$15)</f>
        <v>0</v>
      </c>
      <c r="J102" s="592">
        <f t="array" aca="1" ref="J102" ca="1">SUM(I32:I39*Produccion!$C$8:$C$15)</f>
        <v>0</v>
      </c>
      <c r="K102" s="592">
        <f t="array" aca="1" ref="K102" ca="1">SUM(J32:J39*Produccion!$C$8:$C$15)</f>
        <v>0</v>
      </c>
      <c r="L102" s="592">
        <f t="array" aca="1" ref="L102" ca="1">SUM(K32:K39*Produccion!$C$8:$C$15)</f>
        <v>0</v>
      </c>
      <c r="M102" s="592">
        <f t="array" aca="1" ref="M102" ca="1">SUM(L32:L39*Produccion!$C$8:$C$15)</f>
        <v>0</v>
      </c>
      <c r="N102" s="592">
        <f t="array" aca="1" ref="N102" ca="1">SUM(M32:M39*Produccion!$C$8:$C$15)</f>
        <v>0</v>
      </c>
      <c r="O102" s="1968"/>
      <c r="P102" s="1968"/>
      <c r="Q102" s="1968"/>
      <c r="R102" s="1968"/>
      <c r="S102" s="1968"/>
      <c r="T102" s="1968"/>
      <c r="U102" s="1968"/>
      <c r="V102" s="1968"/>
      <c r="W102" s="1968"/>
      <c r="X102" s="1968"/>
      <c r="Y102" s="1986"/>
    </row>
    <row r="103" spans="1:26" ht="15.75" customHeight="1" thickBot="1">
      <c r="A103" s="1971" t="str">
        <v>12 meses antes</v>
      </c>
      <c r="B103" s="592">
        <f t="array" aca="1" ref="B103" ca="1">SUM(B32:B39*Produccion!$B$8:$B$15)</f>
        <v>0</v>
      </c>
      <c r="C103" s="592">
        <f t="array" aca="1" ref="C103" ca="1">SUM(C32:C39*Produccion!$B$8:$B$15)</f>
        <v>0</v>
      </c>
      <c r="D103" s="592">
        <f t="array" aca="1" ref="D103" ca="1">SUM(D32:D39*Produccion!$B$8:$B$15)</f>
        <v>0</v>
      </c>
      <c r="E103" s="592">
        <f t="array" aca="1" ref="E103" ca="1">SUM(E32:E39*Produccion!$B$8:$B$15)</f>
        <v>0</v>
      </c>
      <c r="F103" s="592">
        <f t="array" aca="1" ref="F103" ca="1">SUM(F32:F39*Produccion!$B$8:$B$15)</f>
        <v>0</v>
      </c>
      <c r="G103" s="592">
        <f t="array" aca="1" ref="G103" ca="1">SUM(G32:G39*Produccion!$B$8:$B$15)</f>
        <v>0</v>
      </c>
      <c r="H103" s="592">
        <f t="array" aca="1" ref="H103" ca="1">SUM(H32:H39*Produccion!$B$8:$B$15)</f>
        <v>0</v>
      </c>
      <c r="I103" s="592">
        <f t="array" aca="1" ref="I103" ca="1">SUM(I32:I39*Produccion!$B$8:$B$15)</f>
        <v>0</v>
      </c>
      <c r="J103" s="592">
        <f t="array" aca="1" ref="J103" ca="1">SUM(J32:J39*Produccion!$B$8:$B$15)</f>
        <v>0</v>
      </c>
      <c r="K103" s="592">
        <f t="array" aca="1" ref="K103" ca="1">SUM(K32:K39*Produccion!$B$8:$B$15)</f>
        <v>0</v>
      </c>
      <c r="L103" s="592">
        <f t="array" aca="1" ref="L103" ca="1">SUM(L32:L39*Produccion!$B$8:$B$15)</f>
        <v>0</v>
      </c>
      <c r="M103" s="592">
        <f t="array" aca="1" ref="M103" ca="1">SUM(M32:M39*Produccion!$B$8:$B$15)</f>
        <v>0</v>
      </c>
      <c r="N103" s="1968"/>
      <c r="O103" s="1968"/>
      <c r="P103" s="1968"/>
      <c r="Q103" s="1968"/>
      <c r="R103" s="1968"/>
      <c r="S103" s="1968"/>
      <c r="T103" s="1968"/>
      <c r="U103" s="1968"/>
      <c r="V103" s="1968"/>
      <c r="W103" s="1968"/>
      <c r="X103" s="1968"/>
      <c r="Y103" s="1986"/>
    </row>
    <row r="104" spans="1:26" ht="15.75" customHeight="1" thickBot="1">
      <c r="A104" s="103" t="str">
        <v>Totales</v>
      </c>
      <c r="B104" s="596">
        <f t="shared" ref="B104:Y104" ca="1" si="10">SUM(B91:B103)</f>
        <v>0</v>
      </c>
      <c r="C104" s="596">
        <f t="shared" ca="1" si="10"/>
        <v>0</v>
      </c>
      <c r="D104" s="596">
        <f t="shared" ca="1" si="10"/>
        <v>0</v>
      </c>
      <c r="E104" s="596">
        <f t="shared" ca="1" si="10"/>
        <v>0</v>
      </c>
      <c r="F104" s="596">
        <f t="shared" ca="1" si="10"/>
        <v>0</v>
      </c>
      <c r="G104" s="596">
        <f t="shared" ca="1" si="10"/>
        <v>0</v>
      </c>
      <c r="H104" s="596">
        <f t="shared" ca="1" si="10"/>
        <v>0</v>
      </c>
      <c r="I104" s="596">
        <f t="shared" ca="1" si="10"/>
        <v>0</v>
      </c>
      <c r="J104" s="596">
        <f t="shared" ca="1" si="10"/>
        <v>0</v>
      </c>
      <c r="K104" s="596">
        <f t="shared" ca="1" si="10"/>
        <v>0</v>
      </c>
      <c r="L104" s="596">
        <f t="shared" ca="1" si="10"/>
        <v>0</v>
      </c>
      <c r="M104" s="596">
        <f t="shared" ca="1" si="10"/>
        <v>0</v>
      </c>
      <c r="N104" s="596">
        <f t="shared" ca="1" si="10"/>
        <v>66.179918028000003</v>
      </c>
      <c r="O104" s="596">
        <f t="shared" ca="1" si="10"/>
        <v>82.724897535000011</v>
      </c>
      <c r="P104" s="596">
        <f t="shared" ca="1" si="10"/>
        <v>90.997387288500022</v>
      </c>
      <c r="Q104" s="596">
        <f t="shared" ca="1" si="10"/>
        <v>86.861142411749995</v>
      </c>
      <c r="R104" s="596">
        <f t="shared" ca="1" si="10"/>
        <v>74.452407781500014</v>
      </c>
      <c r="S104" s="596">
        <f t="shared" ca="1" si="10"/>
        <v>70.316162904750001</v>
      </c>
      <c r="T104" s="596">
        <f t="shared" ca="1" si="10"/>
        <v>66.179918028000003</v>
      </c>
      <c r="U104" s="596">
        <f t="shared" ca="1" si="10"/>
        <v>49.634938521000002</v>
      </c>
      <c r="V104" s="596">
        <f t="shared" ca="1" si="10"/>
        <v>66.179918028000003</v>
      </c>
      <c r="W104" s="596">
        <f t="shared" ca="1" si="10"/>
        <v>78.588652658250027</v>
      </c>
      <c r="X104" s="596">
        <f t="shared" ca="1" si="10"/>
        <v>82.724897535000011</v>
      </c>
      <c r="Y104" s="1984">
        <f t="shared" ca="1" si="10"/>
        <v>99.269877042000005</v>
      </c>
    </row>
    <row r="106" spans="1:26">
      <c r="A106" s="232" t="str">
        <f>'Datos Básicos'!A28&amp;" del pendiente anterior"</f>
        <v>IVA del pendiente anterior</v>
      </c>
      <c r="B106" s="61">
        <f ca="1">SUM(B104:M104)</f>
        <v>0</v>
      </c>
    </row>
    <row r="108" spans="1:26">
      <c r="F108" s="61" t="s">
        <v>885</v>
      </c>
      <c r="K108" s="61" t="s">
        <v>887</v>
      </c>
    </row>
    <row r="109" spans="1:26" ht="18.75" thickBot="1">
      <c r="A109" s="1969" t="str">
        <f>'Distr CV 0'!A109</f>
        <v>Compras / costes de producción por meses de producto o servicio</v>
      </c>
      <c r="I109" s="1969" t="str">
        <f>I$18</f>
        <v>IVA NO incluido</v>
      </c>
      <c r="K109" s="1981">
        <f>Parametros!$F$24</f>
        <v>0.21</v>
      </c>
    </row>
    <row r="110" spans="1:26" s="445" customFormat="1" ht="30" customHeight="1" thickBot="1">
      <c r="A110" s="446" t="s">
        <v>886</v>
      </c>
      <c r="B110" s="1987" t="str">
        <f t="array" ref="B110:Y110">B$71:Y$71</f>
        <v>enero 
2030</v>
      </c>
      <c r="C110" s="1987" t="str">
        <v>febrero 
2030</v>
      </c>
      <c r="D110" s="1987" t="str">
        <v>marzo 
2030</v>
      </c>
      <c r="E110" s="1987" t="str">
        <v>abril 
2030</v>
      </c>
      <c r="F110" s="1987" t="str">
        <v>mayo 
2030</v>
      </c>
      <c r="G110" s="1987" t="str">
        <v>junio 
2030</v>
      </c>
      <c r="H110" s="1987" t="str">
        <v>julio 
2030</v>
      </c>
      <c r="I110" s="1987" t="str">
        <v>agosto 
2030</v>
      </c>
      <c r="J110" s="1987" t="str">
        <v>septiembre 
2030</v>
      </c>
      <c r="K110" s="1987" t="str">
        <v>octubre 
2030</v>
      </c>
      <c r="L110" s="1987" t="str">
        <v>noviembre 
2030</v>
      </c>
      <c r="M110" s="1987" t="str">
        <v>diciembre 
2030</v>
      </c>
      <c r="N110" s="2706" t="str">
        <v>enero 
2031</v>
      </c>
      <c r="O110" s="2707" t="str">
        <v>febrero 
2031</v>
      </c>
      <c r="P110" s="2707" t="str">
        <v>marzo 
2031</v>
      </c>
      <c r="Q110" s="2707" t="str">
        <v>abril 
2031</v>
      </c>
      <c r="R110" s="2707" t="str">
        <v>mayo 
2031</v>
      </c>
      <c r="S110" s="2707" t="str">
        <v>junio 
2031</v>
      </c>
      <c r="T110" s="2707" t="str">
        <v>julio 
2031</v>
      </c>
      <c r="U110" s="2707" t="str">
        <v>agosto 
2031</v>
      </c>
      <c r="V110" s="2707" t="str">
        <v>septiembre 
2031</v>
      </c>
      <c r="W110" s="2707" t="str">
        <v>octubre 
2031</v>
      </c>
      <c r="X110" s="2707" t="str">
        <v>noviembre 
2031</v>
      </c>
      <c r="Y110" s="2708" t="str">
        <v>diciembre 
2031</v>
      </c>
      <c r="Z110" s="61"/>
    </row>
    <row r="111" spans="1:26">
      <c r="A111" s="1970" t="str">
        <f t="array" ref="A111:A123">A$72:A$84</f>
        <v>mismo mes</v>
      </c>
      <c r="B111" s="1967"/>
      <c r="C111" s="1967"/>
      <c r="D111" s="1967"/>
      <c r="E111" s="1967"/>
      <c r="F111" s="1967"/>
      <c r="G111" s="1967"/>
      <c r="H111" s="1967"/>
      <c r="I111" s="1967"/>
      <c r="J111" s="1967"/>
      <c r="K111" s="1967"/>
      <c r="L111" s="1967"/>
      <c r="M111" s="1967"/>
      <c r="N111" s="592">
        <f t="array" aca="1" ref="N111:Y111" ca="1">B$20:M20*Produccion!$N$8</f>
        <v>315.14246680000002</v>
      </c>
      <c r="O111" s="592">
        <f ca="1"/>
        <v>393.92808350000007</v>
      </c>
      <c r="P111" s="592">
        <f ca="1"/>
        <v>433.32089185000012</v>
      </c>
      <c r="Q111" s="592">
        <f ca="1"/>
        <v>413.62448767500001</v>
      </c>
      <c r="R111" s="592">
        <f ca="1"/>
        <v>354.53527515000007</v>
      </c>
      <c r="S111" s="592">
        <f ca="1"/>
        <v>334.83887097500002</v>
      </c>
      <c r="T111" s="592">
        <f ca="1"/>
        <v>315.14246680000002</v>
      </c>
      <c r="U111" s="592">
        <f ca="1"/>
        <v>236.35685010000003</v>
      </c>
      <c r="V111" s="592">
        <f ca="1"/>
        <v>315.14246680000002</v>
      </c>
      <c r="W111" s="592">
        <f ca="1"/>
        <v>374.23167932500013</v>
      </c>
      <c r="X111" s="592">
        <f ca="1"/>
        <v>393.92808350000007</v>
      </c>
      <c r="Y111" s="1982">
        <f ca="1"/>
        <v>472.71370020000006</v>
      </c>
    </row>
    <row r="112" spans="1:26">
      <c r="A112" s="1971" t="str">
        <v>1 mes antes</v>
      </c>
      <c r="B112" s="1967"/>
      <c r="C112" s="1967"/>
      <c r="D112" s="1967"/>
      <c r="E112" s="1967"/>
      <c r="F112" s="1967"/>
      <c r="G112" s="1967"/>
      <c r="H112" s="1967"/>
      <c r="I112" s="1967"/>
      <c r="J112" s="1967"/>
      <c r="K112" s="1967"/>
      <c r="L112" s="1967"/>
      <c r="M112" s="592">
        <f t="array" aca="1" ref="M112:X112" ca="1">B$20:M20*Produccion!$M$8</f>
        <v>0</v>
      </c>
      <c r="N112" s="592">
        <f ca="1"/>
        <v>0</v>
      </c>
      <c r="O112" s="592">
        <f ca="1"/>
        <v>0</v>
      </c>
      <c r="P112" s="592">
        <f ca="1"/>
        <v>0</v>
      </c>
      <c r="Q112" s="592">
        <f ca="1"/>
        <v>0</v>
      </c>
      <c r="R112" s="592">
        <f ca="1"/>
        <v>0</v>
      </c>
      <c r="S112" s="592">
        <f ca="1"/>
        <v>0</v>
      </c>
      <c r="T112" s="592">
        <f ca="1"/>
        <v>0</v>
      </c>
      <c r="U112" s="592">
        <f ca="1"/>
        <v>0</v>
      </c>
      <c r="V112" s="592">
        <f ca="1"/>
        <v>0</v>
      </c>
      <c r="W112" s="592">
        <f ca="1"/>
        <v>0</v>
      </c>
      <c r="X112" s="592">
        <f ca="1"/>
        <v>0</v>
      </c>
      <c r="Y112" s="1983"/>
    </row>
    <row r="113" spans="1:25">
      <c r="A113" s="1971" t="str">
        <v>2 meses antes</v>
      </c>
      <c r="B113" s="1967"/>
      <c r="C113" s="1967"/>
      <c r="D113" s="1967"/>
      <c r="E113" s="1967"/>
      <c r="F113" s="1967"/>
      <c r="G113" s="1967"/>
      <c r="H113" s="1967"/>
      <c r="I113" s="1967"/>
      <c r="J113" s="1967"/>
      <c r="K113" s="1967"/>
      <c r="L113" s="592">
        <f t="array" aca="1" ref="L113:W113" ca="1">B$20:M20*Produccion!$L$8</f>
        <v>0</v>
      </c>
      <c r="M113" s="592">
        <f ca="1"/>
        <v>0</v>
      </c>
      <c r="N113" s="592">
        <f ca="1"/>
        <v>0</v>
      </c>
      <c r="O113" s="592">
        <f ca="1"/>
        <v>0</v>
      </c>
      <c r="P113" s="592">
        <f ca="1"/>
        <v>0</v>
      </c>
      <c r="Q113" s="592">
        <f ca="1"/>
        <v>0</v>
      </c>
      <c r="R113" s="592">
        <f ca="1"/>
        <v>0</v>
      </c>
      <c r="S113" s="592">
        <f ca="1"/>
        <v>0</v>
      </c>
      <c r="T113" s="592">
        <f ca="1"/>
        <v>0</v>
      </c>
      <c r="U113" s="592">
        <f ca="1"/>
        <v>0</v>
      </c>
      <c r="V113" s="592">
        <f ca="1"/>
        <v>0</v>
      </c>
      <c r="W113" s="592">
        <f ca="1"/>
        <v>0</v>
      </c>
      <c r="X113" s="1967"/>
      <c r="Y113" s="1983"/>
    </row>
    <row r="114" spans="1:25">
      <c r="A114" s="1971" t="str">
        <v>3 meses antes</v>
      </c>
      <c r="B114" s="1967"/>
      <c r="C114" s="1967"/>
      <c r="D114" s="1967"/>
      <c r="E114" s="1967"/>
      <c r="F114" s="1967"/>
      <c r="G114" s="1967"/>
      <c r="H114" s="1967"/>
      <c r="I114" s="1967"/>
      <c r="J114" s="1967"/>
      <c r="K114" s="592">
        <f t="array" aca="1" ref="K114:V114" ca="1">B$20:M20*Produccion!$K$8</f>
        <v>0</v>
      </c>
      <c r="L114" s="592">
        <f ca="1"/>
        <v>0</v>
      </c>
      <c r="M114" s="592">
        <f ca="1"/>
        <v>0</v>
      </c>
      <c r="N114" s="592">
        <f ca="1"/>
        <v>0</v>
      </c>
      <c r="O114" s="592">
        <f ca="1"/>
        <v>0</v>
      </c>
      <c r="P114" s="592">
        <f ca="1"/>
        <v>0</v>
      </c>
      <c r="Q114" s="592">
        <f ca="1"/>
        <v>0</v>
      </c>
      <c r="R114" s="592">
        <f ca="1"/>
        <v>0</v>
      </c>
      <c r="S114" s="592">
        <f ca="1"/>
        <v>0</v>
      </c>
      <c r="T114" s="592">
        <f ca="1"/>
        <v>0</v>
      </c>
      <c r="U114" s="592">
        <f ca="1"/>
        <v>0</v>
      </c>
      <c r="V114" s="592">
        <f ca="1"/>
        <v>0</v>
      </c>
      <c r="W114" s="1967"/>
      <c r="X114" s="1967"/>
      <c r="Y114" s="1983"/>
    </row>
    <row r="115" spans="1:25">
      <c r="A115" s="1971" t="str">
        <v>4 meses antes</v>
      </c>
      <c r="B115" s="1967"/>
      <c r="C115" s="1967"/>
      <c r="D115" s="1967"/>
      <c r="E115" s="1967"/>
      <c r="F115" s="1967"/>
      <c r="G115" s="1967"/>
      <c r="H115" s="1967"/>
      <c r="I115" s="1967"/>
      <c r="J115" s="592">
        <f t="array" aca="1" ref="J115:U115" ca="1">B$20:M20*Produccion!$J$8</f>
        <v>0</v>
      </c>
      <c r="K115" s="592">
        <f ca="1"/>
        <v>0</v>
      </c>
      <c r="L115" s="592">
        <f ca="1"/>
        <v>0</v>
      </c>
      <c r="M115" s="592">
        <f ca="1"/>
        <v>0</v>
      </c>
      <c r="N115" s="592">
        <f ca="1"/>
        <v>0</v>
      </c>
      <c r="O115" s="592">
        <f ca="1"/>
        <v>0</v>
      </c>
      <c r="P115" s="592">
        <f ca="1"/>
        <v>0</v>
      </c>
      <c r="Q115" s="592">
        <f ca="1"/>
        <v>0</v>
      </c>
      <c r="R115" s="592">
        <f ca="1"/>
        <v>0</v>
      </c>
      <c r="S115" s="592">
        <f ca="1"/>
        <v>0</v>
      </c>
      <c r="T115" s="592">
        <f ca="1"/>
        <v>0</v>
      </c>
      <c r="U115" s="592">
        <f ca="1"/>
        <v>0</v>
      </c>
      <c r="V115" s="1967"/>
      <c r="W115" s="1967"/>
      <c r="X115" s="1967"/>
      <c r="Y115" s="1983"/>
    </row>
    <row r="116" spans="1:25">
      <c r="A116" s="1971" t="str">
        <v>5 meses antes</v>
      </c>
      <c r="B116" s="1967"/>
      <c r="C116" s="1967"/>
      <c r="D116" s="1967"/>
      <c r="E116" s="1967"/>
      <c r="F116" s="1967"/>
      <c r="G116" s="1967"/>
      <c r="H116" s="1967"/>
      <c r="I116" s="592">
        <f t="array" aca="1" ref="I116:T116" ca="1">B$20:M20*Produccion!$I$8</f>
        <v>0</v>
      </c>
      <c r="J116" s="592">
        <f ca="1"/>
        <v>0</v>
      </c>
      <c r="K116" s="592">
        <f ca="1"/>
        <v>0</v>
      </c>
      <c r="L116" s="592">
        <f ca="1"/>
        <v>0</v>
      </c>
      <c r="M116" s="592">
        <f ca="1"/>
        <v>0</v>
      </c>
      <c r="N116" s="592">
        <f ca="1"/>
        <v>0</v>
      </c>
      <c r="O116" s="592">
        <f ca="1"/>
        <v>0</v>
      </c>
      <c r="P116" s="592">
        <f ca="1"/>
        <v>0</v>
      </c>
      <c r="Q116" s="592">
        <f ca="1"/>
        <v>0</v>
      </c>
      <c r="R116" s="592">
        <f ca="1"/>
        <v>0</v>
      </c>
      <c r="S116" s="592">
        <f ca="1"/>
        <v>0</v>
      </c>
      <c r="T116" s="592">
        <f ca="1"/>
        <v>0</v>
      </c>
      <c r="U116" s="1967"/>
      <c r="V116" s="1967"/>
      <c r="W116" s="1967"/>
      <c r="X116" s="1967"/>
      <c r="Y116" s="1983"/>
    </row>
    <row r="117" spans="1:25">
      <c r="A117" s="1971" t="str">
        <v>6 meses antes</v>
      </c>
      <c r="B117" s="1967"/>
      <c r="C117" s="1967"/>
      <c r="D117" s="1967"/>
      <c r="E117" s="1967"/>
      <c r="F117" s="1967"/>
      <c r="G117" s="1967"/>
      <c r="H117" s="592">
        <f t="array" aca="1" ref="H117:S117" ca="1">B$20:M20*Produccion!$H$8</f>
        <v>0</v>
      </c>
      <c r="I117" s="592">
        <f ca="1"/>
        <v>0</v>
      </c>
      <c r="J117" s="592">
        <f ca="1"/>
        <v>0</v>
      </c>
      <c r="K117" s="592">
        <f ca="1"/>
        <v>0</v>
      </c>
      <c r="L117" s="592">
        <f ca="1"/>
        <v>0</v>
      </c>
      <c r="M117" s="592">
        <f ca="1"/>
        <v>0</v>
      </c>
      <c r="N117" s="592">
        <f ca="1"/>
        <v>0</v>
      </c>
      <c r="O117" s="592">
        <f ca="1"/>
        <v>0</v>
      </c>
      <c r="P117" s="592">
        <f ca="1"/>
        <v>0</v>
      </c>
      <c r="Q117" s="592">
        <f ca="1"/>
        <v>0</v>
      </c>
      <c r="R117" s="592">
        <f ca="1"/>
        <v>0</v>
      </c>
      <c r="S117" s="592">
        <f ca="1"/>
        <v>0</v>
      </c>
      <c r="T117" s="1967"/>
      <c r="U117" s="1967"/>
      <c r="V117" s="1967"/>
      <c r="W117" s="1967"/>
      <c r="X117" s="1967"/>
      <c r="Y117" s="1983"/>
    </row>
    <row r="118" spans="1:25">
      <c r="A118" s="1971" t="str">
        <v>7 meses antes</v>
      </c>
      <c r="B118" s="1967"/>
      <c r="C118" s="1967"/>
      <c r="D118" s="1967"/>
      <c r="E118" s="1967"/>
      <c r="F118" s="1967"/>
      <c r="G118" s="592">
        <f t="array" aca="1" ref="G118:R118" ca="1">B$20:M20*Produccion!$G$8</f>
        <v>0</v>
      </c>
      <c r="H118" s="592">
        <f ca="1"/>
        <v>0</v>
      </c>
      <c r="I118" s="592">
        <f ca="1"/>
        <v>0</v>
      </c>
      <c r="J118" s="592">
        <f ca="1"/>
        <v>0</v>
      </c>
      <c r="K118" s="592">
        <f ca="1"/>
        <v>0</v>
      </c>
      <c r="L118" s="592">
        <f ca="1"/>
        <v>0</v>
      </c>
      <c r="M118" s="592">
        <f ca="1"/>
        <v>0</v>
      </c>
      <c r="N118" s="592">
        <f ca="1"/>
        <v>0</v>
      </c>
      <c r="O118" s="592">
        <f ca="1"/>
        <v>0</v>
      </c>
      <c r="P118" s="592">
        <f ca="1"/>
        <v>0</v>
      </c>
      <c r="Q118" s="592">
        <f ca="1"/>
        <v>0</v>
      </c>
      <c r="R118" s="592">
        <f ca="1"/>
        <v>0</v>
      </c>
      <c r="S118" s="1967"/>
      <c r="T118" s="1967"/>
      <c r="U118" s="1967"/>
      <c r="V118" s="1967"/>
      <c r="W118" s="1967"/>
      <c r="X118" s="1967"/>
      <c r="Y118" s="1983"/>
    </row>
    <row r="119" spans="1:25">
      <c r="A119" s="1971" t="str">
        <v>8 meses antes</v>
      </c>
      <c r="B119" s="1967"/>
      <c r="C119" s="1967"/>
      <c r="D119" s="1967"/>
      <c r="E119" s="1967"/>
      <c r="F119" s="592">
        <f t="array" aca="1" ref="F119:Q119" ca="1">B$20:M20*Produccion!$F$8</f>
        <v>0</v>
      </c>
      <c r="G119" s="592">
        <f ca="1"/>
        <v>0</v>
      </c>
      <c r="H119" s="592">
        <f ca="1"/>
        <v>0</v>
      </c>
      <c r="I119" s="592">
        <f ca="1"/>
        <v>0</v>
      </c>
      <c r="J119" s="592">
        <f ca="1"/>
        <v>0</v>
      </c>
      <c r="K119" s="592">
        <f ca="1"/>
        <v>0</v>
      </c>
      <c r="L119" s="592">
        <f ca="1"/>
        <v>0</v>
      </c>
      <c r="M119" s="592">
        <f ca="1"/>
        <v>0</v>
      </c>
      <c r="N119" s="592">
        <f ca="1"/>
        <v>0</v>
      </c>
      <c r="O119" s="592">
        <f ca="1"/>
        <v>0</v>
      </c>
      <c r="P119" s="592">
        <f ca="1"/>
        <v>0</v>
      </c>
      <c r="Q119" s="592">
        <f ca="1"/>
        <v>0</v>
      </c>
      <c r="R119" s="1967"/>
      <c r="S119" s="1967"/>
      <c r="T119" s="1967"/>
      <c r="U119" s="1967"/>
      <c r="V119" s="1967"/>
      <c r="W119" s="1967"/>
      <c r="X119" s="1967"/>
      <c r="Y119" s="1983"/>
    </row>
    <row r="120" spans="1:25">
      <c r="A120" s="1971" t="str">
        <v>9 meses antes</v>
      </c>
      <c r="B120" s="1967"/>
      <c r="C120" s="1967"/>
      <c r="D120" s="1967"/>
      <c r="E120" s="592">
        <f t="array" aca="1" ref="E120:P120" ca="1">B$20:M20*Produccion!$E$8</f>
        <v>0</v>
      </c>
      <c r="F120" s="592">
        <f ca="1"/>
        <v>0</v>
      </c>
      <c r="G120" s="592">
        <f ca="1"/>
        <v>0</v>
      </c>
      <c r="H120" s="592">
        <f ca="1"/>
        <v>0</v>
      </c>
      <c r="I120" s="592">
        <f ca="1"/>
        <v>0</v>
      </c>
      <c r="J120" s="592">
        <f ca="1"/>
        <v>0</v>
      </c>
      <c r="K120" s="592">
        <f ca="1"/>
        <v>0</v>
      </c>
      <c r="L120" s="592">
        <f ca="1"/>
        <v>0</v>
      </c>
      <c r="M120" s="592">
        <f ca="1"/>
        <v>0</v>
      </c>
      <c r="N120" s="592">
        <f ca="1"/>
        <v>0</v>
      </c>
      <c r="O120" s="592">
        <f ca="1"/>
        <v>0</v>
      </c>
      <c r="P120" s="592">
        <f ca="1"/>
        <v>0</v>
      </c>
      <c r="Q120" s="1967"/>
      <c r="R120" s="1967"/>
      <c r="S120" s="1967"/>
      <c r="T120" s="1967"/>
      <c r="U120" s="1967"/>
      <c r="V120" s="1967"/>
      <c r="W120" s="1967"/>
      <c r="X120" s="1967"/>
      <c r="Y120" s="1983"/>
    </row>
    <row r="121" spans="1:25">
      <c r="A121" s="1971" t="str">
        <v>10 meses antes</v>
      </c>
      <c r="B121" s="1967"/>
      <c r="C121" s="1967"/>
      <c r="D121" s="592">
        <f t="array" aca="1" ref="D121:O121" ca="1">B$20:M20*Produccion!$D$8</f>
        <v>0</v>
      </c>
      <c r="E121" s="592">
        <f ca="1"/>
        <v>0</v>
      </c>
      <c r="F121" s="592">
        <f ca="1"/>
        <v>0</v>
      </c>
      <c r="G121" s="592">
        <f ca="1"/>
        <v>0</v>
      </c>
      <c r="H121" s="592">
        <f ca="1"/>
        <v>0</v>
      </c>
      <c r="I121" s="592">
        <f ca="1"/>
        <v>0</v>
      </c>
      <c r="J121" s="592">
        <f ca="1"/>
        <v>0</v>
      </c>
      <c r="K121" s="592">
        <f ca="1"/>
        <v>0</v>
      </c>
      <c r="L121" s="592">
        <f ca="1"/>
        <v>0</v>
      </c>
      <c r="M121" s="592">
        <f ca="1"/>
        <v>0</v>
      </c>
      <c r="N121" s="592">
        <f ca="1"/>
        <v>0</v>
      </c>
      <c r="O121" s="592">
        <f ca="1"/>
        <v>0</v>
      </c>
      <c r="P121" s="1967"/>
      <c r="Q121" s="1967"/>
      <c r="R121" s="1967"/>
      <c r="S121" s="1967"/>
      <c r="T121" s="1967"/>
      <c r="U121" s="1967"/>
      <c r="V121" s="1967"/>
      <c r="W121" s="1967"/>
      <c r="X121" s="1967"/>
      <c r="Y121" s="1983"/>
    </row>
    <row r="122" spans="1:25">
      <c r="A122" s="1971" t="str">
        <v>11 meses antes</v>
      </c>
      <c r="B122" s="1967"/>
      <c r="C122" s="592">
        <f t="array" aca="1" ref="C122:N122" ca="1">B$20:M20*Produccion!$C$8</f>
        <v>0</v>
      </c>
      <c r="D122" s="592">
        <f ca="1"/>
        <v>0</v>
      </c>
      <c r="E122" s="592">
        <f ca="1"/>
        <v>0</v>
      </c>
      <c r="F122" s="592">
        <f ca="1"/>
        <v>0</v>
      </c>
      <c r="G122" s="592">
        <f ca="1"/>
        <v>0</v>
      </c>
      <c r="H122" s="592">
        <f ca="1"/>
        <v>0</v>
      </c>
      <c r="I122" s="592">
        <f ca="1"/>
        <v>0</v>
      </c>
      <c r="J122" s="592">
        <f ca="1"/>
        <v>0</v>
      </c>
      <c r="K122" s="592">
        <f ca="1"/>
        <v>0</v>
      </c>
      <c r="L122" s="592">
        <f ca="1"/>
        <v>0</v>
      </c>
      <c r="M122" s="592">
        <f ca="1"/>
        <v>0</v>
      </c>
      <c r="N122" s="592">
        <f ca="1"/>
        <v>0</v>
      </c>
      <c r="O122" s="1967"/>
      <c r="P122" s="1967"/>
      <c r="Q122" s="1967"/>
      <c r="R122" s="1967"/>
      <c r="S122" s="1967"/>
      <c r="T122" s="1967"/>
      <c r="U122" s="1967"/>
      <c r="V122" s="1967"/>
      <c r="W122" s="1967"/>
      <c r="X122" s="1967"/>
      <c r="Y122" s="1983"/>
    </row>
    <row r="123" spans="1:25" ht="13.5" thickBot="1">
      <c r="A123" s="1971" t="str">
        <v>12 meses antes</v>
      </c>
      <c r="B123" s="592">
        <f t="array" aca="1" ref="B123:M123" ca="1">B$20:M20*Produccion!$B$8</f>
        <v>0</v>
      </c>
      <c r="C123" s="592">
        <f ca="1"/>
        <v>0</v>
      </c>
      <c r="D123" s="592">
        <f ca="1"/>
        <v>0</v>
      </c>
      <c r="E123" s="592">
        <f ca="1"/>
        <v>0</v>
      </c>
      <c r="F123" s="592">
        <f ca="1"/>
        <v>0</v>
      </c>
      <c r="G123" s="592">
        <f ca="1"/>
        <v>0</v>
      </c>
      <c r="H123" s="592">
        <f ca="1"/>
        <v>0</v>
      </c>
      <c r="I123" s="592">
        <f ca="1"/>
        <v>0</v>
      </c>
      <c r="J123" s="592">
        <f ca="1"/>
        <v>0</v>
      </c>
      <c r="K123" s="592">
        <f ca="1"/>
        <v>0</v>
      </c>
      <c r="L123" s="592">
        <f ca="1"/>
        <v>0</v>
      </c>
      <c r="M123" s="592">
        <f ca="1"/>
        <v>0</v>
      </c>
      <c r="N123" s="1968"/>
      <c r="O123" s="1967"/>
      <c r="P123" s="1967"/>
      <c r="Q123" s="1967"/>
      <c r="R123" s="1967"/>
      <c r="S123" s="1967"/>
      <c r="T123" s="1967"/>
      <c r="U123" s="1967"/>
      <c r="V123" s="1967"/>
      <c r="W123" s="1967"/>
      <c r="X123" s="1967"/>
      <c r="Y123" s="1983"/>
    </row>
    <row r="124" spans="1:25" ht="15.75" customHeight="1" thickBot="1">
      <c r="A124" s="103" t="str">
        <f>"Totales CV "&amp;A$8</f>
        <v>Totales CV producto o servicio</v>
      </c>
      <c r="B124" s="596">
        <f t="shared" ref="B124:Y124" ca="1" si="11">SUM(B111:B123)</f>
        <v>0</v>
      </c>
      <c r="C124" s="596">
        <f t="shared" ca="1" si="11"/>
        <v>0</v>
      </c>
      <c r="D124" s="596">
        <f t="shared" ca="1" si="11"/>
        <v>0</v>
      </c>
      <c r="E124" s="596">
        <f t="shared" ca="1" si="11"/>
        <v>0</v>
      </c>
      <c r="F124" s="596">
        <f t="shared" ca="1" si="11"/>
        <v>0</v>
      </c>
      <c r="G124" s="596">
        <f t="shared" ca="1" si="11"/>
        <v>0</v>
      </c>
      <c r="H124" s="596">
        <f t="shared" ca="1" si="11"/>
        <v>0</v>
      </c>
      <c r="I124" s="596">
        <f t="shared" ca="1" si="11"/>
        <v>0</v>
      </c>
      <c r="J124" s="596">
        <f t="shared" ca="1" si="11"/>
        <v>0</v>
      </c>
      <c r="K124" s="596">
        <f t="shared" ca="1" si="11"/>
        <v>0</v>
      </c>
      <c r="L124" s="596">
        <f t="shared" ca="1" si="11"/>
        <v>0</v>
      </c>
      <c r="M124" s="596">
        <f t="shared" ca="1" si="11"/>
        <v>0</v>
      </c>
      <c r="N124" s="596">
        <f t="shared" ca="1" si="11"/>
        <v>315.14246680000002</v>
      </c>
      <c r="O124" s="596">
        <f t="shared" ca="1" si="11"/>
        <v>393.92808350000007</v>
      </c>
      <c r="P124" s="596">
        <f t="shared" ca="1" si="11"/>
        <v>433.32089185000012</v>
      </c>
      <c r="Q124" s="596">
        <f t="shared" ca="1" si="11"/>
        <v>413.62448767500001</v>
      </c>
      <c r="R124" s="596">
        <f t="shared" ca="1" si="11"/>
        <v>354.53527515000007</v>
      </c>
      <c r="S124" s="596">
        <f t="shared" ca="1" si="11"/>
        <v>334.83887097500002</v>
      </c>
      <c r="T124" s="596">
        <f t="shared" ca="1" si="11"/>
        <v>315.14246680000002</v>
      </c>
      <c r="U124" s="596">
        <f t="shared" ca="1" si="11"/>
        <v>236.35685010000003</v>
      </c>
      <c r="V124" s="596">
        <f t="shared" ca="1" si="11"/>
        <v>315.14246680000002</v>
      </c>
      <c r="W124" s="596">
        <f t="shared" ca="1" si="11"/>
        <v>374.23167932500013</v>
      </c>
      <c r="X124" s="596">
        <f t="shared" ca="1" si="11"/>
        <v>393.92808350000007</v>
      </c>
      <c r="Y124" s="1984">
        <f t="shared" ca="1" si="11"/>
        <v>472.71370020000006</v>
      </c>
    </row>
    <row r="125" spans="1:25" ht="15.75" customHeight="1" thickBot="1">
      <c r="A125" s="103" t="str">
        <f>'Datos Básicos'!A28&amp;" sop. CV "&amp;$A$8</f>
        <v>IVA sop. CV producto o servicio</v>
      </c>
      <c r="B125" s="596">
        <f t="array" aca="1" ref="B125:Y125" ca="1">$K$109*B124:Y124</f>
        <v>0</v>
      </c>
      <c r="C125" s="596">
        <f ca="1"/>
        <v>0</v>
      </c>
      <c r="D125" s="596">
        <f ca="1"/>
        <v>0</v>
      </c>
      <c r="E125" s="596">
        <f ca="1"/>
        <v>0</v>
      </c>
      <c r="F125" s="596">
        <f ca="1"/>
        <v>0</v>
      </c>
      <c r="G125" s="596">
        <f ca="1"/>
        <v>0</v>
      </c>
      <c r="H125" s="596">
        <f ca="1"/>
        <v>0</v>
      </c>
      <c r="I125" s="596">
        <f ca="1"/>
        <v>0</v>
      </c>
      <c r="J125" s="596">
        <f ca="1"/>
        <v>0</v>
      </c>
      <c r="K125" s="596">
        <f ca="1"/>
        <v>0</v>
      </c>
      <c r="L125" s="596">
        <f ca="1"/>
        <v>0</v>
      </c>
      <c r="M125" s="596">
        <f ca="1"/>
        <v>0</v>
      </c>
      <c r="N125" s="596">
        <f ca="1"/>
        <v>66.179918028000003</v>
      </c>
      <c r="O125" s="596">
        <f ca="1"/>
        <v>82.724897535000011</v>
      </c>
      <c r="P125" s="596">
        <f ca="1"/>
        <v>90.997387288500022</v>
      </c>
      <c r="Q125" s="596">
        <f ca="1"/>
        <v>86.861142411749995</v>
      </c>
      <c r="R125" s="596">
        <f ca="1"/>
        <v>74.452407781500014</v>
      </c>
      <c r="S125" s="596">
        <f ca="1"/>
        <v>70.316162904750001</v>
      </c>
      <c r="T125" s="596">
        <f ca="1"/>
        <v>66.179918028000003</v>
      </c>
      <c r="U125" s="596">
        <f ca="1"/>
        <v>49.634938521000002</v>
      </c>
      <c r="V125" s="596">
        <f ca="1"/>
        <v>66.179918028000003</v>
      </c>
      <c r="W125" s="596">
        <f ca="1"/>
        <v>78.588652658250027</v>
      </c>
      <c r="X125" s="596">
        <f ca="1"/>
        <v>82.724897535000011</v>
      </c>
      <c r="Y125" s="1984">
        <f ca="1"/>
        <v>99.269877042000005</v>
      </c>
    </row>
    <row r="127" spans="1:25" ht="18.75" thickBot="1">
      <c r="A127" s="1969" t="str">
        <f>'Distr CV 0'!A127</f>
        <v xml:space="preserve">Compras / costes de producción por meses de </v>
      </c>
      <c r="I127" s="1969" t="str">
        <f>I$18</f>
        <v>IVA NO incluido</v>
      </c>
      <c r="K127" s="1981">
        <f>Parametros!$F$25</f>
        <v>0.21</v>
      </c>
    </row>
    <row r="128" spans="1:25" ht="30" customHeight="1" thickBot="1">
      <c r="A128" s="446" t="str">
        <f>A$110</f>
        <v>mes de compra / coste</v>
      </c>
      <c r="B128" s="1987" t="str">
        <f t="array" ref="B128:Y128">B$71:Y$71</f>
        <v>enero 
2030</v>
      </c>
      <c r="C128" s="1987" t="str">
        <v>febrero 
2030</v>
      </c>
      <c r="D128" s="1987" t="str">
        <v>marzo 
2030</v>
      </c>
      <c r="E128" s="1987" t="str">
        <v>abril 
2030</v>
      </c>
      <c r="F128" s="1987" t="str">
        <v>mayo 
2030</v>
      </c>
      <c r="G128" s="1987" t="str">
        <v>junio 
2030</v>
      </c>
      <c r="H128" s="1987" t="str">
        <v>julio 
2030</v>
      </c>
      <c r="I128" s="1987" t="str">
        <v>agosto 
2030</v>
      </c>
      <c r="J128" s="1987" t="str">
        <v>septiembre 
2030</v>
      </c>
      <c r="K128" s="1987" t="str">
        <v>octubre 
2030</v>
      </c>
      <c r="L128" s="1987" t="str">
        <v>noviembre 
2030</v>
      </c>
      <c r="M128" s="1987" t="str">
        <v>diciembre 
2030</v>
      </c>
      <c r="N128" s="2706" t="str">
        <v>enero 
2031</v>
      </c>
      <c r="O128" s="2707" t="str">
        <v>febrero 
2031</v>
      </c>
      <c r="P128" s="2707" t="str">
        <v>marzo 
2031</v>
      </c>
      <c r="Q128" s="2707" t="str">
        <v>abril 
2031</v>
      </c>
      <c r="R128" s="2707" t="str">
        <v>mayo 
2031</v>
      </c>
      <c r="S128" s="2707" t="str">
        <v>junio 
2031</v>
      </c>
      <c r="T128" s="2707" t="str">
        <v>julio 
2031</v>
      </c>
      <c r="U128" s="2707" t="str">
        <v>agosto 
2031</v>
      </c>
      <c r="V128" s="2707" t="str">
        <v>septiembre 
2031</v>
      </c>
      <c r="W128" s="2707" t="str">
        <v>octubre 
2031</v>
      </c>
      <c r="X128" s="2707" t="str">
        <v>noviembre 
2031</v>
      </c>
      <c r="Y128" s="2708" t="str">
        <v>diciembre 
2031</v>
      </c>
    </row>
    <row r="129" spans="1:25">
      <c r="A129" s="1970" t="str">
        <f t="array" ref="A129:A141">A$72:A$84</f>
        <v>mismo mes</v>
      </c>
      <c r="B129" s="1967"/>
      <c r="C129" s="1967"/>
      <c r="D129" s="1967"/>
      <c r="E129" s="1967"/>
      <c r="F129" s="1967"/>
      <c r="G129" s="1967"/>
      <c r="H129" s="1967"/>
      <c r="I129" s="1967"/>
      <c r="J129" s="1967"/>
      <c r="K129" s="1967"/>
      <c r="L129" s="1967"/>
      <c r="M129" s="1967"/>
      <c r="N129" s="592">
        <f t="array" aca="1" ref="N129:Y129" ca="1">B21:M21*Produccion!$N$9</f>
        <v>0</v>
      </c>
      <c r="O129" s="592">
        <f ca="1"/>
        <v>0</v>
      </c>
      <c r="P129" s="592">
        <f ca="1"/>
        <v>0</v>
      </c>
      <c r="Q129" s="592">
        <f ca="1"/>
        <v>0</v>
      </c>
      <c r="R129" s="592">
        <f ca="1"/>
        <v>0</v>
      </c>
      <c r="S129" s="592">
        <f ca="1"/>
        <v>0</v>
      </c>
      <c r="T129" s="592">
        <f ca="1"/>
        <v>0</v>
      </c>
      <c r="U129" s="592">
        <f ca="1"/>
        <v>0</v>
      </c>
      <c r="V129" s="592">
        <f ca="1"/>
        <v>0</v>
      </c>
      <c r="W129" s="592">
        <f ca="1"/>
        <v>0</v>
      </c>
      <c r="X129" s="592">
        <f ca="1"/>
        <v>0</v>
      </c>
      <c r="Y129" s="1982">
        <f ca="1"/>
        <v>0</v>
      </c>
    </row>
    <row r="130" spans="1:25">
      <c r="A130" s="1971" t="str">
        <v>1 mes antes</v>
      </c>
      <c r="B130" s="1967"/>
      <c r="C130" s="1967"/>
      <c r="D130" s="1967"/>
      <c r="E130" s="1967"/>
      <c r="F130" s="1967"/>
      <c r="G130" s="1967"/>
      <c r="H130" s="1967"/>
      <c r="I130" s="1967"/>
      <c r="J130" s="1967"/>
      <c r="K130" s="1967"/>
      <c r="L130" s="1967"/>
      <c r="M130" s="592">
        <f t="array" aca="1" ref="M130:X130" ca="1">B21:M21*Produccion!$M$9</f>
        <v>0</v>
      </c>
      <c r="N130" s="592">
        <f ca="1"/>
        <v>0</v>
      </c>
      <c r="O130" s="592">
        <f ca="1"/>
        <v>0</v>
      </c>
      <c r="P130" s="592">
        <f ca="1"/>
        <v>0</v>
      </c>
      <c r="Q130" s="592">
        <f ca="1"/>
        <v>0</v>
      </c>
      <c r="R130" s="592">
        <f ca="1"/>
        <v>0</v>
      </c>
      <c r="S130" s="592">
        <f ca="1"/>
        <v>0</v>
      </c>
      <c r="T130" s="592">
        <f ca="1"/>
        <v>0</v>
      </c>
      <c r="U130" s="592">
        <f ca="1"/>
        <v>0</v>
      </c>
      <c r="V130" s="592">
        <f ca="1"/>
        <v>0</v>
      </c>
      <c r="W130" s="592">
        <f ca="1"/>
        <v>0</v>
      </c>
      <c r="X130" s="592">
        <f ca="1"/>
        <v>0</v>
      </c>
      <c r="Y130" s="1983"/>
    </row>
    <row r="131" spans="1:25">
      <c r="A131" s="1971" t="str">
        <v>2 meses antes</v>
      </c>
      <c r="B131" s="1967"/>
      <c r="C131" s="1967"/>
      <c r="D131" s="1967"/>
      <c r="E131" s="1967"/>
      <c r="F131" s="1967"/>
      <c r="G131" s="1967"/>
      <c r="H131" s="1967"/>
      <c r="I131" s="1967"/>
      <c r="J131" s="1967"/>
      <c r="K131" s="1967"/>
      <c r="L131" s="592">
        <f t="array" aca="1" ref="L131:W131" ca="1">B21:M21*Produccion!$L$9</f>
        <v>0</v>
      </c>
      <c r="M131" s="592">
        <f ca="1"/>
        <v>0</v>
      </c>
      <c r="N131" s="592">
        <f ca="1"/>
        <v>0</v>
      </c>
      <c r="O131" s="592">
        <f ca="1"/>
        <v>0</v>
      </c>
      <c r="P131" s="592">
        <f ca="1"/>
        <v>0</v>
      </c>
      <c r="Q131" s="592">
        <f ca="1"/>
        <v>0</v>
      </c>
      <c r="R131" s="592">
        <f ca="1"/>
        <v>0</v>
      </c>
      <c r="S131" s="592">
        <f ca="1"/>
        <v>0</v>
      </c>
      <c r="T131" s="592">
        <f ca="1"/>
        <v>0</v>
      </c>
      <c r="U131" s="592">
        <f ca="1"/>
        <v>0</v>
      </c>
      <c r="V131" s="592">
        <f ca="1"/>
        <v>0</v>
      </c>
      <c r="W131" s="592">
        <f ca="1"/>
        <v>0</v>
      </c>
      <c r="X131" s="1967"/>
      <c r="Y131" s="1983"/>
    </row>
    <row r="132" spans="1:25">
      <c r="A132" s="1971" t="str">
        <v>3 meses antes</v>
      </c>
      <c r="B132" s="1967"/>
      <c r="C132" s="1967"/>
      <c r="D132" s="1967"/>
      <c r="E132" s="1967"/>
      <c r="F132" s="1967"/>
      <c r="G132" s="1967"/>
      <c r="H132" s="1967"/>
      <c r="I132" s="1967"/>
      <c r="J132" s="1967"/>
      <c r="K132" s="592">
        <f t="array" aca="1" ref="K132:V132" ca="1">B21:M21*Produccion!$K$9</f>
        <v>0</v>
      </c>
      <c r="L132" s="592">
        <f ca="1"/>
        <v>0</v>
      </c>
      <c r="M132" s="592">
        <f ca="1"/>
        <v>0</v>
      </c>
      <c r="N132" s="592">
        <f ca="1"/>
        <v>0</v>
      </c>
      <c r="O132" s="592">
        <f ca="1"/>
        <v>0</v>
      </c>
      <c r="P132" s="592">
        <f ca="1"/>
        <v>0</v>
      </c>
      <c r="Q132" s="592">
        <f ca="1"/>
        <v>0</v>
      </c>
      <c r="R132" s="592">
        <f ca="1"/>
        <v>0</v>
      </c>
      <c r="S132" s="592">
        <f ca="1"/>
        <v>0</v>
      </c>
      <c r="T132" s="592">
        <f ca="1"/>
        <v>0</v>
      </c>
      <c r="U132" s="592">
        <f ca="1"/>
        <v>0</v>
      </c>
      <c r="V132" s="592">
        <f ca="1"/>
        <v>0</v>
      </c>
      <c r="W132" s="1967"/>
      <c r="X132" s="1967"/>
      <c r="Y132" s="1983"/>
    </row>
    <row r="133" spans="1:25">
      <c r="A133" s="1971" t="str">
        <v>4 meses antes</v>
      </c>
      <c r="B133" s="1967"/>
      <c r="C133" s="1967"/>
      <c r="D133" s="1967"/>
      <c r="E133" s="1967"/>
      <c r="F133" s="1967"/>
      <c r="G133" s="1967"/>
      <c r="H133" s="1967"/>
      <c r="I133" s="1967"/>
      <c r="J133" s="592">
        <f t="array" aca="1" ref="J133:U133" ca="1">B21:M21*Produccion!$J$9</f>
        <v>0</v>
      </c>
      <c r="K133" s="592">
        <f ca="1"/>
        <v>0</v>
      </c>
      <c r="L133" s="592">
        <f ca="1"/>
        <v>0</v>
      </c>
      <c r="M133" s="592">
        <f ca="1"/>
        <v>0</v>
      </c>
      <c r="N133" s="592">
        <f ca="1"/>
        <v>0</v>
      </c>
      <c r="O133" s="592">
        <f ca="1"/>
        <v>0</v>
      </c>
      <c r="P133" s="592">
        <f ca="1"/>
        <v>0</v>
      </c>
      <c r="Q133" s="592">
        <f ca="1"/>
        <v>0</v>
      </c>
      <c r="R133" s="592">
        <f ca="1"/>
        <v>0</v>
      </c>
      <c r="S133" s="592">
        <f ca="1"/>
        <v>0</v>
      </c>
      <c r="T133" s="592">
        <f ca="1"/>
        <v>0</v>
      </c>
      <c r="U133" s="592">
        <f ca="1"/>
        <v>0</v>
      </c>
      <c r="V133" s="1967"/>
      <c r="W133" s="1967"/>
      <c r="X133" s="1967"/>
      <c r="Y133" s="1983"/>
    </row>
    <row r="134" spans="1:25">
      <c r="A134" s="1971" t="str">
        <v>5 meses antes</v>
      </c>
      <c r="B134" s="1967"/>
      <c r="C134" s="1967"/>
      <c r="D134" s="1967"/>
      <c r="E134" s="1967"/>
      <c r="F134" s="1967"/>
      <c r="G134" s="1967"/>
      <c r="H134" s="1967"/>
      <c r="I134" s="592">
        <f t="array" aca="1" ref="I134:T134" ca="1">B21:M21*Produccion!$I$9</f>
        <v>0</v>
      </c>
      <c r="J134" s="592">
        <f ca="1"/>
        <v>0</v>
      </c>
      <c r="K134" s="592">
        <f ca="1"/>
        <v>0</v>
      </c>
      <c r="L134" s="592">
        <f ca="1"/>
        <v>0</v>
      </c>
      <c r="M134" s="592">
        <f ca="1"/>
        <v>0</v>
      </c>
      <c r="N134" s="592">
        <f ca="1"/>
        <v>0</v>
      </c>
      <c r="O134" s="592">
        <f ca="1"/>
        <v>0</v>
      </c>
      <c r="P134" s="592">
        <f ca="1"/>
        <v>0</v>
      </c>
      <c r="Q134" s="592">
        <f ca="1"/>
        <v>0</v>
      </c>
      <c r="R134" s="592">
        <f ca="1"/>
        <v>0</v>
      </c>
      <c r="S134" s="592">
        <f ca="1"/>
        <v>0</v>
      </c>
      <c r="T134" s="592">
        <f ca="1"/>
        <v>0</v>
      </c>
      <c r="U134" s="1967"/>
      <c r="V134" s="1967"/>
      <c r="W134" s="1967"/>
      <c r="X134" s="1967"/>
      <c r="Y134" s="1983"/>
    </row>
    <row r="135" spans="1:25">
      <c r="A135" s="1971" t="str">
        <v>6 meses antes</v>
      </c>
      <c r="B135" s="1967"/>
      <c r="C135" s="1967"/>
      <c r="D135" s="1967"/>
      <c r="E135" s="1967"/>
      <c r="F135" s="1967"/>
      <c r="G135" s="1967"/>
      <c r="H135" s="592">
        <f t="array" aca="1" ref="H135:S135" ca="1">B21:M21*Produccion!$H$9</f>
        <v>0</v>
      </c>
      <c r="I135" s="592">
        <f ca="1"/>
        <v>0</v>
      </c>
      <c r="J135" s="592">
        <f ca="1"/>
        <v>0</v>
      </c>
      <c r="K135" s="592">
        <f ca="1"/>
        <v>0</v>
      </c>
      <c r="L135" s="592">
        <f ca="1"/>
        <v>0</v>
      </c>
      <c r="M135" s="592">
        <f ca="1"/>
        <v>0</v>
      </c>
      <c r="N135" s="592">
        <f ca="1"/>
        <v>0</v>
      </c>
      <c r="O135" s="592">
        <f ca="1"/>
        <v>0</v>
      </c>
      <c r="P135" s="592">
        <f ca="1"/>
        <v>0</v>
      </c>
      <c r="Q135" s="592">
        <f ca="1"/>
        <v>0</v>
      </c>
      <c r="R135" s="592">
        <f ca="1"/>
        <v>0</v>
      </c>
      <c r="S135" s="592">
        <f ca="1"/>
        <v>0</v>
      </c>
      <c r="T135" s="1967"/>
      <c r="U135" s="1967"/>
      <c r="V135" s="1967"/>
      <c r="W135" s="1967"/>
      <c r="X135" s="1967"/>
      <c r="Y135" s="1983"/>
    </row>
    <row r="136" spans="1:25">
      <c r="A136" s="1971" t="str">
        <v>7 meses antes</v>
      </c>
      <c r="B136" s="1967"/>
      <c r="C136" s="1967"/>
      <c r="D136" s="1967"/>
      <c r="E136" s="1967"/>
      <c r="F136" s="1967"/>
      <c r="G136" s="592">
        <f t="array" aca="1" ref="G136:R136" ca="1">B21:M21*Produccion!$G$9</f>
        <v>0</v>
      </c>
      <c r="H136" s="592">
        <f ca="1"/>
        <v>0</v>
      </c>
      <c r="I136" s="592">
        <f ca="1"/>
        <v>0</v>
      </c>
      <c r="J136" s="592">
        <f ca="1"/>
        <v>0</v>
      </c>
      <c r="K136" s="592">
        <f ca="1"/>
        <v>0</v>
      </c>
      <c r="L136" s="592">
        <f ca="1"/>
        <v>0</v>
      </c>
      <c r="M136" s="592">
        <f ca="1"/>
        <v>0</v>
      </c>
      <c r="N136" s="592">
        <f ca="1"/>
        <v>0</v>
      </c>
      <c r="O136" s="592">
        <f ca="1"/>
        <v>0</v>
      </c>
      <c r="P136" s="592">
        <f ca="1"/>
        <v>0</v>
      </c>
      <c r="Q136" s="592">
        <f ca="1"/>
        <v>0</v>
      </c>
      <c r="R136" s="592">
        <f ca="1"/>
        <v>0</v>
      </c>
      <c r="S136" s="1967"/>
      <c r="T136" s="1967"/>
      <c r="U136" s="1967"/>
      <c r="V136" s="1967"/>
      <c r="W136" s="1967"/>
      <c r="X136" s="1967"/>
      <c r="Y136" s="1983"/>
    </row>
    <row r="137" spans="1:25">
      <c r="A137" s="1971" t="str">
        <v>8 meses antes</v>
      </c>
      <c r="B137" s="1967"/>
      <c r="C137" s="1967"/>
      <c r="D137" s="1967"/>
      <c r="E137" s="1967"/>
      <c r="F137" s="592">
        <f t="array" aca="1" ref="F137:Q137" ca="1">B21:M21*Produccion!$F$9</f>
        <v>0</v>
      </c>
      <c r="G137" s="592">
        <f ca="1"/>
        <v>0</v>
      </c>
      <c r="H137" s="592">
        <f ca="1"/>
        <v>0</v>
      </c>
      <c r="I137" s="592">
        <f ca="1"/>
        <v>0</v>
      </c>
      <c r="J137" s="592">
        <f ca="1"/>
        <v>0</v>
      </c>
      <c r="K137" s="592">
        <f ca="1"/>
        <v>0</v>
      </c>
      <c r="L137" s="592">
        <f ca="1"/>
        <v>0</v>
      </c>
      <c r="M137" s="592">
        <f ca="1"/>
        <v>0</v>
      </c>
      <c r="N137" s="592">
        <f ca="1"/>
        <v>0</v>
      </c>
      <c r="O137" s="592">
        <f ca="1"/>
        <v>0</v>
      </c>
      <c r="P137" s="592">
        <f ca="1"/>
        <v>0</v>
      </c>
      <c r="Q137" s="592">
        <f ca="1"/>
        <v>0</v>
      </c>
      <c r="R137" s="1967"/>
      <c r="S137" s="1967"/>
      <c r="T137" s="1967"/>
      <c r="U137" s="1967"/>
      <c r="V137" s="1967"/>
      <c r="W137" s="1967"/>
      <c r="X137" s="1967"/>
      <c r="Y137" s="1983"/>
    </row>
    <row r="138" spans="1:25">
      <c r="A138" s="1971" t="str">
        <v>9 meses antes</v>
      </c>
      <c r="B138" s="1967"/>
      <c r="C138" s="1967"/>
      <c r="D138" s="1967"/>
      <c r="E138" s="592">
        <f t="array" aca="1" ref="E138:P138" ca="1">B21:M21*Produccion!$E$9</f>
        <v>0</v>
      </c>
      <c r="F138" s="592">
        <f ca="1"/>
        <v>0</v>
      </c>
      <c r="G138" s="592">
        <f ca="1"/>
        <v>0</v>
      </c>
      <c r="H138" s="592">
        <f ca="1"/>
        <v>0</v>
      </c>
      <c r="I138" s="592">
        <f ca="1"/>
        <v>0</v>
      </c>
      <c r="J138" s="592">
        <f ca="1"/>
        <v>0</v>
      </c>
      <c r="K138" s="592">
        <f ca="1"/>
        <v>0</v>
      </c>
      <c r="L138" s="592">
        <f ca="1"/>
        <v>0</v>
      </c>
      <c r="M138" s="592">
        <f ca="1"/>
        <v>0</v>
      </c>
      <c r="N138" s="592">
        <f ca="1"/>
        <v>0</v>
      </c>
      <c r="O138" s="592">
        <f ca="1"/>
        <v>0</v>
      </c>
      <c r="P138" s="592">
        <f ca="1"/>
        <v>0</v>
      </c>
      <c r="Q138" s="1967"/>
      <c r="R138" s="1967"/>
      <c r="S138" s="1967"/>
      <c r="T138" s="1967"/>
      <c r="U138" s="1967"/>
      <c r="V138" s="1967"/>
      <c r="W138" s="1967"/>
      <c r="X138" s="1967"/>
      <c r="Y138" s="1983"/>
    </row>
    <row r="139" spans="1:25">
      <c r="A139" s="1971" t="str">
        <v>10 meses antes</v>
      </c>
      <c r="B139" s="1967"/>
      <c r="C139" s="1967"/>
      <c r="D139" s="592">
        <f t="array" aca="1" ref="D139:O139" ca="1">B21:M21*Produccion!$D$9</f>
        <v>0</v>
      </c>
      <c r="E139" s="592">
        <f ca="1"/>
        <v>0</v>
      </c>
      <c r="F139" s="592">
        <f ca="1"/>
        <v>0</v>
      </c>
      <c r="G139" s="592">
        <f ca="1"/>
        <v>0</v>
      </c>
      <c r="H139" s="592">
        <f ca="1"/>
        <v>0</v>
      </c>
      <c r="I139" s="592">
        <f ca="1"/>
        <v>0</v>
      </c>
      <c r="J139" s="592">
        <f ca="1"/>
        <v>0</v>
      </c>
      <c r="K139" s="592">
        <f ca="1"/>
        <v>0</v>
      </c>
      <c r="L139" s="592">
        <f ca="1"/>
        <v>0</v>
      </c>
      <c r="M139" s="592">
        <f ca="1"/>
        <v>0</v>
      </c>
      <c r="N139" s="592">
        <f ca="1"/>
        <v>0</v>
      </c>
      <c r="O139" s="592">
        <f ca="1"/>
        <v>0</v>
      </c>
      <c r="P139" s="1967"/>
      <c r="Q139" s="1967"/>
      <c r="R139" s="1967"/>
      <c r="S139" s="1967"/>
      <c r="T139" s="1967"/>
      <c r="U139" s="1967"/>
      <c r="V139" s="1967"/>
      <c r="W139" s="1967"/>
      <c r="X139" s="1967"/>
      <c r="Y139" s="1983"/>
    </row>
    <row r="140" spans="1:25">
      <c r="A140" s="1971" t="str">
        <v>11 meses antes</v>
      </c>
      <c r="B140" s="1967"/>
      <c r="C140" s="592">
        <f t="array" aca="1" ref="C140:N140" ca="1">B21:M21*Produccion!$C$9</f>
        <v>0</v>
      </c>
      <c r="D140" s="592">
        <f ca="1"/>
        <v>0</v>
      </c>
      <c r="E140" s="592">
        <f ca="1"/>
        <v>0</v>
      </c>
      <c r="F140" s="592">
        <f ca="1"/>
        <v>0</v>
      </c>
      <c r="G140" s="592">
        <f ca="1"/>
        <v>0</v>
      </c>
      <c r="H140" s="592">
        <f ca="1"/>
        <v>0</v>
      </c>
      <c r="I140" s="592">
        <f ca="1"/>
        <v>0</v>
      </c>
      <c r="J140" s="592">
        <f ca="1"/>
        <v>0</v>
      </c>
      <c r="K140" s="592">
        <f ca="1"/>
        <v>0</v>
      </c>
      <c r="L140" s="592">
        <f ca="1"/>
        <v>0</v>
      </c>
      <c r="M140" s="592">
        <f ca="1"/>
        <v>0</v>
      </c>
      <c r="N140" s="592">
        <f ca="1"/>
        <v>0</v>
      </c>
      <c r="O140" s="1967"/>
      <c r="P140" s="1967"/>
      <c r="Q140" s="1967"/>
      <c r="R140" s="1967"/>
      <c r="S140" s="1967"/>
      <c r="T140" s="1967"/>
      <c r="U140" s="1967"/>
      <c r="V140" s="1967"/>
      <c r="W140" s="1967"/>
      <c r="X140" s="1967"/>
      <c r="Y140" s="1983"/>
    </row>
    <row r="141" spans="1:25" ht="13.5" thickBot="1">
      <c r="A141" s="1971" t="str">
        <v>12 meses antes</v>
      </c>
      <c r="B141" s="592">
        <f t="array" aca="1" ref="B141:M141" ca="1">B21:M21*Produccion!$B$9</f>
        <v>0</v>
      </c>
      <c r="C141" s="592">
        <f ca="1"/>
        <v>0</v>
      </c>
      <c r="D141" s="592">
        <f ca="1"/>
        <v>0</v>
      </c>
      <c r="E141" s="592">
        <f ca="1"/>
        <v>0</v>
      </c>
      <c r="F141" s="592">
        <f ca="1"/>
        <v>0</v>
      </c>
      <c r="G141" s="592">
        <f ca="1"/>
        <v>0</v>
      </c>
      <c r="H141" s="592">
        <f ca="1"/>
        <v>0</v>
      </c>
      <c r="I141" s="592">
        <f ca="1"/>
        <v>0</v>
      </c>
      <c r="J141" s="592">
        <f ca="1"/>
        <v>0</v>
      </c>
      <c r="K141" s="592">
        <f ca="1"/>
        <v>0</v>
      </c>
      <c r="L141" s="592">
        <f ca="1"/>
        <v>0</v>
      </c>
      <c r="M141" s="592">
        <f ca="1"/>
        <v>0</v>
      </c>
      <c r="N141" s="1967"/>
      <c r="O141" s="1967"/>
      <c r="P141" s="1967"/>
      <c r="Q141" s="1967"/>
      <c r="R141" s="1967"/>
      <c r="S141" s="1967"/>
      <c r="T141" s="1967"/>
      <c r="U141" s="1967"/>
      <c r="V141" s="1967"/>
      <c r="W141" s="1967"/>
      <c r="X141" s="1967"/>
      <c r="Y141" s="1983"/>
    </row>
    <row r="142" spans="1:25" ht="13.5" thickBot="1">
      <c r="A142" s="103" t="str">
        <f>"Totales CV "&amp;A$9</f>
        <v xml:space="preserve">Totales CV </v>
      </c>
      <c r="B142" s="596">
        <f t="shared" ref="B142:Y142" ca="1" si="12">SUM(B129:B141)</f>
        <v>0</v>
      </c>
      <c r="C142" s="596">
        <f t="shared" ca="1" si="12"/>
        <v>0</v>
      </c>
      <c r="D142" s="596">
        <f t="shared" ca="1" si="12"/>
        <v>0</v>
      </c>
      <c r="E142" s="596">
        <f t="shared" ca="1" si="12"/>
        <v>0</v>
      </c>
      <c r="F142" s="596">
        <f t="shared" ca="1" si="12"/>
        <v>0</v>
      </c>
      <c r="G142" s="596">
        <f t="shared" ca="1" si="12"/>
        <v>0</v>
      </c>
      <c r="H142" s="596">
        <f t="shared" ca="1" si="12"/>
        <v>0</v>
      </c>
      <c r="I142" s="596">
        <f t="shared" ca="1" si="12"/>
        <v>0</v>
      </c>
      <c r="J142" s="596">
        <f t="shared" ca="1" si="12"/>
        <v>0</v>
      </c>
      <c r="K142" s="596">
        <f t="shared" ca="1" si="12"/>
        <v>0</v>
      </c>
      <c r="L142" s="596">
        <f t="shared" ca="1" si="12"/>
        <v>0</v>
      </c>
      <c r="M142" s="596">
        <f t="shared" ca="1" si="12"/>
        <v>0</v>
      </c>
      <c r="N142" s="596">
        <f t="shared" ca="1" si="12"/>
        <v>0</v>
      </c>
      <c r="O142" s="596">
        <f t="shared" ca="1" si="12"/>
        <v>0</v>
      </c>
      <c r="P142" s="596">
        <f t="shared" ca="1" si="12"/>
        <v>0</v>
      </c>
      <c r="Q142" s="596">
        <f t="shared" ca="1" si="12"/>
        <v>0</v>
      </c>
      <c r="R142" s="596">
        <f t="shared" ca="1" si="12"/>
        <v>0</v>
      </c>
      <c r="S142" s="596">
        <f t="shared" ca="1" si="12"/>
        <v>0</v>
      </c>
      <c r="T142" s="596">
        <f t="shared" ca="1" si="12"/>
        <v>0</v>
      </c>
      <c r="U142" s="596">
        <f t="shared" ca="1" si="12"/>
        <v>0</v>
      </c>
      <c r="V142" s="596">
        <f t="shared" ca="1" si="12"/>
        <v>0</v>
      </c>
      <c r="W142" s="596">
        <f t="shared" ca="1" si="12"/>
        <v>0</v>
      </c>
      <c r="X142" s="596">
        <f t="shared" ca="1" si="12"/>
        <v>0</v>
      </c>
      <c r="Y142" s="1984">
        <f t="shared" ca="1" si="12"/>
        <v>0</v>
      </c>
    </row>
    <row r="143" spans="1:25" ht="13.5" thickBot="1">
      <c r="A143" s="103" t="str">
        <f>'Datos Básicos'!A28&amp;" sop. CV "&amp;$A$9</f>
        <v xml:space="preserve">IVA sop. CV </v>
      </c>
      <c r="B143" s="596">
        <f t="array" aca="1" ref="B143:Y143" ca="1">$K$127*B142:Y142</f>
        <v>0</v>
      </c>
      <c r="C143" s="596">
        <f ca="1"/>
        <v>0</v>
      </c>
      <c r="D143" s="596">
        <f ca="1"/>
        <v>0</v>
      </c>
      <c r="E143" s="596">
        <f ca="1"/>
        <v>0</v>
      </c>
      <c r="F143" s="596">
        <f ca="1"/>
        <v>0</v>
      </c>
      <c r="G143" s="596">
        <f ca="1"/>
        <v>0</v>
      </c>
      <c r="H143" s="596">
        <f ca="1"/>
        <v>0</v>
      </c>
      <c r="I143" s="596">
        <f ca="1"/>
        <v>0</v>
      </c>
      <c r="J143" s="596">
        <f ca="1"/>
        <v>0</v>
      </c>
      <c r="K143" s="596">
        <f ca="1"/>
        <v>0</v>
      </c>
      <c r="L143" s="596">
        <f ca="1"/>
        <v>0</v>
      </c>
      <c r="M143" s="596">
        <f ca="1"/>
        <v>0</v>
      </c>
      <c r="N143" s="596">
        <f ca="1"/>
        <v>0</v>
      </c>
      <c r="O143" s="596">
        <f ca="1"/>
        <v>0</v>
      </c>
      <c r="P143" s="596">
        <f ca="1"/>
        <v>0</v>
      </c>
      <c r="Q143" s="596">
        <f ca="1"/>
        <v>0</v>
      </c>
      <c r="R143" s="596">
        <f ca="1"/>
        <v>0</v>
      </c>
      <c r="S143" s="596">
        <f ca="1"/>
        <v>0</v>
      </c>
      <c r="T143" s="596">
        <f ca="1"/>
        <v>0</v>
      </c>
      <c r="U143" s="596">
        <f ca="1"/>
        <v>0</v>
      </c>
      <c r="V143" s="596">
        <f ca="1"/>
        <v>0</v>
      </c>
      <c r="W143" s="596">
        <f ca="1"/>
        <v>0</v>
      </c>
      <c r="X143" s="596">
        <f ca="1"/>
        <v>0</v>
      </c>
      <c r="Y143" s="1984">
        <f ca="1"/>
        <v>0</v>
      </c>
    </row>
    <row r="145" spans="1:25" ht="18.75" thickBot="1">
      <c r="A145" s="1969" t="str">
        <f>'Distr CV 0'!A145</f>
        <v xml:space="preserve">Compras / costes de producción por meses de </v>
      </c>
      <c r="I145" s="1969" t="str">
        <f>I$18</f>
        <v>IVA NO incluido</v>
      </c>
      <c r="K145" s="1981">
        <f>Parametros!$F$26</f>
        <v>0.21</v>
      </c>
    </row>
    <row r="146" spans="1:25" ht="30" customHeight="1" thickBot="1">
      <c r="A146" s="446" t="str">
        <f>A$110</f>
        <v>mes de compra / coste</v>
      </c>
      <c r="B146" s="1987" t="str">
        <f t="array" ref="B146:Y146">B$71:Y$71</f>
        <v>enero 
2030</v>
      </c>
      <c r="C146" s="1987" t="str">
        <v>febrero 
2030</v>
      </c>
      <c r="D146" s="1987" t="str">
        <v>marzo 
2030</v>
      </c>
      <c r="E146" s="1987" t="str">
        <v>abril 
2030</v>
      </c>
      <c r="F146" s="1987" t="str">
        <v>mayo 
2030</v>
      </c>
      <c r="G146" s="1987" t="str">
        <v>junio 
2030</v>
      </c>
      <c r="H146" s="1987" t="str">
        <v>julio 
2030</v>
      </c>
      <c r="I146" s="1987" t="str">
        <v>agosto 
2030</v>
      </c>
      <c r="J146" s="1987" t="str">
        <v>septiembre 
2030</v>
      </c>
      <c r="K146" s="1987" t="str">
        <v>octubre 
2030</v>
      </c>
      <c r="L146" s="1987" t="str">
        <v>noviembre 
2030</v>
      </c>
      <c r="M146" s="1987" t="str">
        <v>diciembre 
2030</v>
      </c>
      <c r="N146" s="2706" t="str">
        <v>enero 
2031</v>
      </c>
      <c r="O146" s="2707" t="str">
        <v>febrero 
2031</v>
      </c>
      <c r="P146" s="2707" t="str">
        <v>marzo 
2031</v>
      </c>
      <c r="Q146" s="2707" t="str">
        <v>abril 
2031</v>
      </c>
      <c r="R146" s="2707" t="str">
        <v>mayo 
2031</v>
      </c>
      <c r="S146" s="2707" t="str">
        <v>junio 
2031</v>
      </c>
      <c r="T146" s="2707" t="str">
        <v>julio 
2031</v>
      </c>
      <c r="U146" s="2707" t="str">
        <v>agosto 
2031</v>
      </c>
      <c r="V146" s="2707" t="str">
        <v>septiembre 
2031</v>
      </c>
      <c r="W146" s="2707" t="str">
        <v>octubre 
2031</v>
      </c>
      <c r="X146" s="2707" t="str">
        <v>noviembre 
2031</v>
      </c>
      <c r="Y146" s="2708" t="str">
        <v>diciembre 
2031</v>
      </c>
    </row>
    <row r="147" spans="1:25">
      <c r="A147" s="1970" t="str">
        <f t="array" ref="A147:A159">A$72:A$84</f>
        <v>mismo mes</v>
      </c>
      <c r="B147" s="1967"/>
      <c r="C147" s="1967"/>
      <c r="D147" s="1967"/>
      <c r="E147" s="1967"/>
      <c r="F147" s="1967"/>
      <c r="G147" s="1967"/>
      <c r="H147" s="1967"/>
      <c r="I147" s="1967"/>
      <c r="J147" s="1967"/>
      <c r="K147" s="1967"/>
      <c r="L147" s="1967"/>
      <c r="M147" s="1967"/>
      <c r="N147" s="592">
        <f t="array" aca="1" ref="N147:Y147" ca="1">B22:M22*Produccion!$N$10</f>
        <v>0</v>
      </c>
      <c r="O147" s="592">
        <f ca="1"/>
        <v>0</v>
      </c>
      <c r="P147" s="592">
        <f ca="1"/>
        <v>0</v>
      </c>
      <c r="Q147" s="592">
        <f ca="1"/>
        <v>0</v>
      </c>
      <c r="R147" s="592">
        <f ca="1"/>
        <v>0</v>
      </c>
      <c r="S147" s="592">
        <f ca="1"/>
        <v>0</v>
      </c>
      <c r="T147" s="592">
        <f ca="1"/>
        <v>0</v>
      </c>
      <c r="U147" s="592">
        <f ca="1"/>
        <v>0</v>
      </c>
      <c r="V147" s="592">
        <f ca="1"/>
        <v>0</v>
      </c>
      <c r="W147" s="592">
        <f ca="1"/>
        <v>0</v>
      </c>
      <c r="X147" s="592">
        <f ca="1"/>
        <v>0</v>
      </c>
      <c r="Y147" s="1982">
        <f ca="1"/>
        <v>0</v>
      </c>
    </row>
    <row r="148" spans="1:25">
      <c r="A148" s="1971" t="str">
        <v>1 mes antes</v>
      </c>
      <c r="B148" s="1967"/>
      <c r="C148" s="1967"/>
      <c r="D148" s="1967"/>
      <c r="E148" s="1967"/>
      <c r="F148" s="1967"/>
      <c r="G148" s="1967"/>
      <c r="H148" s="1967"/>
      <c r="I148" s="1967"/>
      <c r="J148" s="1967"/>
      <c r="K148" s="1967"/>
      <c r="L148" s="1967"/>
      <c r="M148" s="592">
        <f t="array" aca="1" ref="M148:X148" ca="1">B22:M22*Produccion!$M$10</f>
        <v>0</v>
      </c>
      <c r="N148" s="592">
        <f ca="1"/>
        <v>0</v>
      </c>
      <c r="O148" s="592">
        <f ca="1"/>
        <v>0</v>
      </c>
      <c r="P148" s="592">
        <f ca="1"/>
        <v>0</v>
      </c>
      <c r="Q148" s="592">
        <f ca="1"/>
        <v>0</v>
      </c>
      <c r="R148" s="592">
        <f ca="1"/>
        <v>0</v>
      </c>
      <c r="S148" s="592">
        <f ca="1"/>
        <v>0</v>
      </c>
      <c r="T148" s="592">
        <f ca="1"/>
        <v>0</v>
      </c>
      <c r="U148" s="592">
        <f ca="1"/>
        <v>0</v>
      </c>
      <c r="V148" s="592">
        <f ca="1"/>
        <v>0</v>
      </c>
      <c r="W148" s="592">
        <f ca="1"/>
        <v>0</v>
      </c>
      <c r="X148" s="592">
        <f ca="1"/>
        <v>0</v>
      </c>
      <c r="Y148" s="1983"/>
    </row>
    <row r="149" spans="1:25">
      <c r="A149" s="1971" t="str">
        <v>2 meses antes</v>
      </c>
      <c r="B149" s="1967"/>
      <c r="C149" s="1967"/>
      <c r="D149" s="1967"/>
      <c r="E149" s="1967"/>
      <c r="F149" s="1967"/>
      <c r="G149" s="1967"/>
      <c r="H149" s="1967"/>
      <c r="I149" s="1967"/>
      <c r="J149" s="1967"/>
      <c r="K149" s="1967"/>
      <c r="L149" s="592">
        <f t="array" aca="1" ref="L149:W149" ca="1">B22:M22*Produccion!$L$10</f>
        <v>0</v>
      </c>
      <c r="M149" s="592">
        <f ca="1"/>
        <v>0</v>
      </c>
      <c r="N149" s="592">
        <f ca="1"/>
        <v>0</v>
      </c>
      <c r="O149" s="592">
        <f ca="1"/>
        <v>0</v>
      </c>
      <c r="P149" s="592">
        <f ca="1"/>
        <v>0</v>
      </c>
      <c r="Q149" s="592">
        <f ca="1"/>
        <v>0</v>
      </c>
      <c r="R149" s="592">
        <f ca="1"/>
        <v>0</v>
      </c>
      <c r="S149" s="592">
        <f ca="1"/>
        <v>0</v>
      </c>
      <c r="T149" s="592">
        <f ca="1"/>
        <v>0</v>
      </c>
      <c r="U149" s="592">
        <f ca="1"/>
        <v>0</v>
      </c>
      <c r="V149" s="592">
        <f ca="1"/>
        <v>0</v>
      </c>
      <c r="W149" s="592">
        <f ca="1"/>
        <v>0</v>
      </c>
      <c r="X149" s="1967"/>
      <c r="Y149" s="1983"/>
    </row>
    <row r="150" spans="1:25">
      <c r="A150" s="1971" t="str">
        <v>3 meses antes</v>
      </c>
      <c r="B150" s="1967"/>
      <c r="C150" s="1967"/>
      <c r="D150" s="1967"/>
      <c r="E150" s="1967"/>
      <c r="F150" s="1967"/>
      <c r="G150" s="1967"/>
      <c r="H150" s="1967"/>
      <c r="I150" s="1967"/>
      <c r="J150" s="1967"/>
      <c r="K150" s="592">
        <f t="array" aca="1" ref="K150:V150" ca="1">B22:M22*Produccion!$K$10</f>
        <v>0</v>
      </c>
      <c r="L150" s="592">
        <f ca="1"/>
        <v>0</v>
      </c>
      <c r="M150" s="592">
        <f ca="1"/>
        <v>0</v>
      </c>
      <c r="N150" s="592">
        <f ca="1"/>
        <v>0</v>
      </c>
      <c r="O150" s="592">
        <f ca="1"/>
        <v>0</v>
      </c>
      <c r="P150" s="592">
        <f ca="1"/>
        <v>0</v>
      </c>
      <c r="Q150" s="592">
        <f ca="1"/>
        <v>0</v>
      </c>
      <c r="R150" s="592">
        <f ca="1"/>
        <v>0</v>
      </c>
      <c r="S150" s="592">
        <f ca="1"/>
        <v>0</v>
      </c>
      <c r="T150" s="592">
        <f ca="1"/>
        <v>0</v>
      </c>
      <c r="U150" s="592">
        <f ca="1"/>
        <v>0</v>
      </c>
      <c r="V150" s="592">
        <f ca="1"/>
        <v>0</v>
      </c>
      <c r="W150" s="1967"/>
      <c r="X150" s="1967"/>
      <c r="Y150" s="1983"/>
    </row>
    <row r="151" spans="1:25">
      <c r="A151" s="1971" t="str">
        <v>4 meses antes</v>
      </c>
      <c r="B151" s="1967"/>
      <c r="C151" s="1967"/>
      <c r="D151" s="1967"/>
      <c r="E151" s="1967"/>
      <c r="F151" s="1967"/>
      <c r="G151" s="1967"/>
      <c r="H151" s="1967"/>
      <c r="I151" s="1967"/>
      <c r="J151" s="592">
        <f t="array" aca="1" ref="J151:U151" ca="1">B22:M22*Produccion!$J$10</f>
        <v>0</v>
      </c>
      <c r="K151" s="592">
        <f ca="1"/>
        <v>0</v>
      </c>
      <c r="L151" s="592">
        <f ca="1"/>
        <v>0</v>
      </c>
      <c r="M151" s="592">
        <f ca="1"/>
        <v>0</v>
      </c>
      <c r="N151" s="592">
        <f ca="1"/>
        <v>0</v>
      </c>
      <c r="O151" s="592">
        <f ca="1"/>
        <v>0</v>
      </c>
      <c r="P151" s="592">
        <f ca="1"/>
        <v>0</v>
      </c>
      <c r="Q151" s="592">
        <f ca="1"/>
        <v>0</v>
      </c>
      <c r="R151" s="592">
        <f ca="1"/>
        <v>0</v>
      </c>
      <c r="S151" s="592">
        <f ca="1"/>
        <v>0</v>
      </c>
      <c r="T151" s="592">
        <f ca="1"/>
        <v>0</v>
      </c>
      <c r="U151" s="592">
        <f ca="1"/>
        <v>0</v>
      </c>
      <c r="V151" s="1967"/>
      <c r="W151" s="1967"/>
      <c r="X151" s="1967"/>
      <c r="Y151" s="1983"/>
    </row>
    <row r="152" spans="1:25">
      <c r="A152" s="1971" t="str">
        <v>5 meses antes</v>
      </c>
      <c r="B152" s="1967"/>
      <c r="C152" s="1967"/>
      <c r="D152" s="1967"/>
      <c r="E152" s="1967"/>
      <c r="F152" s="1967"/>
      <c r="G152" s="1967"/>
      <c r="H152" s="1967"/>
      <c r="I152" s="592">
        <f t="array" aca="1" ref="I152:T152" ca="1">B22:M22*Produccion!$I$10</f>
        <v>0</v>
      </c>
      <c r="J152" s="592">
        <f ca="1"/>
        <v>0</v>
      </c>
      <c r="K152" s="592">
        <f ca="1"/>
        <v>0</v>
      </c>
      <c r="L152" s="592">
        <f ca="1"/>
        <v>0</v>
      </c>
      <c r="M152" s="592">
        <f ca="1"/>
        <v>0</v>
      </c>
      <c r="N152" s="592">
        <f ca="1"/>
        <v>0</v>
      </c>
      <c r="O152" s="592">
        <f ca="1"/>
        <v>0</v>
      </c>
      <c r="P152" s="592">
        <f ca="1"/>
        <v>0</v>
      </c>
      <c r="Q152" s="592">
        <f ca="1"/>
        <v>0</v>
      </c>
      <c r="R152" s="592">
        <f ca="1"/>
        <v>0</v>
      </c>
      <c r="S152" s="592">
        <f ca="1"/>
        <v>0</v>
      </c>
      <c r="T152" s="592">
        <f ca="1"/>
        <v>0</v>
      </c>
      <c r="U152" s="1967"/>
      <c r="V152" s="1967"/>
      <c r="W152" s="1967"/>
      <c r="X152" s="1967"/>
      <c r="Y152" s="1983"/>
    </row>
    <row r="153" spans="1:25">
      <c r="A153" s="1971" t="str">
        <v>6 meses antes</v>
      </c>
      <c r="B153" s="1967"/>
      <c r="C153" s="1967"/>
      <c r="D153" s="1967"/>
      <c r="E153" s="1967"/>
      <c r="F153" s="1967"/>
      <c r="G153" s="1967"/>
      <c r="H153" s="592">
        <f t="array" aca="1" ref="H153:S153" ca="1">B22:M22*Produccion!$H$10</f>
        <v>0</v>
      </c>
      <c r="I153" s="592">
        <f ca="1"/>
        <v>0</v>
      </c>
      <c r="J153" s="592">
        <f ca="1"/>
        <v>0</v>
      </c>
      <c r="K153" s="592">
        <f ca="1"/>
        <v>0</v>
      </c>
      <c r="L153" s="592">
        <f ca="1"/>
        <v>0</v>
      </c>
      <c r="M153" s="592">
        <f ca="1"/>
        <v>0</v>
      </c>
      <c r="N153" s="592">
        <f ca="1"/>
        <v>0</v>
      </c>
      <c r="O153" s="592">
        <f ca="1"/>
        <v>0</v>
      </c>
      <c r="P153" s="592">
        <f ca="1"/>
        <v>0</v>
      </c>
      <c r="Q153" s="592">
        <f ca="1"/>
        <v>0</v>
      </c>
      <c r="R153" s="592">
        <f ca="1"/>
        <v>0</v>
      </c>
      <c r="S153" s="592">
        <f ca="1"/>
        <v>0</v>
      </c>
      <c r="T153" s="1967"/>
      <c r="U153" s="1967"/>
      <c r="V153" s="1967"/>
      <c r="W153" s="1967"/>
      <c r="X153" s="1967"/>
      <c r="Y153" s="1983"/>
    </row>
    <row r="154" spans="1:25">
      <c r="A154" s="1971" t="str">
        <v>7 meses antes</v>
      </c>
      <c r="B154" s="1967"/>
      <c r="C154" s="1967"/>
      <c r="D154" s="1967"/>
      <c r="E154" s="1967"/>
      <c r="F154" s="1967"/>
      <c r="G154" s="592">
        <f t="array" aca="1" ref="G154:R154" ca="1">B22:M22*Produccion!$G$10</f>
        <v>0</v>
      </c>
      <c r="H154" s="592">
        <f ca="1"/>
        <v>0</v>
      </c>
      <c r="I154" s="592">
        <f ca="1"/>
        <v>0</v>
      </c>
      <c r="J154" s="592">
        <f ca="1"/>
        <v>0</v>
      </c>
      <c r="K154" s="592">
        <f ca="1"/>
        <v>0</v>
      </c>
      <c r="L154" s="592">
        <f ca="1"/>
        <v>0</v>
      </c>
      <c r="M154" s="592">
        <f ca="1"/>
        <v>0</v>
      </c>
      <c r="N154" s="592">
        <f ca="1"/>
        <v>0</v>
      </c>
      <c r="O154" s="592">
        <f ca="1"/>
        <v>0</v>
      </c>
      <c r="P154" s="592">
        <f ca="1"/>
        <v>0</v>
      </c>
      <c r="Q154" s="592">
        <f ca="1"/>
        <v>0</v>
      </c>
      <c r="R154" s="592">
        <f ca="1"/>
        <v>0</v>
      </c>
      <c r="S154" s="1967"/>
      <c r="T154" s="1967"/>
      <c r="U154" s="1967"/>
      <c r="V154" s="1967"/>
      <c r="W154" s="1967"/>
      <c r="X154" s="1967"/>
      <c r="Y154" s="1983"/>
    </row>
    <row r="155" spans="1:25">
      <c r="A155" s="1971" t="str">
        <v>8 meses antes</v>
      </c>
      <c r="B155" s="1967"/>
      <c r="C155" s="1967"/>
      <c r="D155" s="1967"/>
      <c r="E155" s="1967"/>
      <c r="F155" s="592">
        <f t="array" aca="1" ref="F155:Q155" ca="1">B22:M22*Produccion!$F$10</f>
        <v>0</v>
      </c>
      <c r="G155" s="592">
        <f ca="1"/>
        <v>0</v>
      </c>
      <c r="H155" s="592">
        <f ca="1"/>
        <v>0</v>
      </c>
      <c r="I155" s="592">
        <f ca="1"/>
        <v>0</v>
      </c>
      <c r="J155" s="592">
        <f ca="1"/>
        <v>0</v>
      </c>
      <c r="K155" s="592">
        <f ca="1"/>
        <v>0</v>
      </c>
      <c r="L155" s="592">
        <f ca="1"/>
        <v>0</v>
      </c>
      <c r="M155" s="592">
        <f ca="1"/>
        <v>0</v>
      </c>
      <c r="N155" s="592">
        <f ca="1"/>
        <v>0</v>
      </c>
      <c r="O155" s="592">
        <f ca="1"/>
        <v>0</v>
      </c>
      <c r="P155" s="592">
        <f ca="1"/>
        <v>0</v>
      </c>
      <c r="Q155" s="592">
        <f ca="1"/>
        <v>0</v>
      </c>
      <c r="R155" s="1967"/>
      <c r="S155" s="1967"/>
      <c r="T155" s="1967"/>
      <c r="U155" s="1967"/>
      <c r="V155" s="1967"/>
      <c r="W155" s="1967"/>
      <c r="X155" s="1967"/>
      <c r="Y155" s="1983"/>
    </row>
    <row r="156" spans="1:25">
      <c r="A156" s="1971" t="str">
        <v>9 meses antes</v>
      </c>
      <c r="B156" s="1967"/>
      <c r="C156" s="1967"/>
      <c r="D156" s="1967"/>
      <c r="E156" s="592">
        <f t="array" aca="1" ref="E156:P156" ca="1">B22:M22*Produccion!$E$10</f>
        <v>0</v>
      </c>
      <c r="F156" s="592">
        <f ca="1"/>
        <v>0</v>
      </c>
      <c r="G156" s="592">
        <f ca="1"/>
        <v>0</v>
      </c>
      <c r="H156" s="592">
        <f ca="1"/>
        <v>0</v>
      </c>
      <c r="I156" s="592">
        <f ca="1"/>
        <v>0</v>
      </c>
      <c r="J156" s="592">
        <f ca="1"/>
        <v>0</v>
      </c>
      <c r="K156" s="592">
        <f ca="1"/>
        <v>0</v>
      </c>
      <c r="L156" s="592">
        <f ca="1"/>
        <v>0</v>
      </c>
      <c r="M156" s="592">
        <f ca="1"/>
        <v>0</v>
      </c>
      <c r="N156" s="592">
        <f ca="1"/>
        <v>0</v>
      </c>
      <c r="O156" s="592">
        <f ca="1"/>
        <v>0</v>
      </c>
      <c r="P156" s="592">
        <f ca="1"/>
        <v>0</v>
      </c>
      <c r="Q156" s="1967"/>
      <c r="R156" s="1967"/>
      <c r="S156" s="1967"/>
      <c r="T156" s="1967"/>
      <c r="U156" s="1967"/>
      <c r="V156" s="1967"/>
      <c r="W156" s="1967"/>
      <c r="X156" s="1967"/>
      <c r="Y156" s="1983"/>
    </row>
    <row r="157" spans="1:25">
      <c r="A157" s="1971" t="str">
        <v>10 meses antes</v>
      </c>
      <c r="B157" s="1967"/>
      <c r="C157" s="1967"/>
      <c r="D157" s="592">
        <f t="array" aca="1" ref="D157:O157" ca="1">B22:M22*Produccion!$D$10</f>
        <v>0</v>
      </c>
      <c r="E157" s="592">
        <f ca="1"/>
        <v>0</v>
      </c>
      <c r="F157" s="592">
        <f ca="1"/>
        <v>0</v>
      </c>
      <c r="G157" s="592">
        <f ca="1"/>
        <v>0</v>
      </c>
      <c r="H157" s="592">
        <f ca="1"/>
        <v>0</v>
      </c>
      <c r="I157" s="592">
        <f ca="1"/>
        <v>0</v>
      </c>
      <c r="J157" s="592">
        <f ca="1"/>
        <v>0</v>
      </c>
      <c r="K157" s="592">
        <f ca="1"/>
        <v>0</v>
      </c>
      <c r="L157" s="592">
        <f ca="1"/>
        <v>0</v>
      </c>
      <c r="M157" s="592">
        <f ca="1"/>
        <v>0</v>
      </c>
      <c r="N157" s="592">
        <f ca="1"/>
        <v>0</v>
      </c>
      <c r="O157" s="592">
        <f ca="1"/>
        <v>0</v>
      </c>
      <c r="P157" s="1967"/>
      <c r="Q157" s="1967"/>
      <c r="R157" s="1967"/>
      <c r="S157" s="1967"/>
      <c r="T157" s="1967"/>
      <c r="U157" s="1967"/>
      <c r="V157" s="1967"/>
      <c r="W157" s="1967"/>
      <c r="X157" s="1967"/>
      <c r="Y157" s="1983"/>
    </row>
    <row r="158" spans="1:25">
      <c r="A158" s="1971" t="str">
        <v>11 meses antes</v>
      </c>
      <c r="B158" s="1967"/>
      <c r="C158" s="592">
        <f t="array" aca="1" ref="C158:N158" ca="1">B22:M22*Produccion!$C$10</f>
        <v>0</v>
      </c>
      <c r="D158" s="592">
        <f ca="1"/>
        <v>0</v>
      </c>
      <c r="E158" s="592">
        <f ca="1"/>
        <v>0</v>
      </c>
      <c r="F158" s="592">
        <f ca="1"/>
        <v>0</v>
      </c>
      <c r="G158" s="592">
        <f ca="1"/>
        <v>0</v>
      </c>
      <c r="H158" s="592">
        <f ca="1"/>
        <v>0</v>
      </c>
      <c r="I158" s="592">
        <f ca="1"/>
        <v>0</v>
      </c>
      <c r="J158" s="592">
        <f ca="1"/>
        <v>0</v>
      </c>
      <c r="K158" s="592">
        <f ca="1"/>
        <v>0</v>
      </c>
      <c r="L158" s="592">
        <f ca="1"/>
        <v>0</v>
      </c>
      <c r="M158" s="592">
        <f ca="1"/>
        <v>0</v>
      </c>
      <c r="N158" s="592">
        <f ca="1"/>
        <v>0</v>
      </c>
      <c r="O158" s="1967"/>
      <c r="P158" s="1967"/>
      <c r="Q158" s="1967"/>
      <c r="R158" s="1967"/>
      <c r="S158" s="1967"/>
      <c r="T158" s="1967"/>
      <c r="U158" s="1967"/>
      <c r="V158" s="1967"/>
      <c r="W158" s="1967"/>
      <c r="X158" s="1967"/>
      <c r="Y158" s="1983"/>
    </row>
    <row r="159" spans="1:25" ht="13.5" thickBot="1">
      <c r="A159" s="1971" t="str">
        <v>12 meses antes</v>
      </c>
      <c r="B159" s="592">
        <f t="array" aca="1" ref="B159:M159" ca="1">B22:M22*Produccion!$B$10</f>
        <v>0</v>
      </c>
      <c r="C159" s="592">
        <f ca="1"/>
        <v>0</v>
      </c>
      <c r="D159" s="592">
        <f ca="1"/>
        <v>0</v>
      </c>
      <c r="E159" s="592">
        <f ca="1"/>
        <v>0</v>
      </c>
      <c r="F159" s="592">
        <f ca="1"/>
        <v>0</v>
      </c>
      <c r="G159" s="592">
        <f ca="1"/>
        <v>0</v>
      </c>
      <c r="H159" s="592">
        <f ca="1"/>
        <v>0</v>
      </c>
      <c r="I159" s="592">
        <f ca="1"/>
        <v>0</v>
      </c>
      <c r="J159" s="592">
        <f ca="1"/>
        <v>0</v>
      </c>
      <c r="K159" s="592">
        <f ca="1"/>
        <v>0</v>
      </c>
      <c r="L159" s="592">
        <f ca="1"/>
        <v>0</v>
      </c>
      <c r="M159" s="592">
        <f ca="1"/>
        <v>0</v>
      </c>
      <c r="N159" s="1967"/>
      <c r="O159" s="1967"/>
      <c r="P159" s="1967"/>
      <c r="Q159" s="1967"/>
      <c r="R159" s="1967"/>
      <c r="S159" s="1967"/>
      <c r="T159" s="1967"/>
      <c r="U159" s="1967"/>
      <c r="V159" s="1967"/>
      <c r="W159" s="1967"/>
      <c r="X159" s="1967"/>
      <c r="Y159" s="1983"/>
    </row>
    <row r="160" spans="1:25" ht="13.5" thickBot="1">
      <c r="A160" s="103" t="str">
        <f>"Totales CV "&amp;A$10</f>
        <v xml:space="preserve">Totales CV </v>
      </c>
      <c r="B160" s="596">
        <f t="shared" ref="B160:Y160" ca="1" si="13">SUM(B147:B159)</f>
        <v>0</v>
      </c>
      <c r="C160" s="596">
        <f t="shared" ca="1" si="13"/>
        <v>0</v>
      </c>
      <c r="D160" s="596">
        <f t="shared" ca="1" si="13"/>
        <v>0</v>
      </c>
      <c r="E160" s="596">
        <f t="shared" ca="1" si="13"/>
        <v>0</v>
      </c>
      <c r="F160" s="596">
        <f t="shared" ca="1" si="13"/>
        <v>0</v>
      </c>
      <c r="G160" s="596">
        <f t="shared" ca="1" si="13"/>
        <v>0</v>
      </c>
      <c r="H160" s="596">
        <f t="shared" ca="1" si="13"/>
        <v>0</v>
      </c>
      <c r="I160" s="596">
        <f t="shared" ca="1" si="13"/>
        <v>0</v>
      </c>
      <c r="J160" s="596">
        <f t="shared" ca="1" si="13"/>
        <v>0</v>
      </c>
      <c r="K160" s="596">
        <f t="shared" ca="1" si="13"/>
        <v>0</v>
      </c>
      <c r="L160" s="596">
        <f t="shared" ca="1" si="13"/>
        <v>0</v>
      </c>
      <c r="M160" s="596">
        <f t="shared" ca="1" si="13"/>
        <v>0</v>
      </c>
      <c r="N160" s="596">
        <f t="shared" ca="1" si="13"/>
        <v>0</v>
      </c>
      <c r="O160" s="596">
        <f t="shared" ca="1" si="13"/>
        <v>0</v>
      </c>
      <c r="P160" s="596">
        <f t="shared" ca="1" si="13"/>
        <v>0</v>
      </c>
      <c r="Q160" s="596">
        <f t="shared" ca="1" si="13"/>
        <v>0</v>
      </c>
      <c r="R160" s="596">
        <f t="shared" ca="1" si="13"/>
        <v>0</v>
      </c>
      <c r="S160" s="596">
        <f t="shared" ca="1" si="13"/>
        <v>0</v>
      </c>
      <c r="T160" s="596">
        <f t="shared" ca="1" si="13"/>
        <v>0</v>
      </c>
      <c r="U160" s="596">
        <f t="shared" ca="1" si="13"/>
        <v>0</v>
      </c>
      <c r="V160" s="596">
        <f t="shared" ca="1" si="13"/>
        <v>0</v>
      </c>
      <c r="W160" s="596">
        <f t="shared" ca="1" si="13"/>
        <v>0</v>
      </c>
      <c r="X160" s="596">
        <f t="shared" ca="1" si="13"/>
        <v>0</v>
      </c>
      <c r="Y160" s="1984">
        <f t="shared" ca="1" si="13"/>
        <v>0</v>
      </c>
    </row>
    <row r="161" spans="1:25" ht="13.5" thickBot="1">
      <c r="A161" s="103" t="str">
        <f>'Datos Básicos'!A28&amp;" sop. CV "&amp;$A$10</f>
        <v xml:space="preserve">IVA sop. CV </v>
      </c>
      <c r="B161" s="596">
        <f t="array" aca="1" ref="B161:Y161" ca="1">$K$145*B160:Y160</f>
        <v>0</v>
      </c>
      <c r="C161" s="596">
        <f ca="1"/>
        <v>0</v>
      </c>
      <c r="D161" s="596">
        <f ca="1"/>
        <v>0</v>
      </c>
      <c r="E161" s="596">
        <f ca="1"/>
        <v>0</v>
      </c>
      <c r="F161" s="596">
        <f ca="1"/>
        <v>0</v>
      </c>
      <c r="G161" s="596">
        <f ca="1"/>
        <v>0</v>
      </c>
      <c r="H161" s="596">
        <f ca="1"/>
        <v>0</v>
      </c>
      <c r="I161" s="596">
        <f ca="1"/>
        <v>0</v>
      </c>
      <c r="J161" s="596">
        <f ca="1"/>
        <v>0</v>
      </c>
      <c r="K161" s="596">
        <f ca="1"/>
        <v>0</v>
      </c>
      <c r="L161" s="596">
        <f ca="1"/>
        <v>0</v>
      </c>
      <c r="M161" s="596">
        <f ca="1"/>
        <v>0</v>
      </c>
      <c r="N161" s="596">
        <f ca="1"/>
        <v>0</v>
      </c>
      <c r="O161" s="596">
        <f ca="1"/>
        <v>0</v>
      </c>
      <c r="P161" s="596">
        <f ca="1"/>
        <v>0</v>
      </c>
      <c r="Q161" s="596">
        <f ca="1"/>
        <v>0</v>
      </c>
      <c r="R161" s="596">
        <f ca="1"/>
        <v>0</v>
      </c>
      <c r="S161" s="596">
        <f ca="1"/>
        <v>0</v>
      </c>
      <c r="T161" s="596">
        <f ca="1"/>
        <v>0</v>
      </c>
      <c r="U161" s="596">
        <f ca="1"/>
        <v>0</v>
      </c>
      <c r="V161" s="596">
        <f ca="1"/>
        <v>0</v>
      </c>
      <c r="W161" s="596">
        <f ca="1"/>
        <v>0</v>
      </c>
      <c r="X161" s="596">
        <f ca="1"/>
        <v>0</v>
      </c>
      <c r="Y161" s="1984">
        <f ca="1"/>
        <v>0</v>
      </c>
    </row>
    <row r="163" spans="1:25" ht="18.75" thickBot="1">
      <c r="A163" s="1969" t="str">
        <f>'Distr CV 0'!A163</f>
        <v xml:space="preserve">Compras / costes de producción por meses de </v>
      </c>
      <c r="I163" s="1969" t="str">
        <f>I$18</f>
        <v>IVA NO incluido</v>
      </c>
      <c r="K163" s="1981">
        <f>Parametros!$F$27</f>
        <v>0.21</v>
      </c>
    </row>
    <row r="164" spans="1:25" ht="30" customHeight="1" thickBot="1">
      <c r="A164" s="446" t="str">
        <f>A$110</f>
        <v>mes de compra / coste</v>
      </c>
      <c r="B164" s="1987" t="str">
        <f t="array" ref="B164:Y164">B$71:Y$71</f>
        <v>enero 
2030</v>
      </c>
      <c r="C164" s="1987" t="str">
        <v>febrero 
2030</v>
      </c>
      <c r="D164" s="1987" t="str">
        <v>marzo 
2030</v>
      </c>
      <c r="E164" s="1987" t="str">
        <v>abril 
2030</v>
      </c>
      <c r="F164" s="1987" t="str">
        <v>mayo 
2030</v>
      </c>
      <c r="G164" s="1987" t="str">
        <v>junio 
2030</v>
      </c>
      <c r="H164" s="1987" t="str">
        <v>julio 
2030</v>
      </c>
      <c r="I164" s="1987" t="str">
        <v>agosto 
2030</v>
      </c>
      <c r="J164" s="1987" t="str">
        <v>septiembre 
2030</v>
      </c>
      <c r="K164" s="1987" t="str">
        <v>octubre 
2030</v>
      </c>
      <c r="L164" s="1987" t="str">
        <v>noviembre 
2030</v>
      </c>
      <c r="M164" s="1987" t="str">
        <v>diciembre 
2030</v>
      </c>
      <c r="N164" s="2706" t="str">
        <v>enero 
2031</v>
      </c>
      <c r="O164" s="2707" t="str">
        <v>febrero 
2031</v>
      </c>
      <c r="P164" s="2707" t="str">
        <v>marzo 
2031</v>
      </c>
      <c r="Q164" s="2707" t="str">
        <v>abril 
2031</v>
      </c>
      <c r="R164" s="2707" t="str">
        <v>mayo 
2031</v>
      </c>
      <c r="S164" s="2707" t="str">
        <v>junio 
2031</v>
      </c>
      <c r="T164" s="2707" t="str">
        <v>julio 
2031</v>
      </c>
      <c r="U164" s="2707" t="str">
        <v>agosto 
2031</v>
      </c>
      <c r="V164" s="2707" t="str">
        <v>septiembre 
2031</v>
      </c>
      <c r="W164" s="2707" t="str">
        <v>octubre 
2031</v>
      </c>
      <c r="X164" s="2707" t="str">
        <v>noviembre 
2031</v>
      </c>
      <c r="Y164" s="2708" t="str">
        <v>diciembre 
2031</v>
      </c>
    </row>
    <row r="165" spans="1:25">
      <c r="A165" s="1970" t="str">
        <f t="array" ref="A165:A177">A$72:A$84</f>
        <v>mismo mes</v>
      </c>
      <c r="B165" s="1967"/>
      <c r="C165" s="1967"/>
      <c r="D165" s="1967"/>
      <c r="E165" s="1967"/>
      <c r="F165" s="1967"/>
      <c r="G165" s="1967"/>
      <c r="H165" s="1967"/>
      <c r="I165" s="1967"/>
      <c r="J165" s="1967"/>
      <c r="K165" s="1967"/>
      <c r="L165" s="1967"/>
      <c r="M165" s="1967"/>
      <c r="N165" s="592">
        <f t="array" aca="1" ref="N165:Y165" ca="1">B23:M23*Produccion!$N$11</f>
        <v>0</v>
      </c>
      <c r="O165" s="592">
        <f ca="1"/>
        <v>0</v>
      </c>
      <c r="P165" s="592">
        <f ca="1"/>
        <v>0</v>
      </c>
      <c r="Q165" s="592">
        <f ca="1"/>
        <v>0</v>
      </c>
      <c r="R165" s="592">
        <f ca="1"/>
        <v>0</v>
      </c>
      <c r="S165" s="592">
        <f ca="1"/>
        <v>0</v>
      </c>
      <c r="T165" s="592">
        <f ca="1"/>
        <v>0</v>
      </c>
      <c r="U165" s="592">
        <f ca="1"/>
        <v>0</v>
      </c>
      <c r="V165" s="592">
        <f ca="1"/>
        <v>0</v>
      </c>
      <c r="W165" s="592">
        <f ca="1"/>
        <v>0</v>
      </c>
      <c r="X165" s="592">
        <f ca="1"/>
        <v>0</v>
      </c>
      <c r="Y165" s="1982">
        <f ca="1"/>
        <v>0</v>
      </c>
    </row>
    <row r="166" spans="1:25">
      <c r="A166" s="1971" t="str">
        <v>1 mes antes</v>
      </c>
      <c r="B166" s="1967"/>
      <c r="C166" s="1967"/>
      <c r="D166" s="1967"/>
      <c r="E166" s="1967"/>
      <c r="F166" s="1967"/>
      <c r="G166" s="1967"/>
      <c r="H166" s="1967"/>
      <c r="I166" s="1967"/>
      <c r="J166" s="1967"/>
      <c r="K166" s="1967"/>
      <c r="L166" s="1967"/>
      <c r="M166" s="592">
        <f t="array" aca="1" ref="M166:X166" ca="1">B23:M23*Produccion!$M$11</f>
        <v>0</v>
      </c>
      <c r="N166" s="592">
        <f ca="1"/>
        <v>0</v>
      </c>
      <c r="O166" s="592">
        <f ca="1"/>
        <v>0</v>
      </c>
      <c r="P166" s="592">
        <f ca="1"/>
        <v>0</v>
      </c>
      <c r="Q166" s="592">
        <f ca="1"/>
        <v>0</v>
      </c>
      <c r="R166" s="592">
        <f ca="1"/>
        <v>0</v>
      </c>
      <c r="S166" s="592">
        <f ca="1"/>
        <v>0</v>
      </c>
      <c r="T166" s="592">
        <f ca="1"/>
        <v>0</v>
      </c>
      <c r="U166" s="592">
        <f ca="1"/>
        <v>0</v>
      </c>
      <c r="V166" s="592">
        <f ca="1"/>
        <v>0</v>
      </c>
      <c r="W166" s="592">
        <f ca="1"/>
        <v>0</v>
      </c>
      <c r="X166" s="592">
        <f ca="1"/>
        <v>0</v>
      </c>
      <c r="Y166" s="1983"/>
    </row>
    <row r="167" spans="1:25">
      <c r="A167" s="1971" t="str">
        <v>2 meses antes</v>
      </c>
      <c r="B167" s="1967"/>
      <c r="C167" s="1967"/>
      <c r="D167" s="1967"/>
      <c r="E167" s="1967"/>
      <c r="F167" s="1967"/>
      <c r="G167" s="1967"/>
      <c r="H167" s="1967"/>
      <c r="I167" s="1967"/>
      <c r="J167" s="1967"/>
      <c r="K167" s="1967"/>
      <c r="L167" s="592">
        <f t="array" aca="1" ref="L167:W167" ca="1">B23:M23*Produccion!$L$11</f>
        <v>0</v>
      </c>
      <c r="M167" s="592">
        <f ca="1"/>
        <v>0</v>
      </c>
      <c r="N167" s="592">
        <f ca="1"/>
        <v>0</v>
      </c>
      <c r="O167" s="592">
        <f ca="1"/>
        <v>0</v>
      </c>
      <c r="P167" s="592">
        <f ca="1"/>
        <v>0</v>
      </c>
      <c r="Q167" s="592">
        <f ca="1"/>
        <v>0</v>
      </c>
      <c r="R167" s="592">
        <f ca="1"/>
        <v>0</v>
      </c>
      <c r="S167" s="592">
        <f ca="1"/>
        <v>0</v>
      </c>
      <c r="T167" s="592">
        <f ca="1"/>
        <v>0</v>
      </c>
      <c r="U167" s="592">
        <f ca="1"/>
        <v>0</v>
      </c>
      <c r="V167" s="592">
        <f ca="1"/>
        <v>0</v>
      </c>
      <c r="W167" s="592">
        <f ca="1"/>
        <v>0</v>
      </c>
      <c r="X167" s="1967"/>
      <c r="Y167" s="1983"/>
    </row>
    <row r="168" spans="1:25">
      <c r="A168" s="1971" t="str">
        <v>3 meses antes</v>
      </c>
      <c r="B168" s="1967"/>
      <c r="C168" s="1967"/>
      <c r="D168" s="1967"/>
      <c r="E168" s="1967"/>
      <c r="F168" s="1967"/>
      <c r="G168" s="1967"/>
      <c r="H168" s="1967"/>
      <c r="I168" s="1967"/>
      <c r="J168" s="1967"/>
      <c r="K168" s="592">
        <f t="array" aca="1" ref="K168:V168" ca="1">B23:M23*Produccion!$K$11</f>
        <v>0</v>
      </c>
      <c r="L168" s="592">
        <f ca="1"/>
        <v>0</v>
      </c>
      <c r="M168" s="592">
        <f ca="1"/>
        <v>0</v>
      </c>
      <c r="N168" s="592">
        <f ca="1"/>
        <v>0</v>
      </c>
      <c r="O168" s="592">
        <f ca="1"/>
        <v>0</v>
      </c>
      <c r="P168" s="592">
        <f ca="1"/>
        <v>0</v>
      </c>
      <c r="Q168" s="592">
        <f ca="1"/>
        <v>0</v>
      </c>
      <c r="R168" s="592">
        <f ca="1"/>
        <v>0</v>
      </c>
      <c r="S168" s="592">
        <f ca="1"/>
        <v>0</v>
      </c>
      <c r="T168" s="592">
        <f ca="1"/>
        <v>0</v>
      </c>
      <c r="U168" s="592">
        <f ca="1"/>
        <v>0</v>
      </c>
      <c r="V168" s="592">
        <f ca="1"/>
        <v>0</v>
      </c>
      <c r="W168" s="1967"/>
      <c r="X168" s="1967"/>
      <c r="Y168" s="1983"/>
    </row>
    <row r="169" spans="1:25">
      <c r="A169" s="1971" t="str">
        <v>4 meses antes</v>
      </c>
      <c r="B169" s="1967"/>
      <c r="C169" s="1967"/>
      <c r="D169" s="1967"/>
      <c r="E169" s="1967"/>
      <c r="F169" s="1967"/>
      <c r="G169" s="1967"/>
      <c r="H169" s="1967"/>
      <c r="I169" s="1967"/>
      <c r="J169" s="592">
        <f t="array" aca="1" ref="J169:U169" ca="1">B23:M23*Produccion!$J$11</f>
        <v>0</v>
      </c>
      <c r="K169" s="592">
        <f ca="1"/>
        <v>0</v>
      </c>
      <c r="L169" s="592">
        <f ca="1"/>
        <v>0</v>
      </c>
      <c r="M169" s="592">
        <f ca="1"/>
        <v>0</v>
      </c>
      <c r="N169" s="592">
        <f ca="1"/>
        <v>0</v>
      </c>
      <c r="O169" s="592">
        <f ca="1"/>
        <v>0</v>
      </c>
      <c r="P169" s="592">
        <f ca="1"/>
        <v>0</v>
      </c>
      <c r="Q169" s="592">
        <f ca="1"/>
        <v>0</v>
      </c>
      <c r="R169" s="592">
        <f ca="1"/>
        <v>0</v>
      </c>
      <c r="S169" s="592">
        <f ca="1"/>
        <v>0</v>
      </c>
      <c r="T169" s="592">
        <f ca="1"/>
        <v>0</v>
      </c>
      <c r="U169" s="592">
        <f ca="1"/>
        <v>0</v>
      </c>
      <c r="V169" s="1967"/>
      <c r="W169" s="1967"/>
      <c r="X169" s="1967"/>
      <c r="Y169" s="1983"/>
    </row>
    <row r="170" spans="1:25">
      <c r="A170" s="1971" t="str">
        <v>5 meses antes</v>
      </c>
      <c r="B170" s="1967"/>
      <c r="C170" s="1967"/>
      <c r="D170" s="1967"/>
      <c r="E170" s="1967"/>
      <c r="F170" s="1967"/>
      <c r="G170" s="1967"/>
      <c r="H170" s="1967"/>
      <c r="I170" s="592">
        <f t="array" aca="1" ref="I170:T170" ca="1">B23:M23*Produccion!$I$11</f>
        <v>0</v>
      </c>
      <c r="J170" s="592">
        <f ca="1"/>
        <v>0</v>
      </c>
      <c r="K170" s="592">
        <f ca="1"/>
        <v>0</v>
      </c>
      <c r="L170" s="592">
        <f ca="1"/>
        <v>0</v>
      </c>
      <c r="M170" s="592">
        <f ca="1"/>
        <v>0</v>
      </c>
      <c r="N170" s="592">
        <f ca="1"/>
        <v>0</v>
      </c>
      <c r="O170" s="592">
        <f ca="1"/>
        <v>0</v>
      </c>
      <c r="P170" s="592">
        <f ca="1"/>
        <v>0</v>
      </c>
      <c r="Q170" s="592">
        <f ca="1"/>
        <v>0</v>
      </c>
      <c r="R170" s="592">
        <f ca="1"/>
        <v>0</v>
      </c>
      <c r="S170" s="592">
        <f ca="1"/>
        <v>0</v>
      </c>
      <c r="T170" s="592">
        <f ca="1"/>
        <v>0</v>
      </c>
      <c r="U170" s="1967"/>
      <c r="V170" s="1967"/>
      <c r="W170" s="1967"/>
      <c r="X170" s="1967"/>
      <c r="Y170" s="1983"/>
    </row>
    <row r="171" spans="1:25">
      <c r="A171" s="1971" t="str">
        <v>6 meses antes</v>
      </c>
      <c r="B171" s="1967"/>
      <c r="C171" s="1967"/>
      <c r="D171" s="1967"/>
      <c r="E171" s="1967"/>
      <c r="F171" s="1967"/>
      <c r="G171" s="1967"/>
      <c r="H171" s="592">
        <f t="array" aca="1" ref="H171:S171" ca="1">B23:M23*Produccion!$H$11</f>
        <v>0</v>
      </c>
      <c r="I171" s="592">
        <f ca="1"/>
        <v>0</v>
      </c>
      <c r="J171" s="592">
        <f ca="1"/>
        <v>0</v>
      </c>
      <c r="K171" s="592">
        <f ca="1"/>
        <v>0</v>
      </c>
      <c r="L171" s="592">
        <f ca="1"/>
        <v>0</v>
      </c>
      <c r="M171" s="592">
        <f ca="1"/>
        <v>0</v>
      </c>
      <c r="N171" s="592">
        <f ca="1"/>
        <v>0</v>
      </c>
      <c r="O171" s="592">
        <f ca="1"/>
        <v>0</v>
      </c>
      <c r="P171" s="592">
        <f ca="1"/>
        <v>0</v>
      </c>
      <c r="Q171" s="592">
        <f ca="1"/>
        <v>0</v>
      </c>
      <c r="R171" s="592">
        <f ca="1"/>
        <v>0</v>
      </c>
      <c r="S171" s="592">
        <f ca="1"/>
        <v>0</v>
      </c>
      <c r="T171" s="1967"/>
      <c r="U171" s="1967"/>
      <c r="V171" s="1967"/>
      <c r="W171" s="1967"/>
      <c r="X171" s="1967"/>
      <c r="Y171" s="1983"/>
    </row>
    <row r="172" spans="1:25">
      <c r="A172" s="1971" t="str">
        <v>7 meses antes</v>
      </c>
      <c r="B172" s="1967"/>
      <c r="C172" s="1967"/>
      <c r="D172" s="1967"/>
      <c r="E172" s="1967"/>
      <c r="F172" s="1967"/>
      <c r="G172" s="592">
        <f t="array" aca="1" ref="G172:R172" ca="1">B23:M23*Produccion!$G$11</f>
        <v>0</v>
      </c>
      <c r="H172" s="592">
        <f ca="1"/>
        <v>0</v>
      </c>
      <c r="I172" s="592">
        <f ca="1"/>
        <v>0</v>
      </c>
      <c r="J172" s="592">
        <f ca="1"/>
        <v>0</v>
      </c>
      <c r="K172" s="592">
        <f ca="1"/>
        <v>0</v>
      </c>
      <c r="L172" s="592">
        <f ca="1"/>
        <v>0</v>
      </c>
      <c r="M172" s="592">
        <f ca="1"/>
        <v>0</v>
      </c>
      <c r="N172" s="592">
        <f ca="1"/>
        <v>0</v>
      </c>
      <c r="O172" s="592">
        <f ca="1"/>
        <v>0</v>
      </c>
      <c r="P172" s="592">
        <f ca="1"/>
        <v>0</v>
      </c>
      <c r="Q172" s="592">
        <f ca="1"/>
        <v>0</v>
      </c>
      <c r="R172" s="592">
        <f ca="1"/>
        <v>0</v>
      </c>
      <c r="S172" s="1967"/>
      <c r="T172" s="1967"/>
      <c r="U172" s="1967"/>
      <c r="V172" s="1967"/>
      <c r="W172" s="1967"/>
      <c r="X172" s="1967"/>
      <c r="Y172" s="1983"/>
    </row>
    <row r="173" spans="1:25">
      <c r="A173" s="1971" t="str">
        <v>8 meses antes</v>
      </c>
      <c r="B173" s="1967"/>
      <c r="C173" s="1967"/>
      <c r="D173" s="1967"/>
      <c r="E173" s="1967"/>
      <c r="F173" s="592">
        <f t="array" aca="1" ref="F173:Q173" ca="1">B23:M23*Produccion!$F$11</f>
        <v>0</v>
      </c>
      <c r="G173" s="592">
        <f ca="1"/>
        <v>0</v>
      </c>
      <c r="H173" s="592">
        <f ca="1"/>
        <v>0</v>
      </c>
      <c r="I173" s="592">
        <f ca="1"/>
        <v>0</v>
      </c>
      <c r="J173" s="592">
        <f ca="1"/>
        <v>0</v>
      </c>
      <c r="K173" s="592">
        <f ca="1"/>
        <v>0</v>
      </c>
      <c r="L173" s="592">
        <f ca="1"/>
        <v>0</v>
      </c>
      <c r="M173" s="592">
        <f ca="1"/>
        <v>0</v>
      </c>
      <c r="N173" s="592">
        <f ca="1"/>
        <v>0</v>
      </c>
      <c r="O173" s="592">
        <f ca="1"/>
        <v>0</v>
      </c>
      <c r="P173" s="592">
        <f ca="1"/>
        <v>0</v>
      </c>
      <c r="Q173" s="592">
        <f ca="1"/>
        <v>0</v>
      </c>
      <c r="R173" s="1967"/>
      <c r="S173" s="1967"/>
      <c r="T173" s="1967"/>
      <c r="U173" s="1967"/>
      <c r="V173" s="1967"/>
      <c r="W173" s="1967"/>
      <c r="X173" s="1967"/>
      <c r="Y173" s="1983"/>
    </row>
    <row r="174" spans="1:25">
      <c r="A174" s="1971" t="str">
        <v>9 meses antes</v>
      </c>
      <c r="B174" s="1967"/>
      <c r="C174" s="1967"/>
      <c r="D174" s="1967"/>
      <c r="E174" s="592">
        <f t="array" aca="1" ref="E174:P174" ca="1">B23:M23*Produccion!$E$11</f>
        <v>0</v>
      </c>
      <c r="F174" s="592">
        <f ca="1"/>
        <v>0</v>
      </c>
      <c r="G174" s="592">
        <f ca="1"/>
        <v>0</v>
      </c>
      <c r="H174" s="592">
        <f ca="1"/>
        <v>0</v>
      </c>
      <c r="I174" s="592">
        <f ca="1"/>
        <v>0</v>
      </c>
      <c r="J174" s="592">
        <f ca="1"/>
        <v>0</v>
      </c>
      <c r="K174" s="592">
        <f ca="1"/>
        <v>0</v>
      </c>
      <c r="L174" s="592">
        <f ca="1"/>
        <v>0</v>
      </c>
      <c r="M174" s="592">
        <f ca="1"/>
        <v>0</v>
      </c>
      <c r="N174" s="592">
        <f ca="1"/>
        <v>0</v>
      </c>
      <c r="O174" s="592">
        <f ca="1"/>
        <v>0</v>
      </c>
      <c r="P174" s="592">
        <f ca="1"/>
        <v>0</v>
      </c>
      <c r="Q174" s="1967"/>
      <c r="R174" s="1967"/>
      <c r="S174" s="1967"/>
      <c r="T174" s="1967"/>
      <c r="U174" s="1967"/>
      <c r="V174" s="1967"/>
      <c r="W174" s="1967"/>
      <c r="X174" s="1967"/>
      <c r="Y174" s="1983"/>
    </row>
    <row r="175" spans="1:25">
      <c r="A175" s="1971" t="str">
        <v>10 meses antes</v>
      </c>
      <c r="B175" s="1967"/>
      <c r="C175" s="1967"/>
      <c r="D175" s="592">
        <f t="array" aca="1" ref="D175:O175" ca="1">B23:M23*Produccion!$D$11</f>
        <v>0</v>
      </c>
      <c r="E175" s="592">
        <f ca="1"/>
        <v>0</v>
      </c>
      <c r="F175" s="592">
        <f ca="1"/>
        <v>0</v>
      </c>
      <c r="G175" s="592">
        <f ca="1"/>
        <v>0</v>
      </c>
      <c r="H175" s="592">
        <f ca="1"/>
        <v>0</v>
      </c>
      <c r="I175" s="592">
        <f ca="1"/>
        <v>0</v>
      </c>
      <c r="J175" s="592">
        <f ca="1"/>
        <v>0</v>
      </c>
      <c r="K175" s="592">
        <f ca="1"/>
        <v>0</v>
      </c>
      <c r="L175" s="592">
        <f ca="1"/>
        <v>0</v>
      </c>
      <c r="M175" s="592">
        <f ca="1"/>
        <v>0</v>
      </c>
      <c r="N175" s="592">
        <f ca="1"/>
        <v>0</v>
      </c>
      <c r="O175" s="592">
        <f ca="1"/>
        <v>0</v>
      </c>
      <c r="P175" s="1967"/>
      <c r="Q175" s="1967"/>
      <c r="R175" s="1967"/>
      <c r="S175" s="1967"/>
      <c r="T175" s="1967"/>
      <c r="U175" s="1967"/>
      <c r="V175" s="1967"/>
      <c r="W175" s="1967"/>
      <c r="X175" s="1967"/>
      <c r="Y175" s="1983"/>
    </row>
    <row r="176" spans="1:25">
      <c r="A176" s="1971" t="str">
        <v>11 meses antes</v>
      </c>
      <c r="B176" s="1967"/>
      <c r="C176" s="592">
        <f t="array" aca="1" ref="C176:N176" ca="1">B23:M23*Produccion!$C$11</f>
        <v>0</v>
      </c>
      <c r="D176" s="592">
        <f ca="1"/>
        <v>0</v>
      </c>
      <c r="E176" s="592">
        <f ca="1"/>
        <v>0</v>
      </c>
      <c r="F176" s="592">
        <f ca="1"/>
        <v>0</v>
      </c>
      <c r="G176" s="592">
        <f ca="1"/>
        <v>0</v>
      </c>
      <c r="H176" s="592">
        <f ca="1"/>
        <v>0</v>
      </c>
      <c r="I176" s="592">
        <f ca="1"/>
        <v>0</v>
      </c>
      <c r="J176" s="592">
        <f ca="1"/>
        <v>0</v>
      </c>
      <c r="K176" s="592">
        <f ca="1"/>
        <v>0</v>
      </c>
      <c r="L176" s="592">
        <f ca="1"/>
        <v>0</v>
      </c>
      <c r="M176" s="592">
        <f ca="1"/>
        <v>0</v>
      </c>
      <c r="N176" s="592">
        <f ca="1"/>
        <v>0</v>
      </c>
      <c r="O176" s="1967"/>
      <c r="P176" s="1967"/>
      <c r="Q176" s="1967"/>
      <c r="R176" s="1967"/>
      <c r="S176" s="1967"/>
      <c r="T176" s="1967"/>
      <c r="U176" s="1967"/>
      <c r="V176" s="1967"/>
      <c r="W176" s="1967"/>
      <c r="X176" s="1967"/>
      <c r="Y176" s="1983"/>
    </row>
    <row r="177" spans="1:25" ht="13.5" thickBot="1">
      <c r="A177" s="1971" t="str">
        <v>12 meses antes</v>
      </c>
      <c r="B177" s="592">
        <f t="array" aca="1" ref="B177:M177" ca="1">B23:M23*Produccion!$B$11</f>
        <v>0</v>
      </c>
      <c r="C177" s="592">
        <f ca="1"/>
        <v>0</v>
      </c>
      <c r="D177" s="592">
        <f ca="1"/>
        <v>0</v>
      </c>
      <c r="E177" s="592">
        <f ca="1"/>
        <v>0</v>
      </c>
      <c r="F177" s="592">
        <f ca="1"/>
        <v>0</v>
      </c>
      <c r="G177" s="592">
        <f ca="1"/>
        <v>0</v>
      </c>
      <c r="H177" s="592">
        <f ca="1"/>
        <v>0</v>
      </c>
      <c r="I177" s="592">
        <f ca="1"/>
        <v>0</v>
      </c>
      <c r="J177" s="592">
        <f ca="1"/>
        <v>0</v>
      </c>
      <c r="K177" s="592">
        <f ca="1"/>
        <v>0</v>
      </c>
      <c r="L177" s="592">
        <f ca="1"/>
        <v>0</v>
      </c>
      <c r="M177" s="592">
        <f ca="1"/>
        <v>0</v>
      </c>
      <c r="N177" s="1967"/>
      <c r="O177" s="1967"/>
      <c r="P177" s="1967"/>
      <c r="Q177" s="1967"/>
      <c r="R177" s="1967"/>
      <c r="S177" s="1967"/>
      <c r="T177" s="1967"/>
      <c r="U177" s="1967"/>
      <c r="V177" s="1967"/>
      <c r="W177" s="1967"/>
      <c r="X177" s="1967"/>
      <c r="Y177" s="1983"/>
    </row>
    <row r="178" spans="1:25" ht="13.5" thickBot="1">
      <c r="A178" s="103" t="str">
        <f>"Totales CV "&amp;A$11</f>
        <v xml:space="preserve">Totales CV </v>
      </c>
      <c r="B178" s="596">
        <f t="shared" ref="B178:Y178" ca="1" si="14">SUM(B165:B177)</f>
        <v>0</v>
      </c>
      <c r="C178" s="596">
        <f t="shared" ca="1" si="14"/>
        <v>0</v>
      </c>
      <c r="D178" s="596">
        <f t="shared" ca="1" si="14"/>
        <v>0</v>
      </c>
      <c r="E178" s="596">
        <f t="shared" ca="1" si="14"/>
        <v>0</v>
      </c>
      <c r="F178" s="596">
        <f t="shared" ca="1" si="14"/>
        <v>0</v>
      </c>
      <c r="G178" s="596">
        <f t="shared" ca="1" si="14"/>
        <v>0</v>
      </c>
      <c r="H178" s="596">
        <f t="shared" ca="1" si="14"/>
        <v>0</v>
      </c>
      <c r="I178" s="596">
        <f t="shared" ca="1" si="14"/>
        <v>0</v>
      </c>
      <c r="J178" s="596">
        <f t="shared" ca="1" si="14"/>
        <v>0</v>
      </c>
      <c r="K178" s="596">
        <f t="shared" ca="1" si="14"/>
        <v>0</v>
      </c>
      <c r="L178" s="596">
        <f t="shared" ca="1" si="14"/>
        <v>0</v>
      </c>
      <c r="M178" s="596">
        <f t="shared" ca="1" si="14"/>
        <v>0</v>
      </c>
      <c r="N178" s="596">
        <f t="shared" ca="1" si="14"/>
        <v>0</v>
      </c>
      <c r="O178" s="596">
        <f t="shared" ca="1" si="14"/>
        <v>0</v>
      </c>
      <c r="P178" s="596">
        <f t="shared" ca="1" si="14"/>
        <v>0</v>
      </c>
      <c r="Q178" s="596">
        <f t="shared" ca="1" si="14"/>
        <v>0</v>
      </c>
      <c r="R178" s="596">
        <f t="shared" ca="1" si="14"/>
        <v>0</v>
      </c>
      <c r="S178" s="596">
        <f t="shared" ca="1" si="14"/>
        <v>0</v>
      </c>
      <c r="T178" s="596">
        <f t="shared" ca="1" si="14"/>
        <v>0</v>
      </c>
      <c r="U178" s="596">
        <f t="shared" ca="1" si="14"/>
        <v>0</v>
      </c>
      <c r="V178" s="596">
        <f t="shared" ca="1" si="14"/>
        <v>0</v>
      </c>
      <c r="W178" s="596">
        <f t="shared" ca="1" si="14"/>
        <v>0</v>
      </c>
      <c r="X178" s="596">
        <f t="shared" ca="1" si="14"/>
        <v>0</v>
      </c>
      <c r="Y178" s="1984">
        <f t="shared" ca="1" si="14"/>
        <v>0</v>
      </c>
    </row>
    <row r="179" spans="1:25" ht="13.5" thickBot="1">
      <c r="A179" s="103" t="str">
        <f>'Datos Básicos'!A28&amp;" sop. CV "&amp;$A$11</f>
        <v xml:space="preserve">IVA sop. CV </v>
      </c>
      <c r="B179" s="596">
        <f t="array" aca="1" ref="B179:Y179" ca="1">$K$163*B178:Y178</f>
        <v>0</v>
      </c>
      <c r="C179" s="596">
        <f ca="1"/>
        <v>0</v>
      </c>
      <c r="D179" s="596">
        <f ca="1"/>
        <v>0</v>
      </c>
      <c r="E179" s="596">
        <f ca="1"/>
        <v>0</v>
      </c>
      <c r="F179" s="596">
        <f ca="1"/>
        <v>0</v>
      </c>
      <c r="G179" s="596">
        <f ca="1"/>
        <v>0</v>
      </c>
      <c r="H179" s="596">
        <f ca="1"/>
        <v>0</v>
      </c>
      <c r="I179" s="596">
        <f ca="1"/>
        <v>0</v>
      </c>
      <c r="J179" s="596">
        <f ca="1"/>
        <v>0</v>
      </c>
      <c r="K179" s="596">
        <f ca="1"/>
        <v>0</v>
      </c>
      <c r="L179" s="596">
        <f ca="1"/>
        <v>0</v>
      </c>
      <c r="M179" s="596">
        <f ca="1"/>
        <v>0</v>
      </c>
      <c r="N179" s="596">
        <f ca="1"/>
        <v>0</v>
      </c>
      <c r="O179" s="596">
        <f ca="1"/>
        <v>0</v>
      </c>
      <c r="P179" s="596">
        <f ca="1"/>
        <v>0</v>
      </c>
      <c r="Q179" s="596">
        <f ca="1"/>
        <v>0</v>
      </c>
      <c r="R179" s="596">
        <f ca="1"/>
        <v>0</v>
      </c>
      <c r="S179" s="596">
        <f ca="1"/>
        <v>0</v>
      </c>
      <c r="T179" s="596">
        <f ca="1"/>
        <v>0</v>
      </c>
      <c r="U179" s="596">
        <f ca="1"/>
        <v>0</v>
      </c>
      <c r="V179" s="596">
        <f ca="1"/>
        <v>0</v>
      </c>
      <c r="W179" s="596">
        <f ca="1"/>
        <v>0</v>
      </c>
      <c r="X179" s="596">
        <f ca="1"/>
        <v>0</v>
      </c>
      <c r="Y179" s="1984">
        <f ca="1"/>
        <v>0</v>
      </c>
    </row>
    <row r="181" spans="1:25" ht="18.75" thickBot="1">
      <c r="A181" s="1969" t="str">
        <f>'Distr CV 0'!A181</f>
        <v xml:space="preserve">Compras / costes de producción por meses de </v>
      </c>
      <c r="I181" s="1969" t="str">
        <f>I$18</f>
        <v>IVA NO incluido</v>
      </c>
      <c r="K181" s="1981">
        <f>Parametros!$F$28</f>
        <v>0.21</v>
      </c>
    </row>
    <row r="182" spans="1:25" ht="31.5" customHeight="1" thickBot="1">
      <c r="A182" s="446" t="str">
        <f>A$110</f>
        <v>mes de compra / coste</v>
      </c>
      <c r="B182" s="1987" t="str">
        <f t="array" ref="B182:Y182">B$71:Y$71</f>
        <v>enero 
2030</v>
      </c>
      <c r="C182" s="1987" t="str">
        <v>febrero 
2030</v>
      </c>
      <c r="D182" s="1987" t="str">
        <v>marzo 
2030</v>
      </c>
      <c r="E182" s="1987" t="str">
        <v>abril 
2030</v>
      </c>
      <c r="F182" s="1987" t="str">
        <v>mayo 
2030</v>
      </c>
      <c r="G182" s="1987" t="str">
        <v>junio 
2030</v>
      </c>
      <c r="H182" s="1987" t="str">
        <v>julio 
2030</v>
      </c>
      <c r="I182" s="1987" t="str">
        <v>agosto 
2030</v>
      </c>
      <c r="J182" s="1987" t="str">
        <v>septiembre 
2030</v>
      </c>
      <c r="K182" s="1987" t="str">
        <v>octubre 
2030</v>
      </c>
      <c r="L182" s="1987" t="str">
        <v>noviembre 
2030</v>
      </c>
      <c r="M182" s="1987" t="str">
        <v>diciembre 
2030</v>
      </c>
      <c r="N182" s="2706" t="str">
        <v>enero 
2031</v>
      </c>
      <c r="O182" s="2707" t="str">
        <v>febrero 
2031</v>
      </c>
      <c r="P182" s="2707" t="str">
        <v>marzo 
2031</v>
      </c>
      <c r="Q182" s="2707" t="str">
        <v>abril 
2031</v>
      </c>
      <c r="R182" s="2707" t="str">
        <v>mayo 
2031</v>
      </c>
      <c r="S182" s="2707" t="str">
        <v>junio 
2031</v>
      </c>
      <c r="T182" s="2707" t="str">
        <v>julio 
2031</v>
      </c>
      <c r="U182" s="2707" t="str">
        <v>agosto 
2031</v>
      </c>
      <c r="V182" s="2707" t="str">
        <v>septiembre 
2031</v>
      </c>
      <c r="W182" s="2707" t="str">
        <v>octubre 
2031</v>
      </c>
      <c r="X182" s="2707" t="str">
        <v>noviembre 
2031</v>
      </c>
      <c r="Y182" s="2708" t="str">
        <v>diciembre 
2031</v>
      </c>
    </row>
    <row r="183" spans="1:25">
      <c r="A183" s="1970" t="str">
        <f t="array" ref="A183:A195">A$72:A$84</f>
        <v>mismo mes</v>
      </c>
      <c r="B183" s="1967"/>
      <c r="C183" s="1967"/>
      <c r="D183" s="1967"/>
      <c r="E183" s="1967"/>
      <c r="F183" s="1967"/>
      <c r="G183" s="1967"/>
      <c r="H183" s="1967"/>
      <c r="I183" s="1967"/>
      <c r="J183" s="1967"/>
      <c r="K183" s="1967"/>
      <c r="L183" s="1967"/>
      <c r="M183" s="1967"/>
      <c r="N183" s="592">
        <f t="array" aca="1" ref="N183:Y183" ca="1">B24:M24*Produccion!$N$12</f>
        <v>0</v>
      </c>
      <c r="O183" s="592">
        <f ca="1"/>
        <v>0</v>
      </c>
      <c r="P183" s="592">
        <f ca="1"/>
        <v>0</v>
      </c>
      <c r="Q183" s="592">
        <f ca="1"/>
        <v>0</v>
      </c>
      <c r="R183" s="592">
        <f ca="1"/>
        <v>0</v>
      </c>
      <c r="S183" s="592">
        <f ca="1"/>
        <v>0</v>
      </c>
      <c r="T183" s="592">
        <f ca="1"/>
        <v>0</v>
      </c>
      <c r="U183" s="592">
        <f ca="1"/>
        <v>0</v>
      </c>
      <c r="V183" s="592">
        <f ca="1"/>
        <v>0</v>
      </c>
      <c r="W183" s="592">
        <f ca="1"/>
        <v>0</v>
      </c>
      <c r="X183" s="592">
        <f ca="1"/>
        <v>0</v>
      </c>
      <c r="Y183" s="1982">
        <f ca="1"/>
        <v>0</v>
      </c>
    </row>
    <row r="184" spans="1:25">
      <c r="A184" s="1971" t="str">
        <v>1 mes antes</v>
      </c>
      <c r="B184" s="1967"/>
      <c r="C184" s="1967"/>
      <c r="D184" s="1967"/>
      <c r="E184" s="1967"/>
      <c r="F184" s="1967"/>
      <c r="G184" s="1967"/>
      <c r="H184" s="1967"/>
      <c r="I184" s="1967"/>
      <c r="J184" s="1967"/>
      <c r="K184" s="1967"/>
      <c r="L184" s="1967"/>
      <c r="M184" s="592">
        <f t="array" aca="1" ref="M184:X184" ca="1">B24:M24*Produccion!$M$12</f>
        <v>0</v>
      </c>
      <c r="N184" s="592">
        <f ca="1"/>
        <v>0</v>
      </c>
      <c r="O184" s="592">
        <f ca="1"/>
        <v>0</v>
      </c>
      <c r="P184" s="592">
        <f ca="1"/>
        <v>0</v>
      </c>
      <c r="Q184" s="592">
        <f ca="1"/>
        <v>0</v>
      </c>
      <c r="R184" s="592">
        <f ca="1"/>
        <v>0</v>
      </c>
      <c r="S184" s="592">
        <f ca="1"/>
        <v>0</v>
      </c>
      <c r="T184" s="592">
        <f ca="1"/>
        <v>0</v>
      </c>
      <c r="U184" s="592">
        <f ca="1"/>
        <v>0</v>
      </c>
      <c r="V184" s="592">
        <f ca="1"/>
        <v>0</v>
      </c>
      <c r="W184" s="592">
        <f ca="1"/>
        <v>0</v>
      </c>
      <c r="X184" s="592">
        <f ca="1"/>
        <v>0</v>
      </c>
      <c r="Y184" s="1983"/>
    </row>
    <row r="185" spans="1:25">
      <c r="A185" s="1971" t="str">
        <v>2 meses antes</v>
      </c>
      <c r="B185" s="1967"/>
      <c r="C185" s="1967"/>
      <c r="D185" s="1967"/>
      <c r="E185" s="1967"/>
      <c r="F185" s="1967"/>
      <c r="G185" s="1967"/>
      <c r="H185" s="1967"/>
      <c r="I185" s="1967"/>
      <c r="J185" s="1967"/>
      <c r="K185" s="1967"/>
      <c r="L185" s="592">
        <f t="array" aca="1" ref="L185:W185" ca="1">B24:M24*Produccion!$L$12</f>
        <v>0</v>
      </c>
      <c r="M185" s="592">
        <f ca="1"/>
        <v>0</v>
      </c>
      <c r="N185" s="592">
        <f ca="1"/>
        <v>0</v>
      </c>
      <c r="O185" s="592">
        <f ca="1"/>
        <v>0</v>
      </c>
      <c r="P185" s="592">
        <f ca="1"/>
        <v>0</v>
      </c>
      <c r="Q185" s="592">
        <f ca="1"/>
        <v>0</v>
      </c>
      <c r="R185" s="592">
        <f ca="1"/>
        <v>0</v>
      </c>
      <c r="S185" s="592">
        <f ca="1"/>
        <v>0</v>
      </c>
      <c r="T185" s="592">
        <f ca="1"/>
        <v>0</v>
      </c>
      <c r="U185" s="592">
        <f ca="1"/>
        <v>0</v>
      </c>
      <c r="V185" s="592">
        <f ca="1"/>
        <v>0</v>
      </c>
      <c r="W185" s="592">
        <f ca="1"/>
        <v>0</v>
      </c>
      <c r="X185" s="1967"/>
      <c r="Y185" s="1983"/>
    </row>
    <row r="186" spans="1:25">
      <c r="A186" s="1971" t="str">
        <v>3 meses antes</v>
      </c>
      <c r="B186" s="1967"/>
      <c r="C186" s="1967"/>
      <c r="D186" s="1967"/>
      <c r="E186" s="1967"/>
      <c r="F186" s="1967"/>
      <c r="G186" s="1967"/>
      <c r="H186" s="1967"/>
      <c r="I186" s="1967"/>
      <c r="J186" s="1967"/>
      <c r="K186" s="592">
        <f t="array" aca="1" ref="K186:V186" ca="1">B24:M24*Produccion!$K$12</f>
        <v>0</v>
      </c>
      <c r="L186" s="592">
        <f ca="1"/>
        <v>0</v>
      </c>
      <c r="M186" s="592">
        <f ca="1"/>
        <v>0</v>
      </c>
      <c r="N186" s="592">
        <f ca="1"/>
        <v>0</v>
      </c>
      <c r="O186" s="592">
        <f ca="1"/>
        <v>0</v>
      </c>
      <c r="P186" s="592">
        <f ca="1"/>
        <v>0</v>
      </c>
      <c r="Q186" s="592">
        <f ca="1"/>
        <v>0</v>
      </c>
      <c r="R186" s="592">
        <f ca="1"/>
        <v>0</v>
      </c>
      <c r="S186" s="592">
        <f ca="1"/>
        <v>0</v>
      </c>
      <c r="T186" s="592">
        <f ca="1"/>
        <v>0</v>
      </c>
      <c r="U186" s="592">
        <f ca="1"/>
        <v>0</v>
      </c>
      <c r="V186" s="592">
        <f ca="1"/>
        <v>0</v>
      </c>
      <c r="W186" s="1967"/>
      <c r="X186" s="1967"/>
      <c r="Y186" s="1983"/>
    </row>
    <row r="187" spans="1:25">
      <c r="A187" s="1971" t="str">
        <v>4 meses antes</v>
      </c>
      <c r="B187" s="1967"/>
      <c r="C187" s="1967"/>
      <c r="D187" s="1967"/>
      <c r="E187" s="1967"/>
      <c r="F187" s="1967"/>
      <c r="G187" s="1967"/>
      <c r="H187" s="1967"/>
      <c r="I187" s="1967"/>
      <c r="J187" s="592">
        <f t="array" aca="1" ref="J187:U187" ca="1">B24:M24*Produccion!$J$12</f>
        <v>0</v>
      </c>
      <c r="K187" s="592">
        <f ca="1"/>
        <v>0</v>
      </c>
      <c r="L187" s="592">
        <f ca="1"/>
        <v>0</v>
      </c>
      <c r="M187" s="592">
        <f ca="1"/>
        <v>0</v>
      </c>
      <c r="N187" s="592">
        <f ca="1"/>
        <v>0</v>
      </c>
      <c r="O187" s="592">
        <f ca="1"/>
        <v>0</v>
      </c>
      <c r="P187" s="592">
        <f ca="1"/>
        <v>0</v>
      </c>
      <c r="Q187" s="592">
        <f ca="1"/>
        <v>0</v>
      </c>
      <c r="R187" s="592">
        <f ca="1"/>
        <v>0</v>
      </c>
      <c r="S187" s="592">
        <f ca="1"/>
        <v>0</v>
      </c>
      <c r="T187" s="592">
        <f ca="1"/>
        <v>0</v>
      </c>
      <c r="U187" s="592">
        <f ca="1"/>
        <v>0</v>
      </c>
      <c r="V187" s="1967"/>
      <c r="W187" s="1967"/>
      <c r="X187" s="1967"/>
      <c r="Y187" s="1983"/>
    </row>
    <row r="188" spans="1:25">
      <c r="A188" s="1971" t="str">
        <v>5 meses antes</v>
      </c>
      <c r="B188" s="1967"/>
      <c r="C188" s="1967"/>
      <c r="D188" s="1967"/>
      <c r="E188" s="1967"/>
      <c r="F188" s="1967"/>
      <c r="G188" s="1967"/>
      <c r="H188" s="1967"/>
      <c r="I188" s="592">
        <f t="array" aca="1" ref="I188:T188" ca="1">B24:M24*Produccion!$I$12</f>
        <v>0</v>
      </c>
      <c r="J188" s="592">
        <f ca="1"/>
        <v>0</v>
      </c>
      <c r="K188" s="592">
        <f ca="1"/>
        <v>0</v>
      </c>
      <c r="L188" s="592">
        <f ca="1"/>
        <v>0</v>
      </c>
      <c r="M188" s="592">
        <f ca="1"/>
        <v>0</v>
      </c>
      <c r="N188" s="592">
        <f ca="1"/>
        <v>0</v>
      </c>
      <c r="O188" s="592">
        <f ca="1"/>
        <v>0</v>
      </c>
      <c r="P188" s="592">
        <f ca="1"/>
        <v>0</v>
      </c>
      <c r="Q188" s="592">
        <f ca="1"/>
        <v>0</v>
      </c>
      <c r="R188" s="592">
        <f ca="1"/>
        <v>0</v>
      </c>
      <c r="S188" s="592">
        <f ca="1"/>
        <v>0</v>
      </c>
      <c r="T188" s="592">
        <f ca="1"/>
        <v>0</v>
      </c>
      <c r="U188" s="1967"/>
      <c r="V188" s="1967"/>
      <c r="W188" s="1967"/>
      <c r="X188" s="1967"/>
      <c r="Y188" s="1983"/>
    </row>
    <row r="189" spans="1:25">
      <c r="A189" s="1971" t="str">
        <v>6 meses antes</v>
      </c>
      <c r="B189" s="1967"/>
      <c r="C189" s="1967"/>
      <c r="D189" s="1967"/>
      <c r="E189" s="1967"/>
      <c r="F189" s="1967"/>
      <c r="G189" s="1967"/>
      <c r="H189" s="592">
        <f t="array" aca="1" ref="H189:S189" ca="1">B24:M24*Produccion!$H$12</f>
        <v>0</v>
      </c>
      <c r="I189" s="592">
        <f ca="1"/>
        <v>0</v>
      </c>
      <c r="J189" s="592">
        <f ca="1"/>
        <v>0</v>
      </c>
      <c r="K189" s="592">
        <f ca="1"/>
        <v>0</v>
      </c>
      <c r="L189" s="592">
        <f ca="1"/>
        <v>0</v>
      </c>
      <c r="M189" s="592">
        <f ca="1"/>
        <v>0</v>
      </c>
      <c r="N189" s="592">
        <f ca="1"/>
        <v>0</v>
      </c>
      <c r="O189" s="592">
        <f ca="1"/>
        <v>0</v>
      </c>
      <c r="P189" s="592">
        <f ca="1"/>
        <v>0</v>
      </c>
      <c r="Q189" s="592">
        <f ca="1"/>
        <v>0</v>
      </c>
      <c r="R189" s="592">
        <f ca="1"/>
        <v>0</v>
      </c>
      <c r="S189" s="592">
        <f ca="1"/>
        <v>0</v>
      </c>
      <c r="T189" s="1967"/>
      <c r="U189" s="1967"/>
      <c r="V189" s="1967"/>
      <c r="W189" s="1967"/>
      <c r="X189" s="1967"/>
      <c r="Y189" s="1983"/>
    </row>
    <row r="190" spans="1:25">
      <c r="A190" s="1971" t="str">
        <v>7 meses antes</v>
      </c>
      <c r="B190" s="1967"/>
      <c r="C190" s="1967"/>
      <c r="D190" s="1967"/>
      <c r="E190" s="1967"/>
      <c r="F190" s="1967"/>
      <c r="G190" s="592">
        <f t="array" aca="1" ref="G190:R190" ca="1">B24:M24*Produccion!$G$12</f>
        <v>0</v>
      </c>
      <c r="H190" s="592">
        <f ca="1"/>
        <v>0</v>
      </c>
      <c r="I190" s="592">
        <f ca="1"/>
        <v>0</v>
      </c>
      <c r="J190" s="592">
        <f ca="1"/>
        <v>0</v>
      </c>
      <c r="K190" s="592">
        <f ca="1"/>
        <v>0</v>
      </c>
      <c r="L190" s="592">
        <f ca="1"/>
        <v>0</v>
      </c>
      <c r="M190" s="592">
        <f ca="1"/>
        <v>0</v>
      </c>
      <c r="N190" s="592">
        <f ca="1"/>
        <v>0</v>
      </c>
      <c r="O190" s="592">
        <f ca="1"/>
        <v>0</v>
      </c>
      <c r="P190" s="592">
        <f ca="1"/>
        <v>0</v>
      </c>
      <c r="Q190" s="592">
        <f ca="1"/>
        <v>0</v>
      </c>
      <c r="R190" s="592">
        <f ca="1"/>
        <v>0</v>
      </c>
      <c r="S190" s="1967"/>
      <c r="T190" s="1967"/>
      <c r="U190" s="1967"/>
      <c r="V190" s="1967"/>
      <c r="W190" s="1967"/>
      <c r="X190" s="1967"/>
      <c r="Y190" s="1983"/>
    </row>
    <row r="191" spans="1:25">
      <c r="A191" s="1971" t="str">
        <v>8 meses antes</v>
      </c>
      <c r="B191" s="1967"/>
      <c r="C191" s="1967"/>
      <c r="D191" s="1967"/>
      <c r="E191" s="1967"/>
      <c r="F191" s="592">
        <f t="array" aca="1" ref="F191:Q191" ca="1">B24:M24*Produccion!$F$12</f>
        <v>0</v>
      </c>
      <c r="G191" s="592">
        <f ca="1"/>
        <v>0</v>
      </c>
      <c r="H191" s="592">
        <f ca="1"/>
        <v>0</v>
      </c>
      <c r="I191" s="592">
        <f ca="1"/>
        <v>0</v>
      </c>
      <c r="J191" s="592">
        <f ca="1"/>
        <v>0</v>
      </c>
      <c r="K191" s="592">
        <f ca="1"/>
        <v>0</v>
      </c>
      <c r="L191" s="592">
        <f ca="1"/>
        <v>0</v>
      </c>
      <c r="M191" s="592">
        <f ca="1"/>
        <v>0</v>
      </c>
      <c r="N191" s="592">
        <f ca="1"/>
        <v>0</v>
      </c>
      <c r="O191" s="592">
        <f ca="1"/>
        <v>0</v>
      </c>
      <c r="P191" s="592">
        <f ca="1"/>
        <v>0</v>
      </c>
      <c r="Q191" s="592">
        <f ca="1"/>
        <v>0</v>
      </c>
      <c r="R191" s="1967"/>
      <c r="S191" s="1967"/>
      <c r="T191" s="1967"/>
      <c r="U191" s="1967"/>
      <c r="V191" s="1967"/>
      <c r="W191" s="1967"/>
      <c r="X191" s="1967"/>
      <c r="Y191" s="1983"/>
    </row>
    <row r="192" spans="1:25">
      <c r="A192" s="1971" t="str">
        <v>9 meses antes</v>
      </c>
      <c r="B192" s="1967"/>
      <c r="C192" s="1967"/>
      <c r="D192" s="1967"/>
      <c r="E192" s="592">
        <f t="array" aca="1" ref="E192:P192" ca="1">B24:M24*Produccion!$E$12</f>
        <v>0</v>
      </c>
      <c r="F192" s="592">
        <f ca="1"/>
        <v>0</v>
      </c>
      <c r="G192" s="592">
        <f ca="1"/>
        <v>0</v>
      </c>
      <c r="H192" s="592">
        <f ca="1"/>
        <v>0</v>
      </c>
      <c r="I192" s="592">
        <f ca="1"/>
        <v>0</v>
      </c>
      <c r="J192" s="592">
        <f ca="1"/>
        <v>0</v>
      </c>
      <c r="K192" s="592">
        <f ca="1"/>
        <v>0</v>
      </c>
      <c r="L192" s="592">
        <f ca="1"/>
        <v>0</v>
      </c>
      <c r="M192" s="592">
        <f ca="1"/>
        <v>0</v>
      </c>
      <c r="N192" s="592">
        <f ca="1"/>
        <v>0</v>
      </c>
      <c r="O192" s="592">
        <f ca="1"/>
        <v>0</v>
      </c>
      <c r="P192" s="592">
        <f ca="1"/>
        <v>0</v>
      </c>
      <c r="Q192" s="1967"/>
      <c r="R192" s="1967"/>
      <c r="S192" s="1967"/>
      <c r="T192" s="1967"/>
      <c r="U192" s="1967"/>
      <c r="V192" s="1967"/>
      <c r="W192" s="1967"/>
      <c r="X192" s="1967"/>
      <c r="Y192" s="1983"/>
    </row>
    <row r="193" spans="1:25">
      <c r="A193" s="1971" t="str">
        <v>10 meses antes</v>
      </c>
      <c r="B193" s="1967"/>
      <c r="C193" s="1967"/>
      <c r="D193" s="592">
        <f t="array" aca="1" ref="D193:O193" ca="1">B24:M24*Produccion!$D$12</f>
        <v>0</v>
      </c>
      <c r="E193" s="592">
        <f ca="1"/>
        <v>0</v>
      </c>
      <c r="F193" s="592">
        <f ca="1"/>
        <v>0</v>
      </c>
      <c r="G193" s="592">
        <f ca="1"/>
        <v>0</v>
      </c>
      <c r="H193" s="592">
        <f ca="1"/>
        <v>0</v>
      </c>
      <c r="I193" s="592">
        <f ca="1"/>
        <v>0</v>
      </c>
      <c r="J193" s="592">
        <f ca="1"/>
        <v>0</v>
      </c>
      <c r="K193" s="592">
        <f ca="1"/>
        <v>0</v>
      </c>
      <c r="L193" s="592">
        <f ca="1"/>
        <v>0</v>
      </c>
      <c r="M193" s="592">
        <f ca="1"/>
        <v>0</v>
      </c>
      <c r="N193" s="592">
        <f ca="1"/>
        <v>0</v>
      </c>
      <c r="O193" s="592">
        <f ca="1"/>
        <v>0</v>
      </c>
      <c r="P193" s="1967"/>
      <c r="Q193" s="1967"/>
      <c r="R193" s="1967"/>
      <c r="S193" s="1967"/>
      <c r="T193" s="1967"/>
      <c r="U193" s="1967"/>
      <c r="V193" s="1967"/>
      <c r="W193" s="1967"/>
      <c r="X193" s="1967"/>
      <c r="Y193" s="1983"/>
    </row>
    <row r="194" spans="1:25">
      <c r="A194" s="1971" t="str">
        <v>11 meses antes</v>
      </c>
      <c r="B194" s="1967"/>
      <c r="C194" s="592">
        <f t="array" aca="1" ref="C194:N194" ca="1">B24:M24*Produccion!$C$12</f>
        <v>0</v>
      </c>
      <c r="D194" s="592">
        <f ca="1"/>
        <v>0</v>
      </c>
      <c r="E194" s="592">
        <f ca="1"/>
        <v>0</v>
      </c>
      <c r="F194" s="592">
        <f ca="1"/>
        <v>0</v>
      </c>
      <c r="G194" s="592">
        <f ca="1"/>
        <v>0</v>
      </c>
      <c r="H194" s="592">
        <f ca="1"/>
        <v>0</v>
      </c>
      <c r="I194" s="592">
        <f ca="1"/>
        <v>0</v>
      </c>
      <c r="J194" s="592">
        <f ca="1"/>
        <v>0</v>
      </c>
      <c r="K194" s="592">
        <f ca="1"/>
        <v>0</v>
      </c>
      <c r="L194" s="592">
        <f ca="1"/>
        <v>0</v>
      </c>
      <c r="M194" s="592">
        <f ca="1"/>
        <v>0</v>
      </c>
      <c r="N194" s="592">
        <f ca="1"/>
        <v>0</v>
      </c>
      <c r="O194" s="1967"/>
      <c r="P194" s="1967"/>
      <c r="Q194" s="1967"/>
      <c r="R194" s="1967"/>
      <c r="S194" s="1967"/>
      <c r="T194" s="1967"/>
      <c r="U194" s="1967"/>
      <c r="V194" s="1967"/>
      <c r="W194" s="1967"/>
      <c r="X194" s="1967"/>
      <c r="Y194" s="1983"/>
    </row>
    <row r="195" spans="1:25" ht="13.5" thickBot="1">
      <c r="A195" s="1971" t="str">
        <v>12 meses antes</v>
      </c>
      <c r="B195" s="592">
        <f t="array" aca="1" ref="B195:M195" ca="1">B24:M24*Produccion!$B$12</f>
        <v>0</v>
      </c>
      <c r="C195" s="592">
        <f ca="1"/>
        <v>0</v>
      </c>
      <c r="D195" s="592">
        <f ca="1"/>
        <v>0</v>
      </c>
      <c r="E195" s="592">
        <f ca="1"/>
        <v>0</v>
      </c>
      <c r="F195" s="592">
        <f ca="1"/>
        <v>0</v>
      </c>
      <c r="G195" s="592">
        <f ca="1"/>
        <v>0</v>
      </c>
      <c r="H195" s="592">
        <f ca="1"/>
        <v>0</v>
      </c>
      <c r="I195" s="592">
        <f ca="1"/>
        <v>0</v>
      </c>
      <c r="J195" s="592">
        <f ca="1"/>
        <v>0</v>
      </c>
      <c r="K195" s="592">
        <f ca="1"/>
        <v>0</v>
      </c>
      <c r="L195" s="592">
        <f ca="1"/>
        <v>0</v>
      </c>
      <c r="M195" s="592">
        <f ca="1"/>
        <v>0</v>
      </c>
      <c r="N195" s="1967"/>
      <c r="O195" s="1967"/>
      <c r="P195" s="1967"/>
      <c r="Q195" s="1967"/>
      <c r="R195" s="1967"/>
      <c r="S195" s="1967"/>
      <c r="T195" s="1967"/>
      <c r="U195" s="1967"/>
      <c r="V195" s="1967"/>
      <c r="W195" s="1967"/>
      <c r="X195" s="1967"/>
      <c r="Y195" s="1983"/>
    </row>
    <row r="196" spans="1:25" ht="13.5" thickBot="1">
      <c r="A196" s="103" t="str">
        <f>"Totales CV "&amp;A$12</f>
        <v xml:space="preserve">Totales CV </v>
      </c>
      <c r="B196" s="596">
        <f t="shared" ref="B196:Y196" ca="1" si="15">SUM(B183:B195)</f>
        <v>0</v>
      </c>
      <c r="C196" s="596">
        <f t="shared" ca="1" si="15"/>
        <v>0</v>
      </c>
      <c r="D196" s="596">
        <f t="shared" ca="1" si="15"/>
        <v>0</v>
      </c>
      <c r="E196" s="596">
        <f t="shared" ca="1" si="15"/>
        <v>0</v>
      </c>
      <c r="F196" s="596">
        <f t="shared" ca="1" si="15"/>
        <v>0</v>
      </c>
      <c r="G196" s="596">
        <f t="shared" ca="1" si="15"/>
        <v>0</v>
      </c>
      <c r="H196" s="596">
        <f t="shared" ca="1" si="15"/>
        <v>0</v>
      </c>
      <c r="I196" s="596">
        <f t="shared" ca="1" si="15"/>
        <v>0</v>
      </c>
      <c r="J196" s="596">
        <f t="shared" ca="1" si="15"/>
        <v>0</v>
      </c>
      <c r="K196" s="596">
        <f t="shared" ca="1" si="15"/>
        <v>0</v>
      </c>
      <c r="L196" s="596">
        <f t="shared" ca="1" si="15"/>
        <v>0</v>
      </c>
      <c r="M196" s="596">
        <f t="shared" ca="1" si="15"/>
        <v>0</v>
      </c>
      <c r="N196" s="596">
        <f t="shared" ca="1" si="15"/>
        <v>0</v>
      </c>
      <c r="O196" s="596">
        <f t="shared" ca="1" si="15"/>
        <v>0</v>
      </c>
      <c r="P196" s="596">
        <f t="shared" ca="1" si="15"/>
        <v>0</v>
      </c>
      <c r="Q196" s="596">
        <f t="shared" ca="1" si="15"/>
        <v>0</v>
      </c>
      <c r="R196" s="596">
        <f t="shared" ca="1" si="15"/>
        <v>0</v>
      </c>
      <c r="S196" s="596">
        <f t="shared" ca="1" si="15"/>
        <v>0</v>
      </c>
      <c r="T196" s="596">
        <f t="shared" ca="1" si="15"/>
        <v>0</v>
      </c>
      <c r="U196" s="596">
        <f t="shared" ca="1" si="15"/>
        <v>0</v>
      </c>
      <c r="V196" s="596">
        <f t="shared" ca="1" si="15"/>
        <v>0</v>
      </c>
      <c r="W196" s="596">
        <f t="shared" ca="1" si="15"/>
        <v>0</v>
      </c>
      <c r="X196" s="596">
        <f t="shared" ca="1" si="15"/>
        <v>0</v>
      </c>
      <c r="Y196" s="1984">
        <f t="shared" ca="1" si="15"/>
        <v>0</v>
      </c>
    </row>
    <row r="197" spans="1:25" ht="13.5" thickBot="1">
      <c r="A197" s="103" t="str">
        <f>'Datos Básicos'!A28&amp;" sop. CV "&amp;$A$12</f>
        <v xml:space="preserve">IVA sop. CV </v>
      </c>
      <c r="B197" s="596">
        <f t="array" aca="1" ref="B197:Y197" ca="1">$K$181*B196:Y196</f>
        <v>0</v>
      </c>
      <c r="C197" s="596">
        <f ca="1"/>
        <v>0</v>
      </c>
      <c r="D197" s="596">
        <f ca="1"/>
        <v>0</v>
      </c>
      <c r="E197" s="596">
        <f ca="1"/>
        <v>0</v>
      </c>
      <c r="F197" s="596">
        <f ca="1"/>
        <v>0</v>
      </c>
      <c r="G197" s="596">
        <f ca="1"/>
        <v>0</v>
      </c>
      <c r="H197" s="596">
        <f ca="1"/>
        <v>0</v>
      </c>
      <c r="I197" s="596">
        <f ca="1"/>
        <v>0</v>
      </c>
      <c r="J197" s="596">
        <f ca="1"/>
        <v>0</v>
      </c>
      <c r="K197" s="596">
        <f ca="1"/>
        <v>0</v>
      </c>
      <c r="L197" s="596">
        <f ca="1"/>
        <v>0</v>
      </c>
      <c r="M197" s="596">
        <f ca="1"/>
        <v>0</v>
      </c>
      <c r="N197" s="596">
        <f ca="1"/>
        <v>0</v>
      </c>
      <c r="O197" s="596">
        <f ca="1"/>
        <v>0</v>
      </c>
      <c r="P197" s="596">
        <f ca="1"/>
        <v>0</v>
      </c>
      <c r="Q197" s="596">
        <f ca="1"/>
        <v>0</v>
      </c>
      <c r="R197" s="596">
        <f ca="1"/>
        <v>0</v>
      </c>
      <c r="S197" s="596">
        <f ca="1"/>
        <v>0</v>
      </c>
      <c r="T197" s="596">
        <f ca="1"/>
        <v>0</v>
      </c>
      <c r="U197" s="596">
        <f ca="1"/>
        <v>0</v>
      </c>
      <c r="V197" s="596">
        <f ca="1"/>
        <v>0</v>
      </c>
      <c r="W197" s="596">
        <f ca="1"/>
        <v>0</v>
      </c>
      <c r="X197" s="596">
        <f ca="1"/>
        <v>0</v>
      </c>
      <c r="Y197" s="1984">
        <f ca="1"/>
        <v>0</v>
      </c>
    </row>
    <row r="199" spans="1:25" ht="18.75" thickBot="1">
      <c r="A199" s="1969" t="str">
        <f>'Distr CV 0'!A199</f>
        <v xml:space="preserve">Compras / costes de producción por meses de </v>
      </c>
      <c r="I199" s="1969" t="str">
        <f>I$18</f>
        <v>IVA NO incluido</v>
      </c>
      <c r="K199" s="1981">
        <f>Parametros!$F$29</f>
        <v>0.21</v>
      </c>
    </row>
    <row r="200" spans="1:25" ht="33" customHeight="1" thickBot="1">
      <c r="A200" s="446" t="str">
        <f>A$110</f>
        <v>mes de compra / coste</v>
      </c>
      <c r="B200" s="1987" t="str">
        <f t="array" ref="B200:Y200">B$71:Y$71</f>
        <v>enero 
2030</v>
      </c>
      <c r="C200" s="1987" t="str">
        <v>febrero 
2030</v>
      </c>
      <c r="D200" s="1987" t="str">
        <v>marzo 
2030</v>
      </c>
      <c r="E200" s="1987" t="str">
        <v>abril 
2030</v>
      </c>
      <c r="F200" s="1987" t="str">
        <v>mayo 
2030</v>
      </c>
      <c r="G200" s="1987" t="str">
        <v>junio 
2030</v>
      </c>
      <c r="H200" s="1987" t="str">
        <v>julio 
2030</v>
      </c>
      <c r="I200" s="1987" t="str">
        <v>agosto 
2030</v>
      </c>
      <c r="J200" s="1987" t="str">
        <v>septiembre 
2030</v>
      </c>
      <c r="K200" s="1987" t="str">
        <v>octubre 
2030</v>
      </c>
      <c r="L200" s="1987" t="str">
        <v>noviembre 
2030</v>
      </c>
      <c r="M200" s="1987" t="str">
        <v>diciembre 
2030</v>
      </c>
      <c r="N200" s="2706" t="str">
        <v>enero 
2031</v>
      </c>
      <c r="O200" s="2707" t="str">
        <v>febrero 
2031</v>
      </c>
      <c r="P200" s="2707" t="str">
        <v>marzo 
2031</v>
      </c>
      <c r="Q200" s="2707" t="str">
        <v>abril 
2031</v>
      </c>
      <c r="R200" s="2707" t="str">
        <v>mayo 
2031</v>
      </c>
      <c r="S200" s="2707" t="str">
        <v>junio 
2031</v>
      </c>
      <c r="T200" s="2707" t="str">
        <v>julio 
2031</v>
      </c>
      <c r="U200" s="2707" t="str">
        <v>agosto 
2031</v>
      </c>
      <c r="V200" s="2707" t="str">
        <v>septiembre 
2031</v>
      </c>
      <c r="W200" s="2707" t="str">
        <v>octubre 
2031</v>
      </c>
      <c r="X200" s="2707" t="str">
        <v>noviembre 
2031</v>
      </c>
      <c r="Y200" s="2708" t="str">
        <v>diciembre 
2031</v>
      </c>
    </row>
    <row r="201" spans="1:25">
      <c r="A201" s="1970" t="str">
        <f t="array" ref="A201:A213">A$72:A$84</f>
        <v>mismo mes</v>
      </c>
      <c r="B201" s="1967"/>
      <c r="C201" s="1967"/>
      <c r="D201" s="1967"/>
      <c r="E201" s="1967"/>
      <c r="F201" s="1967"/>
      <c r="G201" s="1967"/>
      <c r="H201" s="1967"/>
      <c r="I201" s="1967"/>
      <c r="J201" s="1967"/>
      <c r="K201" s="1967"/>
      <c r="L201" s="1967"/>
      <c r="M201" s="1967"/>
      <c r="N201" s="592">
        <f t="array" aca="1" ref="N201:Y201" ca="1">B25:M25*Produccion!$N$13</f>
        <v>0</v>
      </c>
      <c r="O201" s="592">
        <f ca="1"/>
        <v>0</v>
      </c>
      <c r="P201" s="592">
        <f ca="1"/>
        <v>0</v>
      </c>
      <c r="Q201" s="592">
        <f ca="1"/>
        <v>0</v>
      </c>
      <c r="R201" s="592">
        <f ca="1"/>
        <v>0</v>
      </c>
      <c r="S201" s="592">
        <f ca="1"/>
        <v>0</v>
      </c>
      <c r="T201" s="592">
        <f ca="1"/>
        <v>0</v>
      </c>
      <c r="U201" s="592">
        <f ca="1"/>
        <v>0</v>
      </c>
      <c r="V201" s="592">
        <f ca="1"/>
        <v>0</v>
      </c>
      <c r="W201" s="592">
        <f ca="1"/>
        <v>0</v>
      </c>
      <c r="X201" s="592">
        <f ca="1"/>
        <v>0</v>
      </c>
      <c r="Y201" s="1982">
        <f ca="1"/>
        <v>0</v>
      </c>
    </row>
    <row r="202" spans="1:25">
      <c r="A202" s="1971" t="str">
        <v>1 mes antes</v>
      </c>
      <c r="B202" s="1967"/>
      <c r="C202" s="1967"/>
      <c r="D202" s="1967"/>
      <c r="E202" s="1967"/>
      <c r="F202" s="1967"/>
      <c r="G202" s="1967"/>
      <c r="H202" s="1967"/>
      <c r="I202" s="1967"/>
      <c r="J202" s="1967"/>
      <c r="K202" s="1967"/>
      <c r="L202" s="1967"/>
      <c r="M202" s="592">
        <f t="array" aca="1" ref="M202:X202" ca="1">B25:M25*Produccion!$M$13</f>
        <v>0</v>
      </c>
      <c r="N202" s="592">
        <f ca="1"/>
        <v>0</v>
      </c>
      <c r="O202" s="592">
        <f ca="1"/>
        <v>0</v>
      </c>
      <c r="P202" s="592">
        <f ca="1"/>
        <v>0</v>
      </c>
      <c r="Q202" s="592">
        <f ca="1"/>
        <v>0</v>
      </c>
      <c r="R202" s="592">
        <f ca="1"/>
        <v>0</v>
      </c>
      <c r="S202" s="592">
        <f ca="1"/>
        <v>0</v>
      </c>
      <c r="T202" s="592">
        <f ca="1"/>
        <v>0</v>
      </c>
      <c r="U202" s="592">
        <f ca="1"/>
        <v>0</v>
      </c>
      <c r="V202" s="592">
        <f ca="1"/>
        <v>0</v>
      </c>
      <c r="W202" s="592">
        <f ca="1"/>
        <v>0</v>
      </c>
      <c r="X202" s="592">
        <f ca="1"/>
        <v>0</v>
      </c>
      <c r="Y202" s="1983"/>
    </row>
    <row r="203" spans="1:25">
      <c r="A203" s="1971" t="str">
        <v>2 meses antes</v>
      </c>
      <c r="B203" s="1967"/>
      <c r="C203" s="1967"/>
      <c r="D203" s="1967"/>
      <c r="E203" s="1967"/>
      <c r="F203" s="1967"/>
      <c r="G203" s="1967"/>
      <c r="H203" s="1967"/>
      <c r="I203" s="1967"/>
      <c r="J203" s="1967"/>
      <c r="K203" s="1967"/>
      <c r="L203" s="592">
        <f t="array" aca="1" ref="L203:W203" ca="1">B25:M25*Produccion!$L$13</f>
        <v>0</v>
      </c>
      <c r="M203" s="592">
        <f ca="1"/>
        <v>0</v>
      </c>
      <c r="N203" s="592">
        <f ca="1"/>
        <v>0</v>
      </c>
      <c r="O203" s="592">
        <f ca="1"/>
        <v>0</v>
      </c>
      <c r="P203" s="592">
        <f ca="1"/>
        <v>0</v>
      </c>
      <c r="Q203" s="592">
        <f ca="1"/>
        <v>0</v>
      </c>
      <c r="R203" s="592">
        <f ca="1"/>
        <v>0</v>
      </c>
      <c r="S203" s="592">
        <f ca="1"/>
        <v>0</v>
      </c>
      <c r="T203" s="592">
        <f ca="1"/>
        <v>0</v>
      </c>
      <c r="U203" s="592">
        <f ca="1"/>
        <v>0</v>
      </c>
      <c r="V203" s="592">
        <f ca="1"/>
        <v>0</v>
      </c>
      <c r="W203" s="592">
        <f ca="1"/>
        <v>0</v>
      </c>
      <c r="X203" s="1967"/>
      <c r="Y203" s="1983"/>
    </row>
    <row r="204" spans="1:25">
      <c r="A204" s="1971" t="str">
        <v>3 meses antes</v>
      </c>
      <c r="B204" s="1967"/>
      <c r="C204" s="1967"/>
      <c r="D204" s="1967"/>
      <c r="E204" s="1967"/>
      <c r="F204" s="1967"/>
      <c r="G204" s="1967"/>
      <c r="H204" s="1967"/>
      <c r="I204" s="1967"/>
      <c r="J204" s="1967"/>
      <c r="K204" s="592">
        <f t="array" aca="1" ref="K204:V204" ca="1">B25:M25*Produccion!$K$13</f>
        <v>0</v>
      </c>
      <c r="L204" s="592">
        <f ca="1"/>
        <v>0</v>
      </c>
      <c r="M204" s="592">
        <f ca="1"/>
        <v>0</v>
      </c>
      <c r="N204" s="592">
        <f ca="1"/>
        <v>0</v>
      </c>
      <c r="O204" s="592">
        <f ca="1"/>
        <v>0</v>
      </c>
      <c r="P204" s="592">
        <f ca="1"/>
        <v>0</v>
      </c>
      <c r="Q204" s="592">
        <f ca="1"/>
        <v>0</v>
      </c>
      <c r="R204" s="592">
        <f ca="1"/>
        <v>0</v>
      </c>
      <c r="S204" s="592">
        <f ca="1"/>
        <v>0</v>
      </c>
      <c r="T204" s="592">
        <f ca="1"/>
        <v>0</v>
      </c>
      <c r="U204" s="592">
        <f ca="1"/>
        <v>0</v>
      </c>
      <c r="V204" s="592">
        <f ca="1"/>
        <v>0</v>
      </c>
      <c r="W204" s="1967"/>
      <c r="X204" s="1967"/>
      <c r="Y204" s="1983"/>
    </row>
    <row r="205" spans="1:25">
      <c r="A205" s="1971" t="str">
        <v>4 meses antes</v>
      </c>
      <c r="B205" s="1967"/>
      <c r="C205" s="1967"/>
      <c r="D205" s="1967"/>
      <c r="E205" s="1967"/>
      <c r="F205" s="1967"/>
      <c r="G205" s="1967"/>
      <c r="H205" s="1967"/>
      <c r="I205" s="1967"/>
      <c r="J205" s="592">
        <f t="array" aca="1" ref="J205:U205" ca="1">B25:M25*Produccion!$J$13</f>
        <v>0</v>
      </c>
      <c r="K205" s="592">
        <f ca="1"/>
        <v>0</v>
      </c>
      <c r="L205" s="592">
        <f ca="1"/>
        <v>0</v>
      </c>
      <c r="M205" s="592">
        <f ca="1"/>
        <v>0</v>
      </c>
      <c r="N205" s="592">
        <f ca="1"/>
        <v>0</v>
      </c>
      <c r="O205" s="592">
        <f ca="1"/>
        <v>0</v>
      </c>
      <c r="P205" s="592">
        <f ca="1"/>
        <v>0</v>
      </c>
      <c r="Q205" s="592">
        <f ca="1"/>
        <v>0</v>
      </c>
      <c r="R205" s="592">
        <f ca="1"/>
        <v>0</v>
      </c>
      <c r="S205" s="592">
        <f ca="1"/>
        <v>0</v>
      </c>
      <c r="T205" s="592">
        <f ca="1"/>
        <v>0</v>
      </c>
      <c r="U205" s="592">
        <f ca="1"/>
        <v>0</v>
      </c>
      <c r="V205" s="1967"/>
      <c r="W205" s="1967"/>
      <c r="X205" s="1967"/>
      <c r="Y205" s="1983"/>
    </row>
    <row r="206" spans="1:25">
      <c r="A206" s="1971" t="str">
        <v>5 meses antes</v>
      </c>
      <c r="B206" s="1967"/>
      <c r="C206" s="1967"/>
      <c r="D206" s="1967"/>
      <c r="E206" s="1967"/>
      <c r="F206" s="1967"/>
      <c r="G206" s="1967"/>
      <c r="H206" s="1967"/>
      <c r="I206" s="592">
        <f t="array" aca="1" ref="I206:T206" ca="1">B25:M25*Produccion!$I$13</f>
        <v>0</v>
      </c>
      <c r="J206" s="592">
        <f ca="1"/>
        <v>0</v>
      </c>
      <c r="K206" s="592">
        <f ca="1"/>
        <v>0</v>
      </c>
      <c r="L206" s="592">
        <f ca="1"/>
        <v>0</v>
      </c>
      <c r="M206" s="592">
        <f ca="1"/>
        <v>0</v>
      </c>
      <c r="N206" s="592">
        <f ca="1"/>
        <v>0</v>
      </c>
      <c r="O206" s="592">
        <f ca="1"/>
        <v>0</v>
      </c>
      <c r="P206" s="592">
        <f ca="1"/>
        <v>0</v>
      </c>
      <c r="Q206" s="592">
        <f ca="1"/>
        <v>0</v>
      </c>
      <c r="R206" s="592">
        <f ca="1"/>
        <v>0</v>
      </c>
      <c r="S206" s="592">
        <f ca="1"/>
        <v>0</v>
      </c>
      <c r="T206" s="592">
        <f ca="1"/>
        <v>0</v>
      </c>
      <c r="U206" s="1967"/>
      <c r="V206" s="1967"/>
      <c r="W206" s="1967"/>
      <c r="X206" s="1967"/>
      <c r="Y206" s="1983"/>
    </row>
    <row r="207" spans="1:25">
      <c r="A207" s="1971" t="str">
        <v>6 meses antes</v>
      </c>
      <c r="B207" s="1967"/>
      <c r="C207" s="1967"/>
      <c r="D207" s="1967"/>
      <c r="E207" s="1967"/>
      <c r="F207" s="1967"/>
      <c r="G207" s="1967"/>
      <c r="H207" s="592">
        <f t="array" aca="1" ref="H207:S207" ca="1">B25:M25*Produccion!$H$13</f>
        <v>0</v>
      </c>
      <c r="I207" s="592">
        <f ca="1"/>
        <v>0</v>
      </c>
      <c r="J207" s="592">
        <f ca="1"/>
        <v>0</v>
      </c>
      <c r="K207" s="592">
        <f ca="1"/>
        <v>0</v>
      </c>
      <c r="L207" s="592">
        <f ca="1"/>
        <v>0</v>
      </c>
      <c r="M207" s="592">
        <f ca="1"/>
        <v>0</v>
      </c>
      <c r="N207" s="592">
        <f ca="1"/>
        <v>0</v>
      </c>
      <c r="O207" s="592">
        <f ca="1"/>
        <v>0</v>
      </c>
      <c r="P207" s="592">
        <f ca="1"/>
        <v>0</v>
      </c>
      <c r="Q207" s="592">
        <f ca="1"/>
        <v>0</v>
      </c>
      <c r="R207" s="592">
        <f ca="1"/>
        <v>0</v>
      </c>
      <c r="S207" s="592">
        <f ca="1"/>
        <v>0</v>
      </c>
      <c r="T207" s="1967"/>
      <c r="U207" s="1967"/>
      <c r="V207" s="1967"/>
      <c r="W207" s="1967"/>
      <c r="X207" s="1967"/>
      <c r="Y207" s="1983"/>
    </row>
    <row r="208" spans="1:25">
      <c r="A208" s="1971" t="str">
        <v>7 meses antes</v>
      </c>
      <c r="B208" s="1967"/>
      <c r="C208" s="1967"/>
      <c r="D208" s="1967"/>
      <c r="E208" s="1967"/>
      <c r="F208" s="1967"/>
      <c r="G208" s="592">
        <f t="array" aca="1" ref="G208:R208" ca="1">B25:M25*Produccion!$G$13</f>
        <v>0</v>
      </c>
      <c r="H208" s="592">
        <f ca="1"/>
        <v>0</v>
      </c>
      <c r="I208" s="592">
        <f ca="1"/>
        <v>0</v>
      </c>
      <c r="J208" s="592">
        <f ca="1"/>
        <v>0</v>
      </c>
      <c r="K208" s="592">
        <f ca="1"/>
        <v>0</v>
      </c>
      <c r="L208" s="592">
        <f ca="1"/>
        <v>0</v>
      </c>
      <c r="M208" s="592">
        <f ca="1"/>
        <v>0</v>
      </c>
      <c r="N208" s="592">
        <f ca="1"/>
        <v>0</v>
      </c>
      <c r="O208" s="592">
        <f ca="1"/>
        <v>0</v>
      </c>
      <c r="P208" s="592">
        <f ca="1"/>
        <v>0</v>
      </c>
      <c r="Q208" s="592">
        <f ca="1"/>
        <v>0</v>
      </c>
      <c r="R208" s="592">
        <f ca="1"/>
        <v>0</v>
      </c>
      <c r="S208" s="1967"/>
      <c r="T208" s="1967"/>
      <c r="U208" s="1967"/>
      <c r="V208" s="1967"/>
      <c r="W208" s="1967"/>
      <c r="X208" s="1967"/>
      <c r="Y208" s="1983"/>
    </row>
    <row r="209" spans="1:25">
      <c r="A209" s="1971" t="str">
        <v>8 meses antes</v>
      </c>
      <c r="B209" s="1967"/>
      <c r="C209" s="1967"/>
      <c r="D209" s="1967"/>
      <c r="E209" s="1967"/>
      <c r="F209" s="592">
        <f t="array" aca="1" ref="F209:Q209" ca="1">B25:M25*Produccion!$F$13</f>
        <v>0</v>
      </c>
      <c r="G209" s="592">
        <f ca="1"/>
        <v>0</v>
      </c>
      <c r="H209" s="592">
        <f ca="1"/>
        <v>0</v>
      </c>
      <c r="I209" s="592">
        <f ca="1"/>
        <v>0</v>
      </c>
      <c r="J209" s="592">
        <f ca="1"/>
        <v>0</v>
      </c>
      <c r="K209" s="592">
        <f ca="1"/>
        <v>0</v>
      </c>
      <c r="L209" s="592">
        <f ca="1"/>
        <v>0</v>
      </c>
      <c r="M209" s="592">
        <f ca="1"/>
        <v>0</v>
      </c>
      <c r="N209" s="592">
        <f ca="1"/>
        <v>0</v>
      </c>
      <c r="O209" s="592">
        <f ca="1"/>
        <v>0</v>
      </c>
      <c r="P209" s="592">
        <f ca="1"/>
        <v>0</v>
      </c>
      <c r="Q209" s="592">
        <f ca="1"/>
        <v>0</v>
      </c>
      <c r="R209" s="1967"/>
      <c r="S209" s="1967"/>
      <c r="T209" s="1967"/>
      <c r="U209" s="1967"/>
      <c r="V209" s="1967"/>
      <c r="W209" s="1967"/>
      <c r="X209" s="1967"/>
      <c r="Y209" s="1983"/>
    </row>
    <row r="210" spans="1:25">
      <c r="A210" s="1971" t="str">
        <v>9 meses antes</v>
      </c>
      <c r="B210" s="1967"/>
      <c r="C210" s="1967"/>
      <c r="D210" s="1967"/>
      <c r="E210" s="592">
        <f t="array" aca="1" ref="E210:P210" ca="1">B25:M25*Produccion!$E$13</f>
        <v>0</v>
      </c>
      <c r="F210" s="592">
        <f ca="1"/>
        <v>0</v>
      </c>
      <c r="G210" s="592">
        <f ca="1"/>
        <v>0</v>
      </c>
      <c r="H210" s="592">
        <f ca="1"/>
        <v>0</v>
      </c>
      <c r="I210" s="592">
        <f ca="1"/>
        <v>0</v>
      </c>
      <c r="J210" s="592">
        <f ca="1"/>
        <v>0</v>
      </c>
      <c r="K210" s="592">
        <f ca="1"/>
        <v>0</v>
      </c>
      <c r="L210" s="592">
        <f ca="1"/>
        <v>0</v>
      </c>
      <c r="M210" s="592">
        <f ca="1"/>
        <v>0</v>
      </c>
      <c r="N210" s="592">
        <f ca="1"/>
        <v>0</v>
      </c>
      <c r="O210" s="592">
        <f ca="1"/>
        <v>0</v>
      </c>
      <c r="P210" s="592">
        <f ca="1"/>
        <v>0</v>
      </c>
      <c r="Q210" s="1967"/>
      <c r="R210" s="1967"/>
      <c r="S210" s="1967"/>
      <c r="T210" s="1967"/>
      <c r="U210" s="1967"/>
      <c r="V210" s="1967"/>
      <c r="W210" s="1967"/>
      <c r="X210" s="1967"/>
      <c r="Y210" s="1983"/>
    </row>
    <row r="211" spans="1:25">
      <c r="A211" s="1971" t="str">
        <v>10 meses antes</v>
      </c>
      <c r="B211" s="1967"/>
      <c r="C211" s="1967"/>
      <c r="D211" s="592">
        <f t="array" aca="1" ref="D211:O211" ca="1">B25:M25*Produccion!$D$13</f>
        <v>0</v>
      </c>
      <c r="E211" s="592">
        <f ca="1"/>
        <v>0</v>
      </c>
      <c r="F211" s="592">
        <f ca="1"/>
        <v>0</v>
      </c>
      <c r="G211" s="592">
        <f ca="1"/>
        <v>0</v>
      </c>
      <c r="H211" s="592">
        <f ca="1"/>
        <v>0</v>
      </c>
      <c r="I211" s="592">
        <f ca="1"/>
        <v>0</v>
      </c>
      <c r="J211" s="592">
        <f ca="1"/>
        <v>0</v>
      </c>
      <c r="K211" s="592">
        <f ca="1"/>
        <v>0</v>
      </c>
      <c r="L211" s="592">
        <f ca="1"/>
        <v>0</v>
      </c>
      <c r="M211" s="592">
        <f ca="1"/>
        <v>0</v>
      </c>
      <c r="N211" s="592">
        <f ca="1"/>
        <v>0</v>
      </c>
      <c r="O211" s="592">
        <f ca="1"/>
        <v>0</v>
      </c>
      <c r="P211" s="1967"/>
      <c r="Q211" s="1967"/>
      <c r="R211" s="1967"/>
      <c r="S211" s="1967"/>
      <c r="T211" s="1967"/>
      <c r="U211" s="1967"/>
      <c r="V211" s="1967"/>
      <c r="W211" s="1967"/>
      <c r="X211" s="1967"/>
      <c r="Y211" s="1983"/>
    </row>
    <row r="212" spans="1:25">
      <c r="A212" s="1971" t="str">
        <v>11 meses antes</v>
      </c>
      <c r="B212" s="1967"/>
      <c r="C212" s="592">
        <f t="array" aca="1" ref="C212:N212" ca="1">B25:M25*Produccion!$C$13</f>
        <v>0</v>
      </c>
      <c r="D212" s="592">
        <f ca="1"/>
        <v>0</v>
      </c>
      <c r="E212" s="592">
        <f ca="1"/>
        <v>0</v>
      </c>
      <c r="F212" s="592">
        <f ca="1"/>
        <v>0</v>
      </c>
      <c r="G212" s="592">
        <f ca="1"/>
        <v>0</v>
      </c>
      <c r="H212" s="592">
        <f ca="1"/>
        <v>0</v>
      </c>
      <c r="I212" s="592">
        <f ca="1"/>
        <v>0</v>
      </c>
      <c r="J212" s="592">
        <f ca="1"/>
        <v>0</v>
      </c>
      <c r="K212" s="592">
        <f ca="1"/>
        <v>0</v>
      </c>
      <c r="L212" s="592">
        <f ca="1"/>
        <v>0</v>
      </c>
      <c r="M212" s="592">
        <f ca="1"/>
        <v>0</v>
      </c>
      <c r="N212" s="592">
        <f ca="1"/>
        <v>0</v>
      </c>
      <c r="O212" s="1967"/>
      <c r="P212" s="1967"/>
      <c r="Q212" s="1967"/>
      <c r="R212" s="1967"/>
      <c r="S212" s="1967"/>
      <c r="T212" s="1967"/>
      <c r="U212" s="1967"/>
      <c r="V212" s="1967"/>
      <c r="W212" s="1967"/>
      <c r="X212" s="1967"/>
      <c r="Y212" s="1983"/>
    </row>
    <row r="213" spans="1:25" ht="13.5" thickBot="1">
      <c r="A213" s="1971" t="str">
        <v>12 meses antes</v>
      </c>
      <c r="B213" s="592">
        <f t="array" aca="1" ref="B213:M213" ca="1">B25:M25*Produccion!$B$13</f>
        <v>0</v>
      </c>
      <c r="C213" s="592">
        <f ca="1"/>
        <v>0</v>
      </c>
      <c r="D213" s="592">
        <f ca="1"/>
        <v>0</v>
      </c>
      <c r="E213" s="592">
        <f ca="1"/>
        <v>0</v>
      </c>
      <c r="F213" s="592">
        <f ca="1"/>
        <v>0</v>
      </c>
      <c r="G213" s="592">
        <f ca="1"/>
        <v>0</v>
      </c>
      <c r="H213" s="592">
        <f ca="1"/>
        <v>0</v>
      </c>
      <c r="I213" s="592">
        <f ca="1"/>
        <v>0</v>
      </c>
      <c r="J213" s="592">
        <f ca="1"/>
        <v>0</v>
      </c>
      <c r="K213" s="592">
        <f ca="1"/>
        <v>0</v>
      </c>
      <c r="L213" s="592">
        <f ca="1"/>
        <v>0</v>
      </c>
      <c r="M213" s="592">
        <f ca="1"/>
        <v>0</v>
      </c>
      <c r="N213" s="1967"/>
      <c r="O213" s="1967"/>
      <c r="P213" s="1967"/>
      <c r="Q213" s="1967"/>
      <c r="R213" s="1967"/>
      <c r="S213" s="1967"/>
      <c r="T213" s="1967"/>
      <c r="U213" s="1967"/>
      <c r="V213" s="1967"/>
      <c r="W213" s="1967"/>
      <c r="X213" s="1967"/>
      <c r="Y213" s="1983"/>
    </row>
    <row r="214" spans="1:25" ht="13.5" thickBot="1">
      <c r="A214" s="103" t="str">
        <f>"Totales CV "&amp;A$13</f>
        <v xml:space="preserve">Totales CV </v>
      </c>
      <c r="B214" s="596">
        <f t="shared" ref="B214:Y214" ca="1" si="16">SUM(B201:B213)</f>
        <v>0</v>
      </c>
      <c r="C214" s="596">
        <f t="shared" ca="1" si="16"/>
        <v>0</v>
      </c>
      <c r="D214" s="596">
        <f t="shared" ca="1" si="16"/>
        <v>0</v>
      </c>
      <c r="E214" s="596">
        <f t="shared" ca="1" si="16"/>
        <v>0</v>
      </c>
      <c r="F214" s="596">
        <f t="shared" ca="1" si="16"/>
        <v>0</v>
      </c>
      <c r="G214" s="596">
        <f t="shared" ca="1" si="16"/>
        <v>0</v>
      </c>
      <c r="H214" s="596">
        <f t="shared" ca="1" si="16"/>
        <v>0</v>
      </c>
      <c r="I214" s="596">
        <f t="shared" ca="1" si="16"/>
        <v>0</v>
      </c>
      <c r="J214" s="596">
        <f t="shared" ca="1" si="16"/>
        <v>0</v>
      </c>
      <c r="K214" s="596">
        <f t="shared" ca="1" si="16"/>
        <v>0</v>
      </c>
      <c r="L214" s="596">
        <f t="shared" ca="1" si="16"/>
        <v>0</v>
      </c>
      <c r="M214" s="596">
        <f t="shared" ca="1" si="16"/>
        <v>0</v>
      </c>
      <c r="N214" s="596">
        <f t="shared" ca="1" si="16"/>
        <v>0</v>
      </c>
      <c r="O214" s="596">
        <f t="shared" ca="1" si="16"/>
        <v>0</v>
      </c>
      <c r="P214" s="596">
        <f t="shared" ca="1" si="16"/>
        <v>0</v>
      </c>
      <c r="Q214" s="596">
        <f t="shared" ca="1" si="16"/>
        <v>0</v>
      </c>
      <c r="R214" s="596">
        <f t="shared" ca="1" si="16"/>
        <v>0</v>
      </c>
      <c r="S214" s="596">
        <f t="shared" ca="1" si="16"/>
        <v>0</v>
      </c>
      <c r="T214" s="596">
        <f t="shared" ca="1" si="16"/>
        <v>0</v>
      </c>
      <c r="U214" s="596">
        <f t="shared" ca="1" si="16"/>
        <v>0</v>
      </c>
      <c r="V214" s="596">
        <f t="shared" ca="1" si="16"/>
        <v>0</v>
      </c>
      <c r="W214" s="596">
        <f t="shared" ca="1" si="16"/>
        <v>0</v>
      </c>
      <c r="X214" s="596">
        <f t="shared" ca="1" si="16"/>
        <v>0</v>
      </c>
      <c r="Y214" s="1984">
        <f t="shared" ca="1" si="16"/>
        <v>0</v>
      </c>
    </row>
    <row r="215" spans="1:25" ht="13.5" thickBot="1">
      <c r="A215" s="103" t="str">
        <f>'Datos Básicos'!A28&amp;" sop. CV "&amp;$A$13</f>
        <v xml:space="preserve">IVA sop. CV </v>
      </c>
      <c r="B215" s="596">
        <f t="array" aca="1" ref="B215:Y215" ca="1">$K$199*B214:Y214</f>
        <v>0</v>
      </c>
      <c r="C215" s="596">
        <f ca="1"/>
        <v>0</v>
      </c>
      <c r="D215" s="596">
        <f ca="1"/>
        <v>0</v>
      </c>
      <c r="E215" s="596">
        <f ca="1"/>
        <v>0</v>
      </c>
      <c r="F215" s="596">
        <f ca="1"/>
        <v>0</v>
      </c>
      <c r="G215" s="596">
        <f ca="1"/>
        <v>0</v>
      </c>
      <c r="H215" s="596">
        <f ca="1"/>
        <v>0</v>
      </c>
      <c r="I215" s="596">
        <f ca="1"/>
        <v>0</v>
      </c>
      <c r="J215" s="596">
        <f ca="1"/>
        <v>0</v>
      </c>
      <c r="K215" s="596">
        <f ca="1"/>
        <v>0</v>
      </c>
      <c r="L215" s="596">
        <f ca="1"/>
        <v>0</v>
      </c>
      <c r="M215" s="596">
        <f ca="1"/>
        <v>0</v>
      </c>
      <c r="N215" s="596">
        <f ca="1"/>
        <v>0</v>
      </c>
      <c r="O215" s="596">
        <f ca="1"/>
        <v>0</v>
      </c>
      <c r="P215" s="596">
        <f ca="1"/>
        <v>0</v>
      </c>
      <c r="Q215" s="596">
        <f ca="1"/>
        <v>0</v>
      </c>
      <c r="R215" s="596">
        <f ca="1"/>
        <v>0</v>
      </c>
      <c r="S215" s="596">
        <f ca="1"/>
        <v>0</v>
      </c>
      <c r="T215" s="596">
        <f ca="1"/>
        <v>0</v>
      </c>
      <c r="U215" s="596">
        <f ca="1"/>
        <v>0</v>
      </c>
      <c r="V215" s="596">
        <f ca="1"/>
        <v>0</v>
      </c>
      <c r="W215" s="596">
        <f ca="1"/>
        <v>0</v>
      </c>
      <c r="X215" s="596">
        <f ca="1"/>
        <v>0</v>
      </c>
      <c r="Y215" s="1984">
        <f ca="1"/>
        <v>0</v>
      </c>
    </row>
    <row r="217" spans="1:25" ht="18.75" thickBot="1">
      <c r="A217" s="1969" t="str">
        <f>'Distr CV 0'!A217</f>
        <v xml:space="preserve">Compras / costes de producción por meses de </v>
      </c>
      <c r="I217" s="1969" t="str">
        <f>I$18</f>
        <v>IVA NO incluido</v>
      </c>
      <c r="K217" s="1981">
        <f>Parametros!$F$30</f>
        <v>0.21</v>
      </c>
    </row>
    <row r="218" spans="1:25" ht="33" customHeight="1" thickBot="1">
      <c r="A218" s="446" t="str">
        <f>A$110</f>
        <v>mes de compra / coste</v>
      </c>
      <c r="B218" s="1987" t="str">
        <f t="array" ref="B218:Y218">B$71:Y$71</f>
        <v>enero 
2030</v>
      </c>
      <c r="C218" s="1987" t="str">
        <v>febrero 
2030</v>
      </c>
      <c r="D218" s="1987" t="str">
        <v>marzo 
2030</v>
      </c>
      <c r="E218" s="1987" t="str">
        <v>abril 
2030</v>
      </c>
      <c r="F218" s="1987" t="str">
        <v>mayo 
2030</v>
      </c>
      <c r="G218" s="1987" t="str">
        <v>junio 
2030</v>
      </c>
      <c r="H218" s="1987" t="str">
        <v>julio 
2030</v>
      </c>
      <c r="I218" s="1987" t="str">
        <v>agosto 
2030</v>
      </c>
      <c r="J218" s="1987" t="str">
        <v>septiembre 
2030</v>
      </c>
      <c r="K218" s="1987" t="str">
        <v>octubre 
2030</v>
      </c>
      <c r="L218" s="1987" t="str">
        <v>noviembre 
2030</v>
      </c>
      <c r="M218" s="1987" t="str">
        <v>diciembre 
2030</v>
      </c>
      <c r="N218" s="2706" t="str">
        <v>enero 
2031</v>
      </c>
      <c r="O218" s="2707" t="str">
        <v>febrero 
2031</v>
      </c>
      <c r="P218" s="2707" t="str">
        <v>marzo 
2031</v>
      </c>
      <c r="Q218" s="2707" t="str">
        <v>abril 
2031</v>
      </c>
      <c r="R218" s="2707" t="str">
        <v>mayo 
2031</v>
      </c>
      <c r="S218" s="2707" t="str">
        <v>junio 
2031</v>
      </c>
      <c r="T218" s="2707" t="str">
        <v>julio 
2031</v>
      </c>
      <c r="U218" s="2707" t="str">
        <v>agosto 
2031</v>
      </c>
      <c r="V218" s="2707" t="str">
        <v>septiembre 
2031</v>
      </c>
      <c r="W218" s="2707" t="str">
        <v>octubre 
2031</v>
      </c>
      <c r="X218" s="2707" t="str">
        <v>noviembre 
2031</v>
      </c>
      <c r="Y218" s="2708" t="str">
        <v>diciembre 
2031</v>
      </c>
    </row>
    <row r="219" spans="1:25">
      <c r="A219" s="1970" t="str">
        <f t="array" ref="A219:A231">A$72:A$84</f>
        <v>mismo mes</v>
      </c>
      <c r="B219" s="1967"/>
      <c r="C219" s="1967"/>
      <c r="D219" s="1967"/>
      <c r="E219" s="1967"/>
      <c r="F219" s="1967"/>
      <c r="G219" s="1967"/>
      <c r="H219" s="1967"/>
      <c r="I219" s="1967"/>
      <c r="J219" s="1967"/>
      <c r="K219" s="1967"/>
      <c r="L219" s="1967"/>
      <c r="M219" s="1967"/>
      <c r="N219" s="592">
        <f t="array" aca="1" ref="N219:Y219" ca="1">B26:M26*Produccion!$N$14</f>
        <v>0</v>
      </c>
      <c r="O219" s="592">
        <f ca="1"/>
        <v>0</v>
      </c>
      <c r="P219" s="592">
        <f ca="1"/>
        <v>0</v>
      </c>
      <c r="Q219" s="592">
        <f ca="1"/>
        <v>0</v>
      </c>
      <c r="R219" s="592">
        <f ca="1"/>
        <v>0</v>
      </c>
      <c r="S219" s="592">
        <f ca="1"/>
        <v>0</v>
      </c>
      <c r="T219" s="592">
        <f ca="1"/>
        <v>0</v>
      </c>
      <c r="U219" s="592">
        <f ca="1"/>
        <v>0</v>
      </c>
      <c r="V219" s="592">
        <f ca="1"/>
        <v>0</v>
      </c>
      <c r="W219" s="592">
        <f ca="1"/>
        <v>0</v>
      </c>
      <c r="X219" s="592">
        <f ca="1"/>
        <v>0</v>
      </c>
      <c r="Y219" s="1982">
        <f ca="1"/>
        <v>0</v>
      </c>
    </row>
    <row r="220" spans="1:25">
      <c r="A220" s="1971" t="str">
        <v>1 mes antes</v>
      </c>
      <c r="B220" s="1967"/>
      <c r="C220" s="1967"/>
      <c r="D220" s="1967"/>
      <c r="E220" s="1967"/>
      <c r="F220" s="1967"/>
      <c r="G220" s="1967"/>
      <c r="H220" s="1967"/>
      <c r="I220" s="1967"/>
      <c r="J220" s="1967"/>
      <c r="K220" s="1967"/>
      <c r="L220" s="1967"/>
      <c r="M220" s="592">
        <f t="array" aca="1" ref="M220:X220" ca="1">B26:M26*Produccion!$M$14</f>
        <v>0</v>
      </c>
      <c r="N220" s="592">
        <f ca="1"/>
        <v>0</v>
      </c>
      <c r="O220" s="592">
        <f ca="1"/>
        <v>0</v>
      </c>
      <c r="P220" s="592">
        <f ca="1"/>
        <v>0</v>
      </c>
      <c r="Q220" s="592">
        <f ca="1"/>
        <v>0</v>
      </c>
      <c r="R220" s="592">
        <f ca="1"/>
        <v>0</v>
      </c>
      <c r="S220" s="592">
        <f ca="1"/>
        <v>0</v>
      </c>
      <c r="T220" s="592">
        <f ca="1"/>
        <v>0</v>
      </c>
      <c r="U220" s="592">
        <f ca="1"/>
        <v>0</v>
      </c>
      <c r="V220" s="592">
        <f ca="1"/>
        <v>0</v>
      </c>
      <c r="W220" s="592">
        <f ca="1"/>
        <v>0</v>
      </c>
      <c r="X220" s="592">
        <f ca="1"/>
        <v>0</v>
      </c>
      <c r="Y220" s="1983"/>
    </row>
    <row r="221" spans="1:25">
      <c r="A221" s="1971" t="str">
        <v>2 meses antes</v>
      </c>
      <c r="B221" s="1967"/>
      <c r="C221" s="1967"/>
      <c r="D221" s="1967"/>
      <c r="E221" s="1967"/>
      <c r="F221" s="1967"/>
      <c r="G221" s="1967"/>
      <c r="H221" s="1967"/>
      <c r="I221" s="1967"/>
      <c r="J221" s="1967"/>
      <c r="K221" s="1967"/>
      <c r="L221" s="592">
        <f t="array" aca="1" ref="L221:W221" ca="1">B26:M26*Produccion!$L$14</f>
        <v>0</v>
      </c>
      <c r="M221" s="592">
        <f ca="1"/>
        <v>0</v>
      </c>
      <c r="N221" s="592">
        <f ca="1"/>
        <v>0</v>
      </c>
      <c r="O221" s="592">
        <f ca="1"/>
        <v>0</v>
      </c>
      <c r="P221" s="592">
        <f ca="1"/>
        <v>0</v>
      </c>
      <c r="Q221" s="592">
        <f ca="1"/>
        <v>0</v>
      </c>
      <c r="R221" s="592">
        <f ca="1"/>
        <v>0</v>
      </c>
      <c r="S221" s="592">
        <f ca="1"/>
        <v>0</v>
      </c>
      <c r="T221" s="592">
        <f ca="1"/>
        <v>0</v>
      </c>
      <c r="U221" s="592">
        <f ca="1"/>
        <v>0</v>
      </c>
      <c r="V221" s="592">
        <f ca="1"/>
        <v>0</v>
      </c>
      <c r="W221" s="592">
        <f ca="1"/>
        <v>0</v>
      </c>
      <c r="X221" s="1967"/>
      <c r="Y221" s="1983"/>
    </row>
    <row r="222" spans="1:25">
      <c r="A222" s="1971" t="str">
        <v>3 meses antes</v>
      </c>
      <c r="B222" s="1967"/>
      <c r="C222" s="1967"/>
      <c r="D222" s="1967"/>
      <c r="E222" s="1967"/>
      <c r="F222" s="1967"/>
      <c r="G222" s="1967"/>
      <c r="H222" s="1967"/>
      <c r="I222" s="1967"/>
      <c r="J222" s="1967"/>
      <c r="K222" s="592">
        <f t="array" aca="1" ref="K222:V222" ca="1">B26:M26*Produccion!$K$14</f>
        <v>0</v>
      </c>
      <c r="L222" s="592">
        <f ca="1"/>
        <v>0</v>
      </c>
      <c r="M222" s="592">
        <f ca="1"/>
        <v>0</v>
      </c>
      <c r="N222" s="592">
        <f ca="1"/>
        <v>0</v>
      </c>
      <c r="O222" s="592">
        <f ca="1"/>
        <v>0</v>
      </c>
      <c r="P222" s="592">
        <f ca="1"/>
        <v>0</v>
      </c>
      <c r="Q222" s="592">
        <f ca="1"/>
        <v>0</v>
      </c>
      <c r="R222" s="592">
        <f ca="1"/>
        <v>0</v>
      </c>
      <c r="S222" s="592">
        <f ca="1"/>
        <v>0</v>
      </c>
      <c r="T222" s="592">
        <f ca="1"/>
        <v>0</v>
      </c>
      <c r="U222" s="592">
        <f ca="1"/>
        <v>0</v>
      </c>
      <c r="V222" s="592">
        <f ca="1"/>
        <v>0</v>
      </c>
      <c r="W222" s="1967"/>
      <c r="X222" s="1967"/>
      <c r="Y222" s="1983"/>
    </row>
    <row r="223" spans="1:25">
      <c r="A223" s="1971" t="str">
        <v>4 meses antes</v>
      </c>
      <c r="B223" s="1967"/>
      <c r="C223" s="1967"/>
      <c r="D223" s="1967"/>
      <c r="E223" s="1967"/>
      <c r="F223" s="1967"/>
      <c r="G223" s="1967"/>
      <c r="H223" s="1967"/>
      <c r="I223" s="1967"/>
      <c r="J223" s="592">
        <f t="array" aca="1" ref="J223:U223" ca="1">B26:M26*Produccion!$J$14</f>
        <v>0</v>
      </c>
      <c r="K223" s="592">
        <f ca="1"/>
        <v>0</v>
      </c>
      <c r="L223" s="592">
        <f ca="1"/>
        <v>0</v>
      </c>
      <c r="M223" s="592">
        <f ca="1"/>
        <v>0</v>
      </c>
      <c r="N223" s="592">
        <f ca="1"/>
        <v>0</v>
      </c>
      <c r="O223" s="592">
        <f ca="1"/>
        <v>0</v>
      </c>
      <c r="P223" s="592">
        <f ca="1"/>
        <v>0</v>
      </c>
      <c r="Q223" s="592">
        <f ca="1"/>
        <v>0</v>
      </c>
      <c r="R223" s="592">
        <f ca="1"/>
        <v>0</v>
      </c>
      <c r="S223" s="592">
        <f ca="1"/>
        <v>0</v>
      </c>
      <c r="T223" s="592">
        <f ca="1"/>
        <v>0</v>
      </c>
      <c r="U223" s="592">
        <f ca="1"/>
        <v>0</v>
      </c>
      <c r="V223" s="1967"/>
      <c r="W223" s="1967"/>
      <c r="X223" s="1967"/>
      <c r="Y223" s="1983"/>
    </row>
    <row r="224" spans="1:25">
      <c r="A224" s="1971" t="str">
        <v>5 meses antes</v>
      </c>
      <c r="B224" s="1967"/>
      <c r="C224" s="1967"/>
      <c r="D224" s="1967"/>
      <c r="E224" s="1967"/>
      <c r="F224" s="1967"/>
      <c r="G224" s="1967"/>
      <c r="H224" s="1967"/>
      <c r="I224" s="592">
        <f t="array" aca="1" ref="I224:T224" ca="1">B26:M26*Produccion!$I$14</f>
        <v>0</v>
      </c>
      <c r="J224" s="592">
        <f ca="1"/>
        <v>0</v>
      </c>
      <c r="K224" s="592">
        <f ca="1"/>
        <v>0</v>
      </c>
      <c r="L224" s="592">
        <f ca="1"/>
        <v>0</v>
      </c>
      <c r="M224" s="592">
        <f ca="1"/>
        <v>0</v>
      </c>
      <c r="N224" s="592">
        <f ca="1"/>
        <v>0</v>
      </c>
      <c r="O224" s="592">
        <f ca="1"/>
        <v>0</v>
      </c>
      <c r="P224" s="592">
        <f ca="1"/>
        <v>0</v>
      </c>
      <c r="Q224" s="592">
        <f ca="1"/>
        <v>0</v>
      </c>
      <c r="R224" s="592">
        <f ca="1"/>
        <v>0</v>
      </c>
      <c r="S224" s="592">
        <f ca="1"/>
        <v>0</v>
      </c>
      <c r="T224" s="592">
        <f ca="1"/>
        <v>0</v>
      </c>
      <c r="U224" s="1967"/>
      <c r="V224" s="1967"/>
      <c r="W224" s="1967"/>
      <c r="X224" s="1967"/>
      <c r="Y224" s="1983"/>
    </row>
    <row r="225" spans="1:25">
      <c r="A225" s="1971" t="str">
        <v>6 meses antes</v>
      </c>
      <c r="B225" s="1967"/>
      <c r="C225" s="1967"/>
      <c r="D225" s="1967"/>
      <c r="E225" s="1967"/>
      <c r="F225" s="1967"/>
      <c r="G225" s="1967"/>
      <c r="H225" s="592">
        <f t="array" aca="1" ref="H225:S225" ca="1">B26:M26*Produccion!$H$14</f>
        <v>0</v>
      </c>
      <c r="I225" s="592">
        <f ca="1"/>
        <v>0</v>
      </c>
      <c r="J225" s="592">
        <f ca="1"/>
        <v>0</v>
      </c>
      <c r="K225" s="592">
        <f ca="1"/>
        <v>0</v>
      </c>
      <c r="L225" s="592">
        <f ca="1"/>
        <v>0</v>
      </c>
      <c r="M225" s="592">
        <f ca="1"/>
        <v>0</v>
      </c>
      <c r="N225" s="592">
        <f ca="1"/>
        <v>0</v>
      </c>
      <c r="O225" s="592">
        <f ca="1"/>
        <v>0</v>
      </c>
      <c r="P225" s="592">
        <f ca="1"/>
        <v>0</v>
      </c>
      <c r="Q225" s="592">
        <f ca="1"/>
        <v>0</v>
      </c>
      <c r="R225" s="592">
        <f ca="1"/>
        <v>0</v>
      </c>
      <c r="S225" s="592">
        <f ca="1"/>
        <v>0</v>
      </c>
      <c r="T225" s="1967"/>
      <c r="U225" s="1967"/>
      <c r="V225" s="1967"/>
      <c r="W225" s="1967"/>
      <c r="X225" s="1967"/>
      <c r="Y225" s="1983"/>
    </row>
    <row r="226" spans="1:25">
      <c r="A226" s="1971" t="str">
        <v>7 meses antes</v>
      </c>
      <c r="B226" s="1967"/>
      <c r="C226" s="1967"/>
      <c r="D226" s="1967"/>
      <c r="E226" s="1967"/>
      <c r="F226" s="1967"/>
      <c r="G226" s="592">
        <f t="array" aca="1" ref="G226:R226" ca="1">B26:M26*Produccion!$G$14</f>
        <v>0</v>
      </c>
      <c r="H226" s="592">
        <f ca="1"/>
        <v>0</v>
      </c>
      <c r="I226" s="592">
        <f ca="1"/>
        <v>0</v>
      </c>
      <c r="J226" s="592">
        <f ca="1"/>
        <v>0</v>
      </c>
      <c r="K226" s="592">
        <f ca="1"/>
        <v>0</v>
      </c>
      <c r="L226" s="592">
        <f ca="1"/>
        <v>0</v>
      </c>
      <c r="M226" s="592">
        <f ca="1"/>
        <v>0</v>
      </c>
      <c r="N226" s="592">
        <f ca="1"/>
        <v>0</v>
      </c>
      <c r="O226" s="592">
        <f ca="1"/>
        <v>0</v>
      </c>
      <c r="P226" s="592">
        <f ca="1"/>
        <v>0</v>
      </c>
      <c r="Q226" s="592">
        <f ca="1"/>
        <v>0</v>
      </c>
      <c r="R226" s="592">
        <f ca="1"/>
        <v>0</v>
      </c>
      <c r="S226" s="1967"/>
      <c r="T226" s="1967"/>
      <c r="U226" s="1967"/>
      <c r="V226" s="1967"/>
      <c r="W226" s="1967"/>
      <c r="X226" s="1967"/>
      <c r="Y226" s="1983"/>
    </row>
    <row r="227" spans="1:25">
      <c r="A227" s="1971" t="str">
        <v>8 meses antes</v>
      </c>
      <c r="B227" s="1967"/>
      <c r="C227" s="1967"/>
      <c r="D227" s="1967"/>
      <c r="E227" s="1967"/>
      <c r="F227" s="592">
        <f t="array" aca="1" ref="F227:Q227" ca="1">B26:M26*Produccion!$F$14</f>
        <v>0</v>
      </c>
      <c r="G227" s="592">
        <f ca="1"/>
        <v>0</v>
      </c>
      <c r="H227" s="592">
        <f ca="1"/>
        <v>0</v>
      </c>
      <c r="I227" s="592">
        <f ca="1"/>
        <v>0</v>
      </c>
      <c r="J227" s="592">
        <f ca="1"/>
        <v>0</v>
      </c>
      <c r="K227" s="592">
        <f ca="1"/>
        <v>0</v>
      </c>
      <c r="L227" s="592">
        <f ca="1"/>
        <v>0</v>
      </c>
      <c r="M227" s="592">
        <f ca="1"/>
        <v>0</v>
      </c>
      <c r="N227" s="592">
        <f ca="1"/>
        <v>0</v>
      </c>
      <c r="O227" s="592">
        <f ca="1"/>
        <v>0</v>
      </c>
      <c r="P227" s="592">
        <f ca="1"/>
        <v>0</v>
      </c>
      <c r="Q227" s="592">
        <f ca="1"/>
        <v>0</v>
      </c>
      <c r="R227" s="1967"/>
      <c r="S227" s="1967"/>
      <c r="T227" s="1967"/>
      <c r="U227" s="1967"/>
      <c r="V227" s="1967"/>
      <c r="W227" s="1967"/>
      <c r="X227" s="1967"/>
      <c r="Y227" s="1983"/>
    </row>
    <row r="228" spans="1:25">
      <c r="A228" s="1971" t="str">
        <v>9 meses antes</v>
      </c>
      <c r="B228" s="1967"/>
      <c r="C228" s="1967"/>
      <c r="D228" s="1967"/>
      <c r="E228" s="592">
        <f t="array" aca="1" ref="E228:P228" ca="1">B26:M26*Produccion!$E$14</f>
        <v>0</v>
      </c>
      <c r="F228" s="592">
        <f ca="1"/>
        <v>0</v>
      </c>
      <c r="G228" s="592">
        <f ca="1"/>
        <v>0</v>
      </c>
      <c r="H228" s="592">
        <f ca="1"/>
        <v>0</v>
      </c>
      <c r="I228" s="592">
        <f ca="1"/>
        <v>0</v>
      </c>
      <c r="J228" s="592">
        <f ca="1"/>
        <v>0</v>
      </c>
      <c r="K228" s="592">
        <f ca="1"/>
        <v>0</v>
      </c>
      <c r="L228" s="592">
        <f ca="1"/>
        <v>0</v>
      </c>
      <c r="M228" s="592">
        <f ca="1"/>
        <v>0</v>
      </c>
      <c r="N228" s="592">
        <f ca="1"/>
        <v>0</v>
      </c>
      <c r="O228" s="592">
        <f ca="1"/>
        <v>0</v>
      </c>
      <c r="P228" s="592">
        <f ca="1"/>
        <v>0</v>
      </c>
      <c r="Q228" s="1967"/>
      <c r="R228" s="1967"/>
      <c r="S228" s="1967"/>
      <c r="T228" s="1967"/>
      <c r="U228" s="1967"/>
      <c r="V228" s="1967"/>
      <c r="W228" s="1967"/>
      <c r="X228" s="1967"/>
      <c r="Y228" s="1983"/>
    </row>
    <row r="229" spans="1:25">
      <c r="A229" s="1971" t="str">
        <v>10 meses antes</v>
      </c>
      <c r="B229" s="1967"/>
      <c r="C229" s="1967"/>
      <c r="D229" s="592">
        <f t="array" aca="1" ref="D229:O229" ca="1">B26:M26*Produccion!$D$14</f>
        <v>0</v>
      </c>
      <c r="E229" s="592">
        <f ca="1"/>
        <v>0</v>
      </c>
      <c r="F229" s="592">
        <f ca="1"/>
        <v>0</v>
      </c>
      <c r="G229" s="592">
        <f ca="1"/>
        <v>0</v>
      </c>
      <c r="H229" s="592">
        <f ca="1"/>
        <v>0</v>
      </c>
      <c r="I229" s="592">
        <f ca="1"/>
        <v>0</v>
      </c>
      <c r="J229" s="592">
        <f ca="1"/>
        <v>0</v>
      </c>
      <c r="K229" s="592">
        <f ca="1"/>
        <v>0</v>
      </c>
      <c r="L229" s="592">
        <f ca="1"/>
        <v>0</v>
      </c>
      <c r="M229" s="592">
        <f ca="1"/>
        <v>0</v>
      </c>
      <c r="N229" s="592">
        <f ca="1"/>
        <v>0</v>
      </c>
      <c r="O229" s="592">
        <f ca="1"/>
        <v>0</v>
      </c>
      <c r="P229" s="1967"/>
      <c r="Q229" s="1967"/>
      <c r="R229" s="1967"/>
      <c r="S229" s="1967"/>
      <c r="T229" s="1967"/>
      <c r="U229" s="1967"/>
      <c r="V229" s="1967"/>
      <c r="W229" s="1967"/>
      <c r="X229" s="1967"/>
      <c r="Y229" s="1983"/>
    </row>
    <row r="230" spans="1:25">
      <c r="A230" s="1971" t="str">
        <v>11 meses antes</v>
      </c>
      <c r="B230" s="1967"/>
      <c r="C230" s="592">
        <f t="array" aca="1" ref="C230:N230" ca="1">B26:M26*Produccion!$C$14</f>
        <v>0</v>
      </c>
      <c r="D230" s="592">
        <f ca="1"/>
        <v>0</v>
      </c>
      <c r="E230" s="592">
        <f ca="1"/>
        <v>0</v>
      </c>
      <c r="F230" s="592">
        <f ca="1"/>
        <v>0</v>
      </c>
      <c r="G230" s="592">
        <f ca="1"/>
        <v>0</v>
      </c>
      <c r="H230" s="592">
        <f ca="1"/>
        <v>0</v>
      </c>
      <c r="I230" s="592">
        <f ca="1"/>
        <v>0</v>
      </c>
      <c r="J230" s="592">
        <f ca="1"/>
        <v>0</v>
      </c>
      <c r="K230" s="592">
        <f ca="1"/>
        <v>0</v>
      </c>
      <c r="L230" s="592">
        <f ca="1"/>
        <v>0</v>
      </c>
      <c r="M230" s="592">
        <f ca="1"/>
        <v>0</v>
      </c>
      <c r="N230" s="592">
        <f ca="1"/>
        <v>0</v>
      </c>
      <c r="O230" s="1967"/>
      <c r="P230" s="1967"/>
      <c r="Q230" s="1967"/>
      <c r="R230" s="1967"/>
      <c r="S230" s="1967"/>
      <c r="T230" s="1967"/>
      <c r="U230" s="1967"/>
      <c r="V230" s="1967"/>
      <c r="W230" s="1967"/>
      <c r="X230" s="1967"/>
      <c r="Y230" s="1983"/>
    </row>
    <row r="231" spans="1:25" ht="13.5" thickBot="1">
      <c r="A231" s="1971" t="str">
        <v>12 meses antes</v>
      </c>
      <c r="B231" s="592">
        <f t="array" aca="1" ref="B231:M231" ca="1">B26:M26*Produccion!$B$14</f>
        <v>0</v>
      </c>
      <c r="C231" s="592">
        <f ca="1"/>
        <v>0</v>
      </c>
      <c r="D231" s="592">
        <f ca="1"/>
        <v>0</v>
      </c>
      <c r="E231" s="592">
        <f ca="1"/>
        <v>0</v>
      </c>
      <c r="F231" s="592">
        <f ca="1"/>
        <v>0</v>
      </c>
      <c r="G231" s="592">
        <f ca="1"/>
        <v>0</v>
      </c>
      <c r="H231" s="592">
        <f ca="1"/>
        <v>0</v>
      </c>
      <c r="I231" s="592">
        <f ca="1"/>
        <v>0</v>
      </c>
      <c r="J231" s="592">
        <f ca="1"/>
        <v>0</v>
      </c>
      <c r="K231" s="592">
        <f ca="1"/>
        <v>0</v>
      </c>
      <c r="L231" s="592">
        <f ca="1"/>
        <v>0</v>
      </c>
      <c r="M231" s="592">
        <f ca="1"/>
        <v>0</v>
      </c>
      <c r="N231" s="1967"/>
      <c r="O231" s="1967"/>
      <c r="P231" s="1967"/>
      <c r="Q231" s="1967"/>
      <c r="R231" s="1967"/>
      <c r="S231" s="1967"/>
      <c r="T231" s="1967"/>
      <c r="U231" s="1967"/>
      <c r="V231" s="1967"/>
      <c r="W231" s="1967"/>
      <c r="X231" s="1967"/>
      <c r="Y231" s="1983"/>
    </row>
    <row r="232" spans="1:25" ht="13.5" thickBot="1">
      <c r="A232" s="103" t="str">
        <f>"Totales CV "&amp;A$14</f>
        <v xml:space="preserve">Totales CV </v>
      </c>
      <c r="B232" s="596">
        <f t="shared" ref="B232:Y232" ca="1" si="17">SUM(B219:B231)</f>
        <v>0</v>
      </c>
      <c r="C232" s="596">
        <f t="shared" ca="1" si="17"/>
        <v>0</v>
      </c>
      <c r="D232" s="596">
        <f t="shared" ca="1" si="17"/>
        <v>0</v>
      </c>
      <c r="E232" s="596">
        <f t="shared" ca="1" si="17"/>
        <v>0</v>
      </c>
      <c r="F232" s="596">
        <f t="shared" ca="1" si="17"/>
        <v>0</v>
      </c>
      <c r="G232" s="596">
        <f t="shared" ca="1" si="17"/>
        <v>0</v>
      </c>
      <c r="H232" s="596">
        <f t="shared" ca="1" si="17"/>
        <v>0</v>
      </c>
      <c r="I232" s="596">
        <f t="shared" ca="1" si="17"/>
        <v>0</v>
      </c>
      <c r="J232" s="596">
        <f t="shared" ca="1" si="17"/>
        <v>0</v>
      </c>
      <c r="K232" s="596">
        <f t="shared" ca="1" si="17"/>
        <v>0</v>
      </c>
      <c r="L232" s="596">
        <f t="shared" ca="1" si="17"/>
        <v>0</v>
      </c>
      <c r="M232" s="596">
        <f t="shared" ca="1" si="17"/>
        <v>0</v>
      </c>
      <c r="N232" s="596">
        <f t="shared" ca="1" si="17"/>
        <v>0</v>
      </c>
      <c r="O232" s="596">
        <f t="shared" ca="1" si="17"/>
        <v>0</v>
      </c>
      <c r="P232" s="596">
        <f t="shared" ca="1" si="17"/>
        <v>0</v>
      </c>
      <c r="Q232" s="596">
        <f t="shared" ca="1" si="17"/>
        <v>0</v>
      </c>
      <c r="R232" s="596">
        <f t="shared" ca="1" si="17"/>
        <v>0</v>
      </c>
      <c r="S232" s="596">
        <f t="shared" ca="1" si="17"/>
        <v>0</v>
      </c>
      <c r="T232" s="596">
        <f t="shared" ca="1" si="17"/>
        <v>0</v>
      </c>
      <c r="U232" s="596">
        <f t="shared" ca="1" si="17"/>
        <v>0</v>
      </c>
      <c r="V232" s="596">
        <f t="shared" ca="1" si="17"/>
        <v>0</v>
      </c>
      <c r="W232" s="596">
        <f t="shared" ca="1" si="17"/>
        <v>0</v>
      </c>
      <c r="X232" s="596">
        <f t="shared" ca="1" si="17"/>
        <v>0</v>
      </c>
      <c r="Y232" s="1984">
        <f t="shared" ca="1" si="17"/>
        <v>0</v>
      </c>
    </row>
    <row r="233" spans="1:25" ht="13.5" thickBot="1">
      <c r="A233" s="103" t="str">
        <f>'Datos Básicos'!A28&amp;" sop. CV "&amp;$A$14</f>
        <v xml:space="preserve">IVA sop. CV </v>
      </c>
      <c r="B233" s="596">
        <f t="array" aca="1" ref="B233:Y233" ca="1">$K$217*B232:Y232</f>
        <v>0</v>
      </c>
      <c r="C233" s="596">
        <f ca="1"/>
        <v>0</v>
      </c>
      <c r="D233" s="596">
        <f ca="1"/>
        <v>0</v>
      </c>
      <c r="E233" s="596">
        <f ca="1"/>
        <v>0</v>
      </c>
      <c r="F233" s="596">
        <f ca="1"/>
        <v>0</v>
      </c>
      <c r="G233" s="596">
        <f ca="1"/>
        <v>0</v>
      </c>
      <c r="H233" s="596">
        <f ca="1"/>
        <v>0</v>
      </c>
      <c r="I233" s="596">
        <f ca="1"/>
        <v>0</v>
      </c>
      <c r="J233" s="596">
        <f ca="1"/>
        <v>0</v>
      </c>
      <c r="K233" s="596">
        <f ca="1"/>
        <v>0</v>
      </c>
      <c r="L233" s="596">
        <f ca="1"/>
        <v>0</v>
      </c>
      <c r="M233" s="596">
        <f ca="1"/>
        <v>0</v>
      </c>
      <c r="N233" s="596">
        <f ca="1"/>
        <v>0</v>
      </c>
      <c r="O233" s="596">
        <f ca="1"/>
        <v>0</v>
      </c>
      <c r="P233" s="596">
        <f ca="1"/>
        <v>0</v>
      </c>
      <c r="Q233" s="596">
        <f ca="1"/>
        <v>0</v>
      </c>
      <c r="R233" s="596">
        <f ca="1"/>
        <v>0</v>
      </c>
      <c r="S233" s="596">
        <f ca="1"/>
        <v>0</v>
      </c>
      <c r="T233" s="596">
        <f ca="1"/>
        <v>0</v>
      </c>
      <c r="U233" s="596">
        <f ca="1"/>
        <v>0</v>
      </c>
      <c r="V233" s="596">
        <f ca="1"/>
        <v>0</v>
      </c>
      <c r="W233" s="596">
        <f ca="1"/>
        <v>0</v>
      </c>
      <c r="X233" s="596">
        <f ca="1"/>
        <v>0</v>
      </c>
      <c r="Y233" s="1984">
        <f ca="1"/>
        <v>0</v>
      </c>
    </row>
    <row r="235" spans="1:25" ht="18.75" thickBot="1">
      <c r="A235" s="1969" t="str">
        <f>'Distr CV 0'!A235</f>
        <v xml:space="preserve">Compras / costes de producción por meses de </v>
      </c>
      <c r="I235" s="1969" t="str">
        <f>I$18</f>
        <v>IVA NO incluido</v>
      </c>
      <c r="K235" s="1981">
        <f>Parametros!$F$31</f>
        <v>0.21</v>
      </c>
    </row>
    <row r="236" spans="1:25" ht="30" customHeight="1" thickBot="1">
      <c r="A236" s="446" t="str">
        <f>A$110</f>
        <v>mes de compra / coste</v>
      </c>
      <c r="B236" s="1987" t="str">
        <f t="array" ref="B236:Y236">B$71:Y$71</f>
        <v>enero 
2030</v>
      </c>
      <c r="C236" s="1987" t="str">
        <v>febrero 
2030</v>
      </c>
      <c r="D236" s="1987" t="str">
        <v>marzo 
2030</v>
      </c>
      <c r="E236" s="1987" t="str">
        <v>abril 
2030</v>
      </c>
      <c r="F236" s="1987" t="str">
        <v>mayo 
2030</v>
      </c>
      <c r="G236" s="1987" t="str">
        <v>junio 
2030</v>
      </c>
      <c r="H236" s="1987" t="str">
        <v>julio 
2030</v>
      </c>
      <c r="I236" s="1987" t="str">
        <v>agosto 
2030</v>
      </c>
      <c r="J236" s="1987" t="str">
        <v>septiembre 
2030</v>
      </c>
      <c r="K236" s="1987" t="str">
        <v>octubre 
2030</v>
      </c>
      <c r="L236" s="1987" t="str">
        <v>noviembre 
2030</v>
      </c>
      <c r="M236" s="1987" t="str">
        <v>diciembre 
2030</v>
      </c>
      <c r="N236" s="2706" t="str">
        <v>enero 
2031</v>
      </c>
      <c r="O236" s="2707" t="str">
        <v>febrero 
2031</v>
      </c>
      <c r="P236" s="2707" t="str">
        <v>marzo 
2031</v>
      </c>
      <c r="Q236" s="2707" t="str">
        <v>abril 
2031</v>
      </c>
      <c r="R236" s="2707" t="str">
        <v>mayo 
2031</v>
      </c>
      <c r="S236" s="2707" t="str">
        <v>junio 
2031</v>
      </c>
      <c r="T236" s="2707" t="str">
        <v>julio 
2031</v>
      </c>
      <c r="U236" s="2707" t="str">
        <v>agosto 
2031</v>
      </c>
      <c r="V236" s="2707" t="str">
        <v>septiembre 
2031</v>
      </c>
      <c r="W236" s="2707" t="str">
        <v>octubre 
2031</v>
      </c>
      <c r="X236" s="2707" t="str">
        <v>noviembre 
2031</v>
      </c>
      <c r="Y236" s="2708" t="str">
        <v>diciembre 
2031</v>
      </c>
    </row>
    <row r="237" spans="1:25">
      <c r="A237" s="1970" t="str">
        <f t="array" ref="A237:A249">A$72:A$84</f>
        <v>mismo mes</v>
      </c>
      <c r="B237" s="1967"/>
      <c r="C237" s="1967"/>
      <c r="D237" s="1967"/>
      <c r="E237" s="1967"/>
      <c r="F237" s="1967"/>
      <c r="G237" s="1967"/>
      <c r="H237" s="1967"/>
      <c r="I237" s="1967"/>
      <c r="J237" s="1967"/>
      <c r="K237" s="1967"/>
      <c r="L237" s="1967"/>
      <c r="M237" s="1967"/>
      <c r="N237" s="592">
        <f t="array" aca="1" ref="N237:Y237" ca="1">B27:M27*Produccion!$N$15</f>
        <v>0</v>
      </c>
      <c r="O237" s="592">
        <f ca="1"/>
        <v>0</v>
      </c>
      <c r="P237" s="592">
        <f ca="1"/>
        <v>0</v>
      </c>
      <c r="Q237" s="592">
        <f ca="1"/>
        <v>0</v>
      </c>
      <c r="R237" s="592">
        <f ca="1"/>
        <v>0</v>
      </c>
      <c r="S237" s="592">
        <f ca="1"/>
        <v>0</v>
      </c>
      <c r="T237" s="592">
        <f ca="1"/>
        <v>0</v>
      </c>
      <c r="U237" s="592">
        <f ca="1"/>
        <v>0</v>
      </c>
      <c r="V237" s="592">
        <f ca="1"/>
        <v>0</v>
      </c>
      <c r="W237" s="592">
        <f ca="1"/>
        <v>0</v>
      </c>
      <c r="X237" s="592">
        <f ca="1"/>
        <v>0</v>
      </c>
      <c r="Y237" s="1982">
        <f ca="1"/>
        <v>0</v>
      </c>
    </row>
    <row r="238" spans="1:25">
      <c r="A238" s="1971" t="str">
        <v>1 mes antes</v>
      </c>
      <c r="B238" s="1967"/>
      <c r="C238" s="1967"/>
      <c r="D238" s="1967"/>
      <c r="E238" s="1967"/>
      <c r="F238" s="1967"/>
      <c r="G238" s="1967"/>
      <c r="H238" s="1967"/>
      <c r="I238" s="1967"/>
      <c r="J238" s="1967"/>
      <c r="K238" s="1967"/>
      <c r="L238" s="1967"/>
      <c r="M238" s="592">
        <f t="array" aca="1" ref="M238:X238" ca="1">B27:M27*Produccion!$M$15</f>
        <v>0</v>
      </c>
      <c r="N238" s="592">
        <f ca="1"/>
        <v>0</v>
      </c>
      <c r="O238" s="592">
        <f ca="1"/>
        <v>0</v>
      </c>
      <c r="P238" s="592">
        <f ca="1"/>
        <v>0</v>
      </c>
      <c r="Q238" s="592">
        <f ca="1"/>
        <v>0</v>
      </c>
      <c r="R238" s="592">
        <f ca="1"/>
        <v>0</v>
      </c>
      <c r="S238" s="592">
        <f ca="1"/>
        <v>0</v>
      </c>
      <c r="T238" s="592">
        <f ca="1"/>
        <v>0</v>
      </c>
      <c r="U238" s="592">
        <f ca="1"/>
        <v>0</v>
      </c>
      <c r="V238" s="592">
        <f ca="1"/>
        <v>0</v>
      </c>
      <c r="W238" s="592">
        <f ca="1"/>
        <v>0</v>
      </c>
      <c r="X238" s="592">
        <f ca="1"/>
        <v>0</v>
      </c>
      <c r="Y238" s="1983"/>
    </row>
    <row r="239" spans="1:25">
      <c r="A239" s="1971" t="str">
        <v>2 meses antes</v>
      </c>
      <c r="B239" s="1967"/>
      <c r="C239" s="1967"/>
      <c r="D239" s="1967"/>
      <c r="E239" s="1967"/>
      <c r="F239" s="1967"/>
      <c r="G239" s="1967"/>
      <c r="H239" s="1967"/>
      <c r="I239" s="1967"/>
      <c r="J239" s="1967"/>
      <c r="K239" s="1967"/>
      <c r="L239" s="592">
        <f t="array" aca="1" ref="L239:W239" ca="1">B27:M27*Produccion!$L$15</f>
        <v>0</v>
      </c>
      <c r="M239" s="592">
        <f ca="1"/>
        <v>0</v>
      </c>
      <c r="N239" s="592">
        <f ca="1"/>
        <v>0</v>
      </c>
      <c r="O239" s="592">
        <f ca="1"/>
        <v>0</v>
      </c>
      <c r="P239" s="592">
        <f ca="1"/>
        <v>0</v>
      </c>
      <c r="Q239" s="592">
        <f ca="1"/>
        <v>0</v>
      </c>
      <c r="R239" s="592">
        <f ca="1"/>
        <v>0</v>
      </c>
      <c r="S239" s="592">
        <f ca="1"/>
        <v>0</v>
      </c>
      <c r="T239" s="592">
        <f ca="1"/>
        <v>0</v>
      </c>
      <c r="U239" s="592">
        <f ca="1"/>
        <v>0</v>
      </c>
      <c r="V239" s="592">
        <f ca="1"/>
        <v>0</v>
      </c>
      <c r="W239" s="592">
        <f ca="1"/>
        <v>0</v>
      </c>
      <c r="X239" s="1967"/>
      <c r="Y239" s="1983"/>
    </row>
    <row r="240" spans="1:25">
      <c r="A240" s="1971" t="str">
        <v>3 meses antes</v>
      </c>
      <c r="B240" s="1967"/>
      <c r="C240" s="1967"/>
      <c r="D240" s="1967"/>
      <c r="E240" s="1967"/>
      <c r="F240" s="1967"/>
      <c r="G240" s="1967"/>
      <c r="H240" s="1967"/>
      <c r="I240" s="1967"/>
      <c r="J240" s="1967"/>
      <c r="K240" s="592">
        <f t="array" aca="1" ref="K240:V240" ca="1">B27:M27*Produccion!$K$15</f>
        <v>0</v>
      </c>
      <c r="L240" s="592">
        <f ca="1"/>
        <v>0</v>
      </c>
      <c r="M240" s="592">
        <f ca="1"/>
        <v>0</v>
      </c>
      <c r="N240" s="592">
        <f ca="1"/>
        <v>0</v>
      </c>
      <c r="O240" s="592">
        <f ca="1"/>
        <v>0</v>
      </c>
      <c r="P240" s="592">
        <f ca="1"/>
        <v>0</v>
      </c>
      <c r="Q240" s="592">
        <f ca="1"/>
        <v>0</v>
      </c>
      <c r="R240" s="592">
        <f ca="1"/>
        <v>0</v>
      </c>
      <c r="S240" s="592">
        <f ca="1"/>
        <v>0</v>
      </c>
      <c r="T240" s="592">
        <f ca="1"/>
        <v>0</v>
      </c>
      <c r="U240" s="592">
        <f ca="1"/>
        <v>0</v>
      </c>
      <c r="V240" s="592">
        <f ca="1"/>
        <v>0</v>
      </c>
      <c r="W240" s="1967"/>
      <c r="X240" s="1967"/>
      <c r="Y240" s="1983"/>
    </row>
    <row r="241" spans="1:25">
      <c r="A241" s="1971" t="str">
        <v>4 meses antes</v>
      </c>
      <c r="B241" s="1967"/>
      <c r="C241" s="1967"/>
      <c r="D241" s="1967"/>
      <c r="E241" s="1967"/>
      <c r="F241" s="1967"/>
      <c r="G241" s="1967"/>
      <c r="H241" s="1967"/>
      <c r="I241" s="1967"/>
      <c r="J241" s="592">
        <f t="array" aca="1" ref="J241:U241" ca="1">B27:M27*Produccion!$J$15</f>
        <v>0</v>
      </c>
      <c r="K241" s="592">
        <f ca="1"/>
        <v>0</v>
      </c>
      <c r="L241" s="592">
        <f ca="1"/>
        <v>0</v>
      </c>
      <c r="M241" s="592">
        <f ca="1"/>
        <v>0</v>
      </c>
      <c r="N241" s="592">
        <f ca="1"/>
        <v>0</v>
      </c>
      <c r="O241" s="592">
        <f ca="1"/>
        <v>0</v>
      </c>
      <c r="P241" s="592">
        <f ca="1"/>
        <v>0</v>
      </c>
      <c r="Q241" s="592">
        <f ca="1"/>
        <v>0</v>
      </c>
      <c r="R241" s="592">
        <f ca="1"/>
        <v>0</v>
      </c>
      <c r="S241" s="592">
        <f ca="1"/>
        <v>0</v>
      </c>
      <c r="T241" s="592">
        <f ca="1"/>
        <v>0</v>
      </c>
      <c r="U241" s="592">
        <f ca="1"/>
        <v>0</v>
      </c>
      <c r="V241" s="1967"/>
      <c r="W241" s="1967"/>
      <c r="X241" s="1967"/>
      <c r="Y241" s="1983"/>
    </row>
    <row r="242" spans="1:25">
      <c r="A242" s="1971" t="str">
        <v>5 meses antes</v>
      </c>
      <c r="B242" s="1967"/>
      <c r="C242" s="1967"/>
      <c r="D242" s="1967"/>
      <c r="E242" s="1967"/>
      <c r="F242" s="1967"/>
      <c r="G242" s="1967"/>
      <c r="H242" s="1967"/>
      <c r="I242" s="592">
        <f t="array" aca="1" ref="I242:T242" ca="1">B27:M27*Produccion!$I$15</f>
        <v>0</v>
      </c>
      <c r="J242" s="592">
        <f ca="1"/>
        <v>0</v>
      </c>
      <c r="K242" s="592">
        <f ca="1"/>
        <v>0</v>
      </c>
      <c r="L242" s="592">
        <f ca="1"/>
        <v>0</v>
      </c>
      <c r="M242" s="592">
        <f ca="1"/>
        <v>0</v>
      </c>
      <c r="N242" s="592">
        <f ca="1"/>
        <v>0</v>
      </c>
      <c r="O242" s="592">
        <f ca="1"/>
        <v>0</v>
      </c>
      <c r="P242" s="592">
        <f ca="1"/>
        <v>0</v>
      </c>
      <c r="Q242" s="592">
        <f ca="1"/>
        <v>0</v>
      </c>
      <c r="R242" s="592">
        <f ca="1"/>
        <v>0</v>
      </c>
      <c r="S242" s="592">
        <f ca="1"/>
        <v>0</v>
      </c>
      <c r="T242" s="592">
        <f ca="1"/>
        <v>0</v>
      </c>
      <c r="U242" s="1967"/>
      <c r="V242" s="1967"/>
      <c r="W242" s="1967"/>
      <c r="X242" s="1967"/>
      <c r="Y242" s="1983"/>
    </row>
    <row r="243" spans="1:25">
      <c r="A243" s="1971" t="str">
        <v>6 meses antes</v>
      </c>
      <c r="B243" s="1967"/>
      <c r="C243" s="1967"/>
      <c r="D243" s="1967"/>
      <c r="E243" s="1967"/>
      <c r="F243" s="1967"/>
      <c r="G243" s="1967"/>
      <c r="H243" s="592">
        <f t="array" aca="1" ref="H243:S243" ca="1">B27:M27*Produccion!$H$15</f>
        <v>0</v>
      </c>
      <c r="I243" s="592">
        <f ca="1"/>
        <v>0</v>
      </c>
      <c r="J243" s="592">
        <f ca="1"/>
        <v>0</v>
      </c>
      <c r="K243" s="592">
        <f ca="1"/>
        <v>0</v>
      </c>
      <c r="L243" s="592">
        <f ca="1"/>
        <v>0</v>
      </c>
      <c r="M243" s="592">
        <f ca="1"/>
        <v>0</v>
      </c>
      <c r="N243" s="592">
        <f ca="1"/>
        <v>0</v>
      </c>
      <c r="O243" s="592">
        <f ca="1"/>
        <v>0</v>
      </c>
      <c r="P243" s="592">
        <f ca="1"/>
        <v>0</v>
      </c>
      <c r="Q243" s="592">
        <f ca="1"/>
        <v>0</v>
      </c>
      <c r="R243" s="592">
        <f ca="1"/>
        <v>0</v>
      </c>
      <c r="S243" s="592">
        <f ca="1"/>
        <v>0</v>
      </c>
      <c r="T243" s="1967"/>
      <c r="U243" s="1967"/>
      <c r="V243" s="1967"/>
      <c r="W243" s="1967"/>
      <c r="X243" s="1967"/>
      <c r="Y243" s="1983"/>
    </row>
    <row r="244" spans="1:25">
      <c r="A244" s="1971" t="str">
        <v>7 meses antes</v>
      </c>
      <c r="B244" s="1967"/>
      <c r="C244" s="1967"/>
      <c r="D244" s="1967"/>
      <c r="E244" s="1967"/>
      <c r="F244" s="1967"/>
      <c r="G244" s="592">
        <f t="array" aca="1" ref="G244:R244" ca="1">B27:M27*Produccion!$G$15</f>
        <v>0</v>
      </c>
      <c r="H244" s="592">
        <f ca="1"/>
        <v>0</v>
      </c>
      <c r="I244" s="592">
        <f ca="1"/>
        <v>0</v>
      </c>
      <c r="J244" s="592">
        <f ca="1"/>
        <v>0</v>
      </c>
      <c r="K244" s="592">
        <f ca="1"/>
        <v>0</v>
      </c>
      <c r="L244" s="592">
        <f ca="1"/>
        <v>0</v>
      </c>
      <c r="M244" s="592">
        <f ca="1"/>
        <v>0</v>
      </c>
      <c r="N244" s="592">
        <f ca="1"/>
        <v>0</v>
      </c>
      <c r="O244" s="592">
        <f ca="1"/>
        <v>0</v>
      </c>
      <c r="P244" s="592">
        <f ca="1"/>
        <v>0</v>
      </c>
      <c r="Q244" s="592">
        <f ca="1"/>
        <v>0</v>
      </c>
      <c r="R244" s="592">
        <f ca="1"/>
        <v>0</v>
      </c>
      <c r="S244" s="1967"/>
      <c r="T244" s="1967"/>
      <c r="U244" s="1967"/>
      <c r="V244" s="1967"/>
      <c r="W244" s="1967"/>
      <c r="X244" s="1967"/>
      <c r="Y244" s="1983"/>
    </row>
    <row r="245" spans="1:25">
      <c r="A245" s="1971" t="str">
        <v>8 meses antes</v>
      </c>
      <c r="B245" s="1967"/>
      <c r="C245" s="1967"/>
      <c r="D245" s="1967"/>
      <c r="E245" s="1967"/>
      <c r="F245" s="592">
        <f t="array" aca="1" ref="F245:Q245" ca="1">B27:M27*Produccion!$F$15</f>
        <v>0</v>
      </c>
      <c r="G245" s="592">
        <f ca="1"/>
        <v>0</v>
      </c>
      <c r="H245" s="592">
        <f ca="1"/>
        <v>0</v>
      </c>
      <c r="I245" s="592">
        <f ca="1"/>
        <v>0</v>
      </c>
      <c r="J245" s="592">
        <f ca="1"/>
        <v>0</v>
      </c>
      <c r="K245" s="592">
        <f ca="1"/>
        <v>0</v>
      </c>
      <c r="L245" s="592">
        <f ca="1"/>
        <v>0</v>
      </c>
      <c r="M245" s="592">
        <f ca="1"/>
        <v>0</v>
      </c>
      <c r="N245" s="592">
        <f ca="1"/>
        <v>0</v>
      </c>
      <c r="O245" s="592">
        <f ca="1"/>
        <v>0</v>
      </c>
      <c r="P245" s="592">
        <f ca="1"/>
        <v>0</v>
      </c>
      <c r="Q245" s="592">
        <f ca="1"/>
        <v>0</v>
      </c>
      <c r="R245" s="1967"/>
      <c r="S245" s="1967"/>
      <c r="T245" s="1967"/>
      <c r="U245" s="1967"/>
      <c r="V245" s="1967"/>
      <c r="W245" s="1967"/>
      <c r="X245" s="1967"/>
      <c r="Y245" s="1983"/>
    </row>
    <row r="246" spans="1:25">
      <c r="A246" s="1971" t="str">
        <v>9 meses antes</v>
      </c>
      <c r="B246" s="1967"/>
      <c r="C246" s="1967"/>
      <c r="D246" s="1967"/>
      <c r="E246" s="592">
        <f t="array" aca="1" ref="E246:P246" ca="1">B27:M27*Produccion!$E$15</f>
        <v>0</v>
      </c>
      <c r="F246" s="592">
        <f ca="1"/>
        <v>0</v>
      </c>
      <c r="G246" s="592">
        <f ca="1"/>
        <v>0</v>
      </c>
      <c r="H246" s="592">
        <f ca="1"/>
        <v>0</v>
      </c>
      <c r="I246" s="592">
        <f ca="1"/>
        <v>0</v>
      </c>
      <c r="J246" s="592">
        <f ca="1"/>
        <v>0</v>
      </c>
      <c r="K246" s="592">
        <f ca="1"/>
        <v>0</v>
      </c>
      <c r="L246" s="592">
        <f ca="1"/>
        <v>0</v>
      </c>
      <c r="M246" s="592">
        <f ca="1"/>
        <v>0</v>
      </c>
      <c r="N246" s="592">
        <f ca="1"/>
        <v>0</v>
      </c>
      <c r="O246" s="592">
        <f ca="1"/>
        <v>0</v>
      </c>
      <c r="P246" s="592">
        <f ca="1"/>
        <v>0</v>
      </c>
      <c r="Q246" s="1967"/>
      <c r="R246" s="1967"/>
      <c r="S246" s="1967"/>
      <c r="T246" s="1967"/>
      <c r="U246" s="1967"/>
      <c r="V246" s="1967"/>
      <c r="W246" s="1967"/>
      <c r="X246" s="1967"/>
      <c r="Y246" s="1983"/>
    </row>
    <row r="247" spans="1:25">
      <c r="A247" s="1971" t="str">
        <v>10 meses antes</v>
      </c>
      <c r="B247" s="1967"/>
      <c r="C247" s="1967"/>
      <c r="D247" s="592">
        <f t="array" aca="1" ref="D247:O247" ca="1">B27:M27*Produccion!$D$15</f>
        <v>0</v>
      </c>
      <c r="E247" s="592">
        <f ca="1"/>
        <v>0</v>
      </c>
      <c r="F247" s="592">
        <f ca="1"/>
        <v>0</v>
      </c>
      <c r="G247" s="592">
        <f ca="1"/>
        <v>0</v>
      </c>
      <c r="H247" s="592">
        <f ca="1"/>
        <v>0</v>
      </c>
      <c r="I247" s="592">
        <f ca="1"/>
        <v>0</v>
      </c>
      <c r="J247" s="592">
        <f ca="1"/>
        <v>0</v>
      </c>
      <c r="K247" s="592">
        <f ca="1"/>
        <v>0</v>
      </c>
      <c r="L247" s="592">
        <f ca="1"/>
        <v>0</v>
      </c>
      <c r="M247" s="592">
        <f ca="1"/>
        <v>0</v>
      </c>
      <c r="N247" s="592">
        <f ca="1"/>
        <v>0</v>
      </c>
      <c r="O247" s="592">
        <f ca="1"/>
        <v>0</v>
      </c>
      <c r="P247" s="1967"/>
      <c r="Q247" s="1967"/>
      <c r="R247" s="1967"/>
      <c r="S247" s="1967"/>
      <c r="T247" s="1967"/>
      <c r="U247" s="1967"/>
      <c r="V247" s="1967"/>
      <c r="W247" s="1967"/>
      <c r="X247" s="1967"/>
      <c r="Y247" s="1983"/>
    </row>
    <row r="248" spans="1:25">
      <c r="A248" s="1971" t="str">
        <v>11 meses antes</v>
      </c>
      <c r="B248" s="1967"/>
      <c r="C248" s="592">
        <f t="array" aca="1" ref="C248:N248" ca="1">B27:M27*Produccion!$C$15</f>
        <v>0</v>
      </c>
      <c r="D248" s="592">
        <f ca="1"/>
        <v>0</v>
      </c>
      <c r="E248" s="592">
        <f ca="1"/>
        <v>0</v>
      </c>
      <c r="F248" s="592">
        <f ca="1"/>
        <v>0</v>
      </c>
      <c r="G248" s="592">
        <f ca="1"/>
        <v>0</v>
      </c>
      <c r="H248" s="592">
        <f ca="1"/>
        <v>0</v>
      </c>
      <c r="I248" s="592">
        <f ca="1"/>
        <v>0</v>
      </c>
      <c r="J248" s="592">
        <f ca="1"/>
        <v>0</v>
      </c>
      <c r="K248" s="592">
        <f ca="1"/>
        <v>0</v>
      </c>
      <c r="L248" s="592">
        <f ca="1"/>
        <v>0</v>
      </c>
      <c r="M248" s="592">
        <f ca="1"/>
        <v>0</v>
      </c>
      <c r="N248" s="592">
        <f ca="1"/>
        <v>0</v>
      </c>
      <c r="O248" s="1967"/>
      <c r="P248" s="1967"/>
      <c r="Q248" s="1967"/>
      <c r="R248" s="1967"/>
      <c r="S248" s="1967"/>
      <c r="T248" s="1967"/>
      <c r="U248" s="1967"/>
      <c r="V248" s="1967"/>
      <c r="W248" s="1967"/>
      <c r="X248" s="1967"/>
      <c r="Y248" s="1983"/>
    </row>
    <row r="249" spans="1:25" ht="13.5" thickBot="1">
      <c r="A249" s="1971" t="str">
        <v>12 meses antes</v>
      </c>
      <c r="B249" s="592">
        <f t="array" aca="1" ref="B249:M249" ca="1">B27:M27*Produccion!$B$15</f>
        <v>0</v>
      </c>
      <c r="C249" s="592">
        <f ca="1"/>
        <v>0</v>
      </c>
      <c r="D249" s="592">
        <f ca="1"/>
        <v>0</v>
      </c>
      <c r="E249" s="592">
        <f ca="1"/>
        <v>0</v>
      </c>
      <c r="F249" s="592">
        <f ca="1"/>
        <v>0</v>
      </c>
      <c r="G249" s="592">
        <f ca="1"/>
        <v>0</v>
      </c>
      <c r="H249" s="592">
        <f ca="1"/>
        <v>0</v>
      </c>
      <c r="I249" s="592">
        <f ca="1"/>
        <v>0</v>
      </c>
      <c r="J249" s="592">
        <f ca="1"/>
        <v>0</v>
      </c>
      <c r="K249" s="592">
        <f ca="1"/>
        <v>0</v>
      </c>
      <c r="L249" s="592">
        <f ca="1"/>
        <v>0</v>
      </c>
      <c r="M249" s="592">
        <f ca="1"/>
        <v>0</v>
      </c>
      <c r="N249" s="1967"/>
      <c r="O249" s="1967"/>
      <c r="P249" s="1967"/>
      <c r="Q249" s="1967"/>
      <c r="R249" s="1967"/>
      <c r="S249" s="1967"/>
      <c r="T249" s="1967"/>
      <c r="U249" s="1967"/>
      <c r="V249" s="1967"/>
      <c r="W249" s="1967"/>
      <c r="X249" s="1967"/>
      <c r="Y249" s="1983"/>
    </row>
    <row r="250" spans="1:25" ht="13.5" thickBot="1">
      <c r="A250" s="103" t="str">
        <f>"Totales CV "&amp;A$15</f>
        <v xml:space="preserve">Totales CV </v>
      </c>
      <c r="B250" s="596">
        <f t="shared" ref="B250:Y250" ca="1" si="18">SUM(B237:B249)</f>
        <v>0</v>
      </c>
      <c r="C250" s="596">
        <f t="shared" ca="1" si="18"/>
        <v>0</v>
      </c>
      <c r="D250" s="596">
        <f t="shared" ca="1" si="18"/>
        <v>0</v>
      </c>
      <c r="E250" s="596">
        <f t="shared" ca="1" si="18"/>
        <v>0</v>
      </c>
      <c r="F250" s="596">
        <f t="shared" ca="1" si="18"/>
        <v>0</v>
      </c>
      <c r="G250" s="596">
        <f t="shared" ca="1" si="18"/>
        <v>0</v>
      </c>
      <c r="H250" s="596">
        <f t="shared" ca="1" si="18"/>
        <v>0</v>
      </c>
      <c r="I250" s="596">
        <f t="shared" ca="1" si="18"/>
        <v>0</v>
      </c>
      <c r="J250" s="596">
        <f t="shared" ca="1" si="18"/>
        <v>0</v>
      </c>
      <c r="K250" s="596">
        <f t="shared" ca="1" si="18"/>
        <v>0</v>
      </c>
      <c r="L250" s="596">
        <f t="shared" ca="1" si="18"/>
        <v>0</v>
      </c>
      <c r="M250" s="596">
        <f t="shared" ca="1" si="18"/>
        <v>0</v>
      </c>
      <c r="N250" s="596">
        <f t="shared" ca="1" si="18"/>
        <v>0</v>
      </c>
      <c r="O250" s="596">
        <f t="shared" ca="1" si="18"/>
        <v>0</v>
      </c>
      <c r="P250" s="596">
        <f t="shared" ca="1" si="18"/>
        <v>0</v>
      </c>
      <c r="Q250" s="596">
        <f t="shared" ca="1" si="18"/>
        <v>0</v>
      </c>
      <c r="R250" s="596">
        <f t="shared" ca="1" si="18"/>
        <v>0</v>
      </c>
      <c r="S250" s="596">
        <f t="shared" ca="1" si="18"/>
        <v>0</v>
      </c>
      <c r="T250" s="596">
        <f t="shared" ca="1" si="18"/>
        <v>0</v>
      </c>
      <c r="U250" s="596">
        <f t="shared" ca="1" si="18"/>
        <v>0</v>
      </c>
      <c r="V250" s="596">
        <f t="shared" ca="1" si="18"/>
        <v>0</v>
      </c>
      <c r="W250" s="596">
        <f t="shared" ca="1" si="18"/>
        <v>0</v>
      </c>
      <c r="X250" s="596">
        <f t="shared" ca="1" si="18"/>
        <v>0</v>
      </c>
      <c r="Y250" s="1984">
        <f t="shared" ca="1" si="18"/>
        <v>0</v>
      </c>
    </row>
    <row r="251" spans="1:25" ht="13.5" thickBot="1">
      <c r="A251" s="103" t="str">
        <f>'Datos Básicos'!A28&amp;" sop. CV "&amp;$A$15</f>
        <v xml:space="preserve">IVA sop. CV </v>
      </c>
      <c r="B251" s="596">
        <f t="array" aca="1" ref="B251:Y251" ca="1">$K$235*B250:Y250</f>
        <v>0</v>
      </c>
      <c r="C251" s="596">
        <f ca="1"/>
        <v>0</v>
      </c>
      <c r="D251" s="596">
        <f ca="1"/>
        <v>0</v>
      </c>
      <c r="E251" s="596">
        <f ca="1"/>
        <v>0</v>
      </c>
      <c r="F251" s="596">
        <f ca="1"/>
        <v>0</v>
      </c>
      <c r="G251" s="596">
        <f ca="1"/>
        <v>0</v>
      </c>
      <c r="H251" s="596">
        <f ca="1"/>
        <v>0</v>
      </c>
      <c r="I251" s="596">
        <f ca="1"/>
        <v>0</v>
      </c>
      <c r="J251" s="596">
        <f ca="1"/>
        <v>0</v>
      </c>
      <c r="K251" s="596">
        <f ca="1"/>
        <v>0</v>
      </c>
      <c r="L251" s="596">
        <f ca="1"/>
        <v>0</v>
      </c>
      <c r="M251" s="596">
        <f ca="1"/>
        <v>0</v>
      </c>
      <c r="N251" s="596">
        <f ca="1"/>
        <v>0</v>
      </c>
      <c r="O251" s="596">
        <f ca="1"/>
        <v>0</v>
      </c>
      <c r="P251" s="596">
        <f ca="1"/>
        <v>0</v>
      </c>
      <c r="Q251" s="596">
        <f ca="1"/>
        <v>0</v>
      </c>
      <c r="R251" s="596">
        <f ca="1"/>
        <v>0</v>
      </c>
      <c r="S251" s="596">
        <f ca="1"/>
        <v>0</v>
      </c>
      <c r="T251" s="596">
        <f ca="1"/>
        <v>0</v>
      </c>
      <c r="U251" s="596">
        <f ca="1"/>
        <v>0</v>
      </c>
      <c r="V251" s="596">
        <f ca="1"/>
        <v>0</v>
      </c>
      <c r="W251" s="596">
        <f ca="1"/>
        <v>0</v>
      </c>
      <c r="X251" s="596">
        <f ca="1"/>
        <v>0</v>
      </c>
      <c r="Y251" s="1984">
        <f ca="1"/>
        <v>0</v>
      </c>
    </row>
  </sheetData>
  <sheetProtection sheet="1" objects="1" scenarios="1"/>
  <phoneticPr fontId="6" type="noConversion"/>
  <printOptions horizontalCentered="1" verticalCentered="1"/>
  <pageMargins left="0.38" right="0.19685039370078741" top="0.53" bottom="0.71" header="0.51181102362204722" footer="0.39370078740157483"/>
  <pageSetup paperSize="9" scale="26" fitToHeight="2" orientation="landscape" horizontalDpi="300" verticalDpi="300" r:id="rId1"/>
  <headerFooter alignWithMargins="0">
    <oddFooter>&amp;C&amp;"Tahoma,Normal"&amp;10&amp;A</oddFooter>
  </headerFooter>
  <rowBreaks count="1" manualBreakCount="1">
    <brk id="73" max="16383" man="1"/>
  </rowBreaks>
  <legacy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54">
    <pageSetUpPr fitToPage="1"/>
  </sheetPr>
  <dimension ref="A1:O103"/>
  <sheetViews>
    <sheetView workbookViewId="0"/>
  </sheetViews>
  <sheetFormatPr baseColWidth="10" defaultColWidth="11" defaultRowHeight="12.75"/>
  <cols>
    <col min="1" max="1" width="24.5" style="232" customWidth="1"/>
    <col min="2" max="2" width="15.125" style="60" bestFit="1" customWidth="1"/>
    <col min="3" max="3" width="12" style="61" customWidth="1"/>
    <col min="4" max="4" width="9.75" style="61" customWidth="1"/>
    <col min="5" max="5" width="11.375" style="61" customWidth="1"/>
    <col min="6" max="6" width="9.625" style="61" customWidth="1"/>
    <col min="7" max="7" width="11" style="61"/>
    <col min="8" max="8" width="8.25" style="61" customWidth="1"/>
    <col min="9" max="9" width="11.5" style="61" customWidth="1"/>
    <col min="10" max="10" width="8.75" style="61" customWidth="1"/>
    <col min="11" max="16384" width="11" style="61"/>
  </cols>
  <sheetData>
    <row r="1" spans="1:10" ht="25.5">
      <c r="A1" s="36" t="str">
        <f>'Prev.Ventas 0'!A1</f>
        <v>Previsiones de Ventas de la empresa</v>
      </c>
      <c r="G1" s="941"/>
      <c r="H1" s="941"/>
      <c r="J1" s="941"/>
    </row>
    <row r="2" spans="1:10" ht="25.5">
      <c r="A2" s="36" t="str">
        <f>'Datos Básicos'!$B$9</f>
        <v>nombre empresa</v>
      </c>
    </row>
    <row r="3" spans="1:10" ht="14.25" customHeight="1" thickBot="1">
      <c r="A3" s="59"/>
    </row>
    <row r="4" spans="1:10" s="942" customFormat="1" ht="19.5" hidden="1" customHeight="1">
      <c r="A4" s="2070" t="s">
        <v>480</v>
      </c>
      <c r="B4" s="2071" t="str">
        <f>Parametros!B77</f>
        <v>Año 0:  2026</v>
      </c>
      <c r="C4" s="2071" t="str">
        <f>Parametros!C77</f>
        <v>Año 1:  2027</v>
      </c>
      <c r="D4" s="2072"/>
      <c r="E4" s="2073" t="str">
        <f>Parametros!D77</f>
        <v>Año 2:  2028</v>
      </c>
      <c r="F4" s="2074"/>
      <c r="G4" s="2071" t="str">
        <f>Parametros!E77</f>
        <v>Año 3:  2029</v>
      </c>
      <c r="H4" s="2072"/>
      <c r="I4" s="2073" t="str">
        <f>Parametros!F77</f>
        <v>Año 4:  2030</v>
      </c>
      <c r="J4" s="2075"/>
    </row>
    <row r="5" spans="1:10" s="942" customFormat="1" ht="16.5" hidden="1" customHeight="1" thickBot="1">
      <c r="A5" s="2076" t="s">
        <v>481</v>
      </c>
      <c r="B5" s="947" t="s">
        <v>14</v>
      </c>
      <c r="C5" s="948" t="s">
        <v>14</v>
      </c>
      <c r="D5" s="949" t="s">
        <v>324</v>
      </c>
      <c r="E5" s="950" t="s">
        <v>14</v>
      </c>
      <c r="F5" s="951" t="s">
        <v>324</v>
      </c>
      <c r="G5" s="948" t="s">
        <v>14</v>
      </c>
      <c r="H5" s="949" t="s">
        <v>324</v>
      </c>
      <c r="I5" s="950" t="s">
        <v>14</v>
      </c>
      <c r="J5" s="2077" t="s">
        <v>324</v>
      </c>
    </row>
    <row r="6" spans="1:10" ht="15.75" hidden="1" customHeight="1">
      <c r="A6" s="2078" t="str">
        <f t="array" ref="A6:A13">productos</f>
        <v>producto o servicio</v>
      </c>
      <c r="B6" s="2620">
        <f t="array" aca="1" ref="B6:B13" ca="1">'Prev.Ventas 0'!$N5:$N12</f>
        <v>7852.2727272727261</v>
      </c>
      <c r="C6" s="2620">
        <f t="array" aca="1" ref="C6:C13" ca="1">'Prev.Ventas 1'!$N5:$N12</f>
        <v>11050</v>
      </c>
      <c r="D6" s="943">
        <f t="array" aca="1" ref="D6:D13" ca="1">IF(B6:B13=0,"",(C6:C13-B6:B13)/B6:B13)</f>
        <v>0.40723589001447197</v>
      </c>
      <c r="E6" s="2623">
        <f t="array" aca="1" ref="E6:E13" ca="1">'Prev.Ventas 2'!$N5:$N12</f>
        <v>11381.5</v>
      </c>
      <c r="F6" s="943">
        <f t="array" aca="1" ref="F6:F13" ca="1">IF(C6:C13=0,"",(E6:E13-C6:C13)/C6:C13)</f>
        <v>0.03</v>
      </c>
      <c r="G6" s="2620">
        <f t="array" aca="1" ref="G6:G13" ca="1">'Prev.Ventas 3'!$N5:$N12</f>
        <v>11722.945</v>
      </c>
      <c r="H6" s="943">
        <f t="array" aca="1" ref="H6:H13" ca="1">IF(E6:E13=0,"",(G6:G13-E6:E13)/E6:E13)</f>
        <v>2.9999999999999975E-2</v>
      </c>
      <c r="I6" s="2626">
        <f t="array" aca="1" ref="I6:I13" ca="1">'Prev.Ventas 4'!$N5:$N12</f>
        <v>12074.63335</v>
      </c>
      <c r="J6" s="943">
        <f t="array" aca="1" ref="J6:J13" ca="1">IF(G6:G13=0,"",(I6:I13-G6:G13)/G6:G13)</f>
        <v>3.000000000000003E-2</v>
      </c>
    </row>
    <row r="7" spans="1:10" hidden="1">
      <c r="A7" s="1521" t="str">
        <v/>
      </c>
      <c r="B7" s="2621">
        <f ca="1"/>
        <v>0</v>
      </c>
      <c r="C7" s="2621">
        <f ca="1"/>
        <v>0</v>
      </c>
      <c r="D7" s="944" t="str">
        <f ca="1"/>
        <v/>
      </c>
      <c r="E7" s="2624">
        <f ca="1"/>
        <v>0</v>
      </c>
      <c r="F7" s="944" t="str">
        <f ca="1"/>
        <v/>
      </c>
      <c r="G7" s="2621">
        <f ca="1"/>
        <v>0</v>
      </c>
      <c r="H7" s="944" t="str">
        <f ca="1"/>
        <v/>
      </c>
      <c r="I7" s="2627">
        <f ca="1"/>
        <v>0</v>
      </c>
      <c r="J7" s="944" t="str">
        <f ca="1"/>
        <v/>
      </c>
    </row>
    <row r="8" spans="1:10" hidden="1">
      <c r="A8" s="1521" t="str">
        <v/>
      </c>
      <c r="B8" s="2621">
        <f ca="1"/>
        <v>0</v>
      </c>
      <c r="C8" s="2621">
        <f ca="1"/>
        <v>0</v>
      </c>
      <c r="D8" s="944" t="str">
        <f ca="1"/>
        <v/>
      </c>
      <c r="E8" s="2624">
        <f ca="1"/>
        <v>0</v>
      </c>
      <c r="F8" s="944" t="str">
        <f ca="1"/>
        <v/>
      </c>
      <c r="G8" s="2621">
        <f ca="1"/>
        <v>0</v>
      </c>
      <c r="H8" s="944" t="str">
        <f ca="1"/>
        <v/>
      </c>
      <c r="I8" s="2627">
        <f ca="1"/>
        <v>0</v>
      </c>
      <c r="J8" s="944" t="str">
        <f ca="1"/>
        <v/>
      </c>
    </row>
    <row r="9" spans="1:10" hidden="1">
      <c r="A9" s="1521" t="str">
        <v/>
      </c>
      <c r="B9" s="2621">
        <f ca="1"/>
        <v>0</v>
      </c>
      <c r="C9" s="2621">
        <f ca="1"/>
        <v>0</v>
      </c>
      <c r="D9" s="944" t="str">
        <f ca="1"/>
        <v/>
      </c>
      <c r="E9" s="2624">
        <f ca="1"/>
        <v>0</v>
      </c>
      <c r="F9" s="944" t="str">
        <f ca="1"/>
        <v/>
      </c>
      <c r="G9" s="2621">
        <f ca="1"/>
        <v>0</v>
      </c>
      <c r="H9" s="944" t="str">
        <f ca="1"/>
        <v/>
      </c>
      <c r="I9" s="2627">
        <f ca="1"/>
        <v>0</v>
      </c>
      <c r="J9" s="944" t="str">
        <f ca="1"/>
        <v/>
      </c>
    </row>
    <row r="10" spans="1:10" hidden="1">
      <c r="A10" s="1521" t="str">
        <v/>
      </c>
      <c r="B10" s="2621">
        <f ca="1"/>
        <v>0</v>
      </c>
      <c r="C10" s="2621">
        <f ca="1"/>
        <v>0</v>
      </c>
      <c r="D10" s="944" t="str">
        <f ca="1"/>
        <v/>
      </c>
      <c r="E10" s="2624">
        <f ca="1"/>
        <v>0</v>
      </c>
      <c r="F10" s="944" t="str">
        <f ca="1"/>
        <v/>
      </c>
      <c r="G10" s="2621">
        <f ca="1"/>
        <v>0</v>
      </c>
      <c r="H10" s="944" t="str">
        <f ca="1"/>
        <v/>
      </c>
      <c r="I10" s="2627">
        <f ca="1"/>
        <v>0</v>
      </c>
      <c r="J10" s="944" t="str">
        <f ca="1"/>
        <v/>
      </c>
    </row>
    <row r="11" spans="1:10" hidden="1">
      <c r="A11" s="1521" t="str">
        <v/>
      </c>
      <c r="B11" s="2621">
        <f ca="1"/>
        <v>0</v>
      </c>
      <c r="C11" s="2621">
        <f ca="1"/>
        <v>0</v>
      </c>
      <c r="D11" s="944" t="str">
        <f ca="1"/>
        <v/>
      </c>
      <c r="E11" s="2624">
        <f ca="1"/>
        <v>0</v>
      </c>
      <c r="F11" s="944" t="str">
        <f ca="1"/>
        <v/>
      </c>
      <c r="G11" s="2621">
        <f ca="1"/>
        <v>0</v>
      </c>
      <c r="H11" s="944" t="str">
        <f ca="1"/>
        <v/>
      </c>
      <c r="I11" s="2627">
        <f ca="1"/>
        <v>0</v>
      </c>
      <c r="J11" s="944" t="str">
        <f ca="1"/>
        <v/>
      </c>
    </row>
    <row r="12" spans="1:10" hidden="1">
      <c r="A12" s="1521" t="str">
        <v/>
      </c>
      <c r="B12" s="2621">
        <f ca="1"/>
        <v>0</v>
      </c>
      <c r="C12" s="2621">
        <f ca="1"/>
        <v>0</v>
      </c>
      <c r="D12" s="944" t="str">
        <f ca="1"/>
        <v/>
      </c>
      <c r="E12" s="2624">
        <f ca="1"/>
        <v>0</v>
      </c>
      <c r="F12" s="944" t="str">
        <f ca="1"/>
        <v/>
      </c>
      <c r="G12" s="2621">
        <f ca="1"/>
        <v>0</v>
      </c>
      <c r="H12" s="944" t="str">
        <f ca="1"/>
        <v/>
      </c>
      <c r="I12" s="2627">
        <f ca="1"/>
        <v>0</v>
      </c>
      <c r="J12" s="944" t="str">
        <f ca="1"/>
        <v/>
      </c>
    </row>
    <row r="13" spans="1:10" ht="13.5" hidden="1" thickBot="1">
      <c r="A13" s="1750" t="str">
        <v/>
      </c>
      <c r="B13" s="2622">
        <f ca="1"/>
        <v>0</v>
      </c>
      <c r="C13" s="2622">
        <f ca="1"/>
        <v>0</v>
      </c>
      <c r="D13" s="2079" t="str">
        <f ca="1"/>
        <v/>
      </c>
      <c r="E13" s="2625">
        <f ca="1"/>
        <v>0</v>
      </c>
      <c r="F13" s="2079" t="str">
        <f ca="1"/>
        <v/>
      </c>
      <c r="G13" s="2622">
        <f ca="1"/>
        <v>0</v>
      </c>
      <c r="H13" s="2079" t="str">
        <f ca="1"/>
        <v/>
      </c>
      <c r="I13" s="2628">
        <f ca="1"/>
        <v>0</v>
      </c>
      <c r="J13" s="2079" t="str">
        <f ca="1"/>
        <v/>
      </c>
    </row>
    <row r="14" spans="1:10" ht="15" hidden="1">
      <c r="A14" s="72"/>
    </row>
    <row r="15" spans="1:10" ht="15" hidden="1">
      <c r="A15" s="213"/>
    </row>
    <row r="16" spans="1:10" ht="15.75" hidden="1" thickBot="1">
      <c r="A16" s="213"/>
    </row>
    <row r="17" spans="1:10" s="861" customFormat="1" ht="20.25" customHeight="1">
      <c r="A17" s="2080" t="s">
        <v>479</v>
      </c>
      <c r="B17" s="2071" t="str">
        <f>B$4</f>
        <v>Año 0:  2026</v>
      </c>
      <c r="C17" s="2071" t="str">
        <f>C$4</f>
        <v>Año 1:  2027</v>
      </c>
      <c r="D17" s="2072"/>
      <c r="E17" s="2073" t="str">
        <f>E$4</f>
        <v>Año 2:  2028</v>
      </c>
      <c r="F17" s="2074"/>
      <c r="G17" s="2071" t="str">
        <f>G$4</f>
        <v>Año 3:  2029</v>
      </c>
      <c r="H17" s="2072"/>
      <c r="I17" s="2073" t="str">
        <f>I$4</f>
        <v>Año 4:  2030</v>
      </c>
      <c r="J17" s="2075"/>
    </row>
    <row r="18" spans="1:10" s="861" customFormat="1" ht="16.5" customHeight="1" thickBot="1">
      <c r="A18" s="2081" t="str">
        <f>"( "&amp;Moneda&amp;" )"</f>
        <v>( Euros )</v>
      </c>
      <c r="B18" s="947" t="s">
        <v>14</v>
      </c>
      <c r="C18" s="948" t="s">
        <v>14</v>
      </c>
      <c r="D18" s="949" t="s">
        <v>324</v>
      </c>
      <c r="E18" s="950" t="s">
        <v>14</v>
      </c>
      <c r="F18" s="951" t="s">
        <v>324</v>
      </c>
      <c r="G18" s="948" t="s">
        <v>14</v>
      </c>
      <c r="H18" s="949" t="s">
        <v>324</v>
      </c>
      <c r="I18" s="950" t="s">
        <v>14</v>
      </c>
      <c r="J18" s="2077" t="s">
        <v>324</v>
      </c>
    </row>
    <row r="19" spans="1:10">
      <c r="A19" s="2078" t="str">
        <f t="array" ref="A19:A26">productos</f>
        <v>producto o servicio</v>
      </c>
      <c r="B19" s="2632">
        <f t="array" aca="1" ref="B19:B26" ca="1">'Prev.Ventas 0'!$N17:$N24</f>
        <v>27482.95454545454</v>
      </c>
      <c r="C19" s="2620">
        <f t="array" aca="1" ref="C19:C26" ca="1">'Prev.Ventas 1'!$N17:$N24</f>
        <v>38675</v>
      </c>
      <c r="D19" s="943">
        <f t="array" aca="1" ref="D19:D27" ca="1">IF(B19:B27=0,"",(C19:C27-B19:B27)/B19:B27)</f>
        <v>0.40723589001447202</v>
      </c>
      <c r="E19" s="2623">
        <f t="array" aca="1" ref="E19:E26" ca="1">'Prev.Ventas 2'!$N17:$N24</f>
        <v>39835.25</v>
      </c>
      <c r="F19" s="943">
        <f t="array" aca="1" ref="F19:F27" ca="1">IF(C19:C27=0,"",(E19:E27-C19:C27)/C19:C27)</f>
        <v>0.03</v>
      </c>
      <c r="G19" s="2620">
        <f t="array" aca="1" ref="G19:G26" ca="1">'Prev.Ventas 3'!$N17:$N24</f>
        <v>41030.307500000003</v>
      </c>
      <c r="H19" s="943">
        <f t="array" aca="1" ref="H19:H27" ca="1">IF(E19:E27=0,"",(G19:G27-E19:E27)/E19:E27)</f>
        <v>3.0000000000000065E-2</v>
      </c>
      <c r="I19" s="2626">
        <f t="array" aca="1" ref="I19:I26" ca="1">'Prev.Ventas 4'!$N17:$N24</f>
        <v>42261.216725000006</v>
      </c>
      <c r="J19" s="943">
        <f t="array" aca="1" ref="J19:J27" ca="1">IF(G19:G27=0,"",(I19:I27-G19:G27)/G19:G27)</f>
        <v>3.0000000000000072E-2</v>
      </c>
    </row>
    <row r="20" spans="1:10">
      <c r="A20" s="1521" t="str">
        <v/>
      </c>
      <c r="B20" s="2633">
        <f ca="1"/>
        <v>0</v>
      </c>
      <c r="C20" s="2621">
        <f ca="1"/>
        <v>0</v>
      </c>
      <c r="D20" s="944" t="str">
        <f ca="1"/>
        <v/>
      </c>
      <c r="E20" s="2624">
        <f ca="1"/>
        <v>0</v>
      </c>
      <c r="F20" s="944" t="str">
        <f ca="1"/>
        <v/>
      </c>
      <c r="G20" s="2621">
        <f ca="1"/>
        <v>0</v>
      </c>
      <c r="H20" s="944" t="str">
        <f ca="1"/>
        <v/>
      </c>
      <c r="I20" s="2627">
        <f ca="1"/>
        <v>0</v>
      </c>
      <c r="J20" s="944" t="str">
        <f ca="1"/>
        <v/>
      </c>
    </row>
    <row r="21" spans="1:10">
      <c r="A21" s="1521" t="str">
        <v/>
      </c>
      <c r="B21" s="2633">
        <f ca="1"/>
        <v>0</v>
      </c>
      <c r="C21" s="2621">
        <f ca="1"/>
        <v>0</v>
      </c>
      <c r="D21" s="944" t="str">
        <f ca="1"/>
        <v/>
      </c>
      <c r="E21" s="2624">
        <f ca="1"/>
        <v>0</v>
      </c>
      <c r="F21" s="944" t="str">
        <f ca="1"/>
        <v/>
      </c>
      <c r="G21" s="2621">
        <f ca="1"/>
        <v>0</v>
      </c>
      <c r="H21" s="944" t="str">
        <f ca="1"/>
        <v/>
      </c>
      <c r="I21" s="2627">
        <f ca="1"/>
        <v>0</v>
      </c>
      <c r="J21" s="944" t="str">
        <f ca="1"/>
        <v/>
      </c>
    </row>
    <row r="22" spans="1:10">
      <c r="A22" s="1521" t="str">
        <v/>
      </c>
      <c r="B22" s="2633">
        <f ca="1"/>
        <v>0</v>
      </c>
      <c r="C22" s="2621">
        <f ca="1"/>
        <v>0</v>
      </c>
      <c r="D22" s="944" t="str">
        <f ca="1"/>
        <v/>
      </c>
      <c r="E22" s="2624">
        <f ca="1"/>
        <v>0</v>
      </c>
      <c r="F22" s="944" t="str">
        <f ca="1"/>
        <v/>
      </c>
      <c r="G22" s="2621">
        <f ca="1"/>
        <v>0</v>
      </c>
      <c r="H22" s="944" t="str">
        <f ca="1"/>
        <v/>
      </c>
      <c r="I22" s="2627">
        <f ca="1"/>
        <v>0</v>
      </c>
      <c r="J22" s="944" t="str">
        <f ca="1"/>
        <v/>
      </c>
    </row>
    <row r="23" spans="1:10">
      <c r="A23" s="1521" t="str">
        <v/>
      </c>
      <c r="B23" s="2633">
        <f ca="1"/>
        <v>0</v>
      </c>
      <c r="C23" s="2621">
        <f ca="1"/>
        <v>0</v>
      </c>
      <c r="D23" s="944" t="str">
        <f ca="1"/>
        <v/>
      </c>
      <c r="E23" s="2624">
        <f ca="1"/>
        <v>0</v>
      </c>
      <c r="F23" s="944" t="str">
        <f ca="1"/>
        <v/>
      </c>
      <c r="G23" s="2621">
        <f ca="1"/>
        <v>0</v>
      </c>
      <c r="H23" s="944" t="str">
        <f ca="1"/>
        <v/>
      </c>
      <c r="I23" s="2627">
        <f ca="1"/>
        <v>0</v>
      </c>
      <c r="J23" s="944" t="str">
        <f ca="1"/>
        <v/>
      </c>
    </row>
    <row r="24" spans="1:10">
      <c r="A24" s="1521" t="str">
        <v/>
      </c>
      <c r="B24" s="2633">
        <f ca="1"/>
        <v>0</v>
      </c>
      <c r="C24" s="2621">
        <f ca="1"/>
        <v>0</v>
      </c>
      <c r="D24" s="944" t="str">
        <f ca="1"/>
        <v/>
      </c>
      <c r="E24" s="2624">
        <f ca="1"/>
        <v>0</v>
      </c>
      <c r="F24" s="944" t="str">
        <f ca="1"/>
        <v/>
      </c>
      <c r="G24" s="2621">
        <f ca="1"/>
        <v>0</v>
      </c>
      <c r="H24" s="944" t="str">
        <f ca="1"/>
        <v/>
      </c>
      <c r="I24" s="2627">
        <f ca="1"/>
        <v>0</v>
      </c>
      <c r="J24" s="944" t="str">
        <f ca="1"/>
        <v/>
      </c>
    </row>
    <row r="25" spans="1:10">
      <c r="A25" s="1521" t="str">
        <v/>
      </c>
      <c r="B25" s="2633">
        <f ca="1"/>
        <v>0</v>
      </c>
      <c r="C25" s="2621">
        <f ca="1"/>
        <v>0</v>
      </c>
      <c r="D25" s="944" t="str">
        <f ca="1"/>
        <v/>
      </c>
      <c r="E25" s="2624">
        <f ca="1"/>
        <v>0</v>
      </c>
      <c r="F25" s="944" t="str">
        <f ca="1"/>
        <v/>
      </c>
      <c r="G25" s="2621">
        <f ca="1"/>
        <v>0</v>
      </c>
      <c r="H25" s="944" t="str">
        <f ca="1"/>
        <v/>
      </c>
      <c r="I25" s="2627">
        <f ca="1"/>
        <v>0</v>
      </c>
      <c r="J25" s="944" t="str">
        <f ca="1"/>
        <v/>
      </c>
    </row>
    <row r="26" spans="1:10" ht="13.5" thickBot="1">
      <c r="A26" s="1522" t="str">
        <v/>
      </c>
      <c r="B26" s="2634">
        <f ca="1"/>
        <v>0</v>
      </c>
      <c r="C26" s="2630">
        <f ca="1"/>
        <v>0</v>
      </c>
      <c r="D26" s="2079" t="str">
        <f ca="1"/>
        <v/>
      </c>
      <c r="E26" s="2631">
        <f ca="1"/>
        <v>0</v>
      </c>
      <c r="F26" s="2079" t="str">
        <f ca="1"/>
        <v/>
      </c>
      <c r="G26" s="2630">
        <f ca="1"/>
        <v>0</v>
      </c>
      <c r="H26" s="2079" t="str">
        <f ca="1"/>
        <v/>
      </c>
      <c r="I26" s="2629">
        <f ca="1"/>
        <v>0</v>
      </c>
      <c r="J26" s="2079" t="str">
        <f ca="1"/>
        <v/>
      </c>
    </row>
    <row r="27" spans="1:10" s="946" customFormat="1" ht="20.25" customHeight="1" thickBot="1">
      <c r="A27" s="2088" t="s">
        <v>15</v>
      </c>
      <c r="B27" s="2082">
        <f ca="1">B19+B20+B21+B22+B23+B24+B25+B26</f>
        <v>27482.95454545454</v>
      </c>
      <c r="C27" s="2083">
        <f ca="1">C19+C20+C21+C22+C23+C24+C25+C26</f>
        <v>38675</v>
      </c>
      <c r="D27" s="2084">
        <f ca="1"/>
        <v>0.40723589001447202</v>
      </c>
      <c r="E27" s="2085">
        <f ca="1">E19+E20+E21+E22+E23+E24+E25+E26</f>
        <v>39835.25</v>
      </c>
      <c r="F27" s="2086">
        <f ca="1"/>
        <v>0.03</v>
      </c>
      <c r="G27" s="2083">
        <f ca="1">G19+G20+G21+G22+G23+G24+G25+G26</f>
        <v>41030.307500000003</v>
      </c>
      <c r="H27" s="2084">
        <f ca="1"/>
        <v>3.0000000000000065E-2</v>
      </c>
      <c r="I27" s="2087">
        <f ca="1">I19+I20+I21+I22+I23+I24+I25+I26</f>
        <v>42261.216725000006</v>
      </c>
      <c r="J27" s="2084">
        <f ca="1"/>
        <v>3.0000000000000072E-2</v>
      </c>
    </row>
    <row r="28" spans="1:10" ht="15">
      <c r="A28" s="213"/>
    </row>
    <row r="29" spans="1:10" ht="15">
      <c r="A29" s="213"/>
    </row>
    <row r="30" spans="1:10" ht="25.5">
      <c r="A30" s="36" t="s">
        <v>900</v>
      </c>
      <c r="I30" s="941"/>
    </row>
    <row r="31" spans="1:10" ht="26.25" thickBot="1">
      <c r="A31" s="36" t="str">
        <f>'Datos Básicos'!$B$9</f>
        <v>nombre empresa</v>
      </c>
    </row>
    <row r="32" spans="1:10" s="861" customFormat="1" ht="23.25" customHeight="1">
      <c r="A32" s="2080" t="s">
        <v>326</v>
      </c>
      <c r="B32" s="2071" t="str">
        <f>B$4</f>
        <v>Año 0:  2026</v>
      </c>
      <c r="C32" s="2071" t="str">
        <f>C$4</f>
        <v>Año 1:  2027</v>
      </c>
      <c r="D32" s="2072"/>
      <c r="E32" s="2073" t="str">
        <f>E$4</f>
        <v>Año 2:  2028</v>
      </c>
      <c r="F32" s="2074"/>
      <c r="G32" s="2071" t="str">
        <f>G$4</f>
        <v>Año 3:  2029</v>
      </c>
      <c r="H32" s="2072"/>
      <c r="I32" s="2073" t="str">
        <f>I$4</f>
        <v>Año 4:  2030</v>
      </c>
      <c r="J32" s="2075"/>
    </row>
    <row r="33" spans="1:10" s="861" customFormat="1" ht="19.5" customHeight="1" thickBot="1">
      <c r="A33" s="2081" t="str">
        <f>"( "&amp;Moneda&amp;" )"</f>
        <v>( Euros )</v>
      </c>
      <c r="B33" s="947" t="s">
        <v>325</v>
      </c>
      <c r="C33" s="948" t="s">
        <v>325</v>
      </c>
      <c r="D33" s="949" t="s">
        <v>324</v>
      </c>
      <c r="E33" s="950" t="s">
        <v>325</v>
      </c>
      <c r="F33" s="951" t="s">
        <v>324</v>
      </c>
      <c r="G33" s="948" t="s">
        <v>325</v>
      </c>
      <c r="H33" s="949" t="s">
        <v>324</v>
      </c>
      <c r="I33" s="950" t="s">
        <v>325</v>
      </c>
      <c r="J33" s="2077" t="s">
        <v>324</v>
      </c>
    </row>
    <row r="34" spans="1:10">
      <c r="A34" s="2078" t="str">
        <f t="array" ref="A34:A41">productos</f>
        <v>producto o servicio</v>
      </c>
      <c r="B34" s="2632">
        <f t="array" aca="1" ref="B34:B41" ca="1">'Distr CV 0'!$N20:$N27</f>
        <v>2748.295454545455</v>
      </c>
      <c r="C34" s="2620">
        <f t="array" aca="1" ref="C34:C41" ca="1">'Distr CV 1'!$N20:$N27</f>
        <v>3867.5</v>
      </c>
      <c r="D34" s="943">
        <f t="array" aca="1" ref="D34:D42" ca="1">IF(B34:B42=0,"",(C34:C42-B34:B42)/B34:B42)</f>
        <v>0.40723589001447158</v>
      </c>
      <c r="E34" s="2623">
        <f t="array" aca="1" ref="E34:E41" ca="1">'Distr CV 2'!$N20:$N27</f>
        <v>3983.5250000000005</v>
      </c>
      <c r="F34" s="943">
        <f t="array" aca="1" ref="F34:F42" ca="1">IF(C34:C42=0,"",(E34:E42-C34:C42)/C34:C42)</f>
        <v>3.0000000000000141E-2</v>
      </c>
      <c r="G34" s="2620">
        <f t="array" aca="1" ref="G34:G41" ca="1">'Distr CV 3'!$N20:$N27</f>
        <v>4103.0307500000008</v>
      </c>
      <c r="H34" s="943">
        <f t="array" aca="1" ref="H34:H42" ca="1">IF(E34:E42=0,"",(G34:G42-E34:E42)/E34:E42)</f>
        <v>3.0000000000000061E-2</v>
      </c>
      <c r="I34" s="2626">
        <f t="array" aca="1" ref="I34:I41" ca="1">'Distr CV 4'!$N20:$N27</f>
        <v>4226.1216725000004</v>
      </c>
      <c r="J34" s="943">
        <f t="array" aca="1" ref="J34:J42" ca="1">IF(G34:G42=0,"",(I34:I42-G34:G42)/G34:G42)</f>
        <v>2.9999999999999891E-2</v>
      </c>
    </row>
    <row r="35" spans="1:10">
      <c r="A35" s="1521" t="str">
        <v/>
      </c>
      <c r="B35" s="2633">
        <f ca="1"/>
        <v>0</v>
      </c>
      <c r="C35" s="2621">
        <f ca="1"/>
        <v>0</v>
      </c>
      <c r="D35" s="944" t="str">
        <f ca="1"/>
        <v/>
      </c>
      <c r="E35" s="2624">
        <f ca="1"/>
        <v>0</v>
      </c>
      <c r="F35" s="944" t="str">
        <f ca="1"/>
        <v/>
      </c>
      <c r="G35" s="2621">
        <f ca="1"/>
        <v>0</v>
      </c>
      <c r="H35" s="944" t="str">
        <f ca="1"/>
        <v/>
      </c>
      <c r="I35" s="2627">
        <f ca="1"/>
        <v>0</v>
      </c>
      <c r="J35" s="944" t="str">
        <f ca="1"/>
        <v/>
      </c>
    </row>
    <row r="36" spans="1:10">
      <c r="A36" s="1521" t="str">
        <v/>
      </c>
      <c r="B36" s="2633">
        <f ca="1"/>
        <v>0</v>
      </c>
      <c r="C36" s="2621">
        <f ca="1"/>
        <v>0</v>
      </c>
      <c r="D36" s="944" t="str">
        <f ca="1"/>
        <v/>
      </c>
      <c r="E36" s="2624">
        <f ca="1"/>
        <v>0</v>
      </c>
      <c r="F36" s="944" t="str">
        <f ca="1"/>
        <v/>
      </c>
      <c r="G36" s="2621">
        <f ca="1"/>
        <v>0</v>
      </c>
      <c r="H36" s="944" t="str">
        <f ca="1"/>
        <v/>
      </c>
      <c r="I36" s="2627">
        <f ca="1"/>
        <v>0</v>
      </c>
      <c r="J36" s="944" t="str">
        <f ca="1"/>
        <v/>
      </c>
    </row>
    <row r="37" spans="1:10">
      <c r="A37" s="1521" t="str">
        <v/>
      </c>
      <c r="B37" s="2633">
        <f ca="1"/>
        <v>0</v>
      </c>
      <c r="C37" s="2621">
        <f ca="1"/>
        <v>0</v>
      </c>
      <c r="D37" s="944" t="str">
        <f ca="1"/>
        <v/>
      </c>
      <c r="E37" s="2624">
        <f ca="1"/>
        <v>0</v>
      </c>
      <c r="F37" s="944" t="str">
        <f ca="1"/>
        <v/>
      </c>
      <c r="G37" s="2621">
        <f ca="1"/>
        <v>0</v>
      </c>
      <c r="H37" s="944" t="str">
        <f ca="1"/>
        <v/>
      </c>
      <c r="I37" s="2627">
        <f ca="1"/>
        <v>0</v>
      </c>
      <c r="J37" s="944" t="str">
        <f ca="1"/>
        <v/>
      </c>
    </row>
    <row r="38" spans="1:10">
      <c r="A38" s="1521" t="str">
        <v/>
      </c>
      <c r="B38" s="2633">
        <f ca="1"/>
        <v>0</v>
      </c>
      <c r="C38" s="2621">
        <f ca="1"/>
        <v>0</v>
      </c>
      <c r="D38" s="944" t="str">
        <f ca="1"/>
        <v/>
      </c>
      <c r="E38" s="2624">
        <f ca="1"/>
        <v>0</v>
      </c>
      <c r="F38" s="944" t="str">
        <f ca="1"/>
        <v/>
      </c>
      <c r="G38" s="2621">
        <f ca="1"/>
        <v>0</v>
      </c>
      <c r="H38" s="944" t="str">
        <f ca="1"/>
        <v/>
      </c>
      <c r="I38" s="2627">
        <f ca="1"/>
        <v>0</v>
      </c>
      <c r="J38" s="944" t="str">
        <f ca="1"/>
        <v/>
      </c>
    </row>
    <row r="39" spans="1:10">
      <c r="A39" s="1521" t="str">
        <v/>
      </c>
      <c r="B39" s="2633">
        <f ca="1"/>
        <v>0</v>
      </c>
      <c r="C39" s="2621">
        <f ca="1"/>
        <v>0</v>
      </c>
      <c r="D39" s="944" t="str">
        <f ca="1"/>
        <v/>
      </c>
      <c r="E39" s="2624">
        <f ca="1"/>
        <v>0</v>
      </c>
      <c r="F39" s="944" t="str">
        <f ca="1"/>
        <v/>
      </c>
      <c r="G39" s="2621">
        <f ca="1"/>
        <v>0</v>
      </c>
      <c r="H39" s="944" t="str">
        <f ca="1"/>
        <v/>
      </c>
      <c r="I39" s="2627">
        <f ca="1"/>
        <v>0</v>
      </c>
      <c r="J39" s="944" t="str">
        <f ca="1"/>
        <v/>
      </c>
    </row>
    <row r="40" spans="1:10">
      <c r="A40" s="1521" t="str">
        <v/>
      </c>
      <c r="B40" s="2633">
        <f ca="1"/>
        <v>0</v>
      </c>
      <c r="C40" s="2621">
        <f ca="1"/>
        <v>0</v>
      </c>
      <c r="D40" s="944" t="str">
        <f ca="1"/>
        <v/>
      </c>
      <c r="E40" s="2624">
        <f ca="1"/>
        <v>0</v>
      </c>
      <c r="F40" s="944" t="str">
        <f ca="1"/>
        <v/>
      </c>
      <c r="G40" s="2621">
        <f ca="1"/>
        <v>0</v>
      </c>
      <c r="H40" s="944" t="str">
        <f ca="1"/>
        <v/>
      </c>
      <c r="I40" s="2627">
        <f ca="1"/>
        <v>0</v>
      </c>
      <c r="J40" s="944" t="str">
        <f ca="1"/>
        <v/>
      </c>
    </row>
    <row r="41" spans="1:10" ht="13.5" thickBot="1">
      <c r="A41" s="1522" t="str">
        <v/>
      </c>
      <c r="B41" s="2634">
        <f ca="1"/>
        <v>0</v>
      </c>
      <c r="C41" s="2630">
        <f ca="1"/>
        <v>0</v>
      </c>
      <c r="D41" s="2079" t="str">
        <f ca="1"/>
        <v/>
      </c>
      <c r="E41" s="2631">
        <f ca="1"/>
        <v>0</v>
      </c>
      <c r="F41" s="2079" t="str">
        <f ca="1"/>
        <v/>
      </c>
      <c r="G41" s="2630">
        <f ca="1"/>
        <v>0</v>
      </c>
      <c r="H41" s="2079" t="str">
        <f ca="1"/>
        <v/>
      </c>
      <c r="I41" s="2629">
        <f ca="1"/>
        <v>0</v>
      </c>
      <c r="J41" s="2079" t="str">
        <f ca="1"/>
        <v/>
      </c>
    </row>
    <row r="42" spans="1:10" s="946" customFormat="1" ht="18.75" customHeight="1" thickBot="1">
      <c r="A42" s="2088" t="s">
        <v>15</v>
      </c>
      <c r="B42" s="2082">
        <f ca="1">SUM(B34:B41)</f>
        <v>2748.295454545455</v>
      </c>
      <c r="C42" s="2083">
        <f ca="1">SUM(C34:C41)</f>
        <v>3867.5</v>
      </c>
      <c r="D42" s="2084">
        <f ca="1"/>
        <v>0.40723589001447158</v>
      </c>
      <c r="E42" s="2085">
        <f ca="1">SUM(E34:E41)</f>
        <v>3983.5250000000005</v>
      </c>
      <c r="F42" s="2086">
        <f ca="1"/>
        <v>3.0000000000000141E-2</v>
      </c>
      <c r="G42" s="2083">
        <f ca="1">SUM(G34:G41)</f>
        <v>4103.0307500000008</v>
      </c>
      <c r="H42" s="2084">
        <f ca="1"/>
        <v>3.0000000000000061E-2</v>
      </c>
      <c r="I42" s="2087">
        <f ca="1">SUM(I34:I41)</f>
        <v>4226.1216725000004</v>
      </c>
      <c r="J42" s="2084">
        <f ca="1"/>
        <v>2.9999999999999891E-2</v>
      </c>
    </row>
    <row r="43" spans="1:10" s="232" customFormat="1">
      <c r="A43" s="60"/>
      <c r="B43" s="60"/>
    </row>
    <row r="44" spans="1:10" s="232" customFormat="1">
      <c r="A44" s="60"/>
      <c r="B44" s="60"/>
    </row>
    <row r="45" spans="1:10" s="232" customFormat="1" ht="25.5">
      <c r="A45" s="36" t="s">
        <v>1099</v>
      </c>
      <c r="B45" s="60"/>
    </row>
    <row r="46" spans="1:10" s="232" customFormat="1" ht="26.25" thickBot="1">
      <c r="A46" s="36" t="str">
        <f>'Datos Básicos'!$B$9</f>
        <v>nombre empresa</v>
      </c>
      <c r="B46" s="60"/>
    </row>
    <row r="47" spans="1:10" s="232" customFormat="1" ht="15">
      <c r="A47" s="2080" t="s">
        <v>1101</v>
      </c>
      <c r="B47" s="2071" t="str">
        <f>B$4</f>
        <v>Año 0:  2026</v>
      </c>
      <c r="C47" s="2071" t="str">
        <f>C$4</f>
        <v>Año 1:  2027</v>
      </c>
      <c r="D47" s="2072"/>
      <c r="E47" s="2073" t="str">
        <f>E$4</f>
        <v>Año 2:  2028</v>
      </c>
      <c r="F47" s="2074"/>
      <c r="G47" s="2071" t="str">
        <f>G$4</f>
        <v>Año 3:  2029</v>
      </c>
      <c r="H47" s="2072"/>
      <c r="I47" s="2073" t="str">
        <f>I$4</f>
        <v>Año 4:  2030</v>
      </c>
      <c r="J47" s="2075"/>
    </row>
    <row r="48" spans="1:10" s="232" customFormat="1" ht="15.75" thickBot="1">
      <c r="A48" s="2081" t="str">
        <f>"( "&amp;Moneda&amp;" )"</f>
        <v>( Euros )</v>
      </c>
      <c r="B48" s="947" t="s">
        <v>1100</v>
      </c>
      <c r="C48" s="948" t="s">
        <v>1100</v>
      </c>
      <c r="D48" s="949" t="s">
        <v>324</v>
      </c>
      <c r="E48" s="950" t="s">
        <v>1100</v>
      </c>
      <c r="F48" s="951" t="s">
        <v>324</v>
      </c>
      <c r="G48" s="948" t="s">
        <v>1100</v>
      </c>
      <c r="H48" s="949" t="s">
        <v>324</v>
      </c>
      <c r="I48" s="950" t="s">
        <v>1100</v>
      </c>
      <c r="J48" s="2077" t="s">
        <v>324</v>
      </c>
    </row>
    <row r="49" spans="1:10" s="232" customFormat="1">
      <c r="A49" s="2078" t="str">
        <f t="array" ref="A49:A56">productos</f>
        <v>producto o servicio</v>
      </c>
      <c r="B49" s="2632">
        <f t="array" aca="1" ref="B49:B56" ca="1">B19:B26-B34:B41</f>
        <v>24734.659090909085</v>
      </c>
      <c r="C49" s="2632">
        <f t="array" aca="1" ref="C49:C56" ca="1">C19:C26-C34:C41</f>
        <v>34807.5</v>
      </c>
      <c r="D49" s="943">
        <f t="array" aca="1" ref="D49:D56" ca="1">IF(B49:B57=0,"",(C49:C57-B49:B57)/B49:B57)</f>
        <v>0.40723589001447213</v>
      </c>
      <c r="E49" s="2632">
        <f t="array" aca="1" ref="E49:E56" ca="1">E19:E26-E34:E41</f>
        <v>35851.724999999999</v>
      </c>
      <c r="F49" s="943">
        <f t="array" aca="1" ref="F49:F56" ca="1">IF(C49:C57=0,"",(E49:E57-C49:C57)/C49:C57)</f>
        <v>2.9999999999999957E-2</v>
      </c>
      <c r="G49" s="2632">
        <f t="array" aca="1" ref="G49:G56" ca="1">G19:G26-G34:G41</f>
        <v>36927.276750000005</v>
      </c>
      <c r="H49" s="943">
        <f t="array" aca="1" ref="H49:H56" ca="1">IF(E49:E57=0,"",(G49:G57-E49:E57)/E49:E57)</f>
        <v>3.0000000000000169E-2</v>
      </c>
      <c r="I49" s="2632">
        <f t="array" aca="1" ref="I49:I56" ca="1">I19:I26-I34:I41</f>
        <v>38035.095052500008</v>
      </c>
      <c r="J49" s="943">
        <f t="array" aca="1" ref="J49:J56" ca="1">IF(G49:G57=0,"",(I49:I57-G49:G57)/G49:G57)</f>
        <v>3.0000000000000089E-2</v>
      </c>
    </row>
    <row r="50" spans="1:10" s="232" customFormat="1">
      <c r="A50" s="1521" t="str">
        <v/>
      </c>
      <c r="B50" s="2633">
        <f ca="1"/>
        <v>0</v>
      </c>
      <c r="C50" s="2633">
        <f ca="1"/>
        <v>0</v>
      </c>
      <c r="D50" s="944" t="str">
        <f ca="1"/>
        <v/>
      </c>
      <c r="E50" s="2633">
        <f ca="1"/>
        <v>0</v>
      </c>
      <c r="F50" s="944" t="str">
        <f ca="1"/>
        <v/>
      </c>
      <c r="G50" s="2633">
        <f ca="1"/>
        <v>0</v>
      </c>
      <c r="H50" s="944" t="str">
        <f ca="1"/>
        <v/>
      </c>
      <c r="I50" s="2633">
        <f ca="1"/>
        <v>0</v>
      </c>
      <c r="J50" s="944" t="str">
        <f ca="1"/>
        <v/>
      </c>
    </row>
    <row r="51" spans="1:10" s="232" customFormat="1">
      <c r="A51" s="1521" t="str">
        <v/>
      </c>
      <c r="B51" s="2633">
        <f ca="1"/>
        <v>0</v>
      </c>
      <c r="C51" s="2633">
        <f ca="1"/>
        <v>0</v>
      </c>
      <c r="D51" s="944" t="str">
        <f ca="1"/>
        <v/>
      </c>
      <c r="E51" s="2633">
        <f ca="1"/>
        <v>0</v>
      </c>
      <c r="F51" s="944" t="str">
        <f ca="1"/>
        <v/>
      </c>
      <c r="G51" s="2633">
        <f ca="1"/>
        <v>0</v>
      </c>
      <c r="H51" s="944" t="str">
        <f ca="1"/>
        <v/>
      </c>
      <c r="I51" s="2633">
        <f ca="1"/>
        <v>0</v>
      </c>
      <c r="J51" s="944" t="str">
        <f ca="1"/>
        <v/>
      </c>
    </row>
    <row r="52" spans="1:10" s="232" customFormat="1">
      <c r="A52" s="1521" t="str">
        <v/>
      </c>
      <c r="B52" s="2633">
        <f ca="1"/>
        <v>0</v>
      </c>
      <c r="C52" s="2633">
        <f ca="1"/>
        <v>0</v>
      </c>
      <c r="D52" s="944" t="str">
        <f ca="1"/>
        <v/>
      </c>
      <c r="E52" s="2633">
        <f ca="1"/>
        <v>0</v>
      </c>
      <c r="F52" s="944" t="str">
        <f ca="1"/>
        <v/>
      </c>
      <c r="G52" s="2633">
        <f ca="1"/>
        <v>0</v>
      </c>
      <c r="H52" s="944" t="str">
        <f ca="1"/>
        <v/>
      </c>
      <c r="I52" s="2633">
        <f ca="1"/>
        <v>0</v>
      </c>
      <c r="J52" s="944" t="str">
        <f ca="1"/>
        <v/>
      </c>
    </row>
    <row r="53" spans="1:10" s="232" customFormat="1">
      <c r="A53" s="1521" t="str">
        <v/>
      </c>
      <c r="B53" s="2633">
        <f ca="1"/>
        <v>0</v>
      </c>
      <c r="C53" s="2633">
        <f ca="1"/>
        <v>0</v>
      </c>
      <c r="D53" s="944" t="str">
        <f ca="1"/>
        <v/>
      </c>
      <c r="E53" s="2633">
        <f ca="1"/>
        <v>0</v>
      </c>
      <c r="F53" s="944" t="str">
        <f ca="1"/>
        <v/>
      </c>
      <c r="G53" s="2633">
        <f ca="1"/>
        <v>0</v>
      </c>
      <c r="H53" s="944" t="str">
        <f ca="1"/>
        <v/>
      </c>
      <c r="I53" s="2633">
        <f ca="1"/>
        <v>0</v>
      </c>
      <c r="J53" s="944" t="str">
        <f ca="1"/>
        <v/>
      </c>
    </row>
    <row r="54" spans="1:10" s="232" customFormat="1">
      <c r="A54" s="1521" t="str">
        <v/>
      </c>
      <c r="B54" s="2633">
        <f ca="1"/>
        <v>0</v>
      </c>
      <c r="C54" s="2633">
        <f ca="1"/>
        <v>0</v>
      </c>
      <c r="D54" s="944" t="str">
        <f ca="1"/>
        <v/>
      </c>
      <c r="E54" s="2633">
        <f ca="1"/>
        <v>0</v>
      </c>
      <c r="F54" s="944" t="str">
        <f ca="1"/>
        <v/>
      </c>
      <c r="G54" s="2633">
        <f ca="1"/>
        <v>0</v>
      </c>
      <c r="H54" s="944" t="str">
        <f ca="1"/>
        <v/>
      </c>
      <c r="I54" s="2633">
        <f ca="1"/>
        <v>0</v>
      </c>
      <c r="J54" s="944" t="str">
        <f ca="1"/>
        <v/>
      </c>
    </row>
    <row r="55" spans="1:10" s="232" customFormat="1">
      <c r="A55" s="1521" t="str">
        <v/>
      </c>
      <c r="B55" s="2633">
        <f ca="1"/>
        <v>0</v>
      </c>
      <c r="C55" s="2633">
        <f ca="1"/>
        <v>0</v>
      </c>
      <c r="D55" s="944" t="str">
        <f ca="1"/>
        <v/>
      </c>
      <c r="E55" s="2633">
        <f ca="1"/>
        <v>0</v>
      </c>
      <c r="F55" s="944" t="str">
        <f ca="1"/>
        <v/>
      </c>
      <c r="G55" s="2633">
        <f ca="1"/>
        <v>0</v>
      </c>
      <c r="H55" s="944" t="str">
        <f ca="1"/>
        <v/>
      </c>
      <c r="I55" s="2633">
        <f ca="1"/>
        <v>0</v>
      </c>
      <c r="J55" s="944" t="str">
        <f ca="1"/>
        <v/>
      </c>
    </row>
    <row r="56" spans="1:10" s="232" customFormat="1" ht="13.5" thickBot="1">
      <c r="A56" s="1522" t="str">
        <v/>
      </c>
      <c r="B56" s="2634">
        <f ca="1"/>
        <v>0</v>
      </c>
      <c r="C56" s="2634">
        <f ca="1"/>
        <v>0</v>
      </c>
      <c r="D56" s="2079" t="str">
        <f ca="1"/>
        <v/>
      </c>
      <c r="E56" s="2634">
        <f ca="1"/>
        <v>0</v>
      </c>
      <c r="F56" s="2079" t="str">
        <f ca="1"/>
        <v/>
      </c>
      <c r="G56" s="2634">
        <f ca="1"/>
        <v>0</v>
      </c>
      <c r="H56" s="2079" t="str">
        <f ca="1"/>
        <v/>
      </c>
      <c r="I56" s="2634">
        <f ca="1"/>
        <v>0</v>
      </c>
      <c r="J56" s="2079" t="str">
        <f ca="1"/>
        <v/>
      </c>
    </row>
    <row r="57" spans="1:10" s="232" customFormat="1" ht="15" thickBot="1">
      <c r="A57" s="2088" t="s">
        <v>15</v>
      </c>
      <c r="B57" s="2082">
        <f ca="1">SUM(B49:B56)</f>
        <v>24734.659090909085</v>
      </c>
      <c r="C57" s="2083">
        <f ca="1">SUM(C49:C56)</f>
        <v>34807.5</v>
      </c>
      <c r="D57" s="2084">
        <f t="array" aca="1" ref="D57" ca="1">IF(B57:B65=0,"",(C57:C65-B57:B65)/B57:B65)</f>
        <v>0.40723589001447213</v>
      </c>
      <c r="E57" s="2085">
        <f ca="1">SUM(E49:E56)</f>
        <v>35851.724999999999</v>
      </c>
      <c r="F57" s="2086">
        <f t="array" aca="1" ref="F57" ca="1">IF(C57:C65=0,"",(E57:E65-C57:C65)/C57:C65)</f>
        <v>2.9999999999999957E-2</v>
      </c>
      <c r="G57" s="2083">
        <f ca="1">SUM(G49:G56)</f>
        <v>36927.276750000005</v>
      </c>
      <c r="H57" s="2084">
        <f t="array" aca="1" ref="H57" ca="1">IF(E57:E65=0,"",(G57:G65-E57:E65)/E57:E65)</f>
        <v>3.0000000000000169E-2</v>
      </c>
      <c r="I57" s="2087">
        <f ca="1">SUM(I49:I56)</f>
        <v>38035.095052500008</v>
      </c>
      <c r="J57" s="2084">
        <f t="array" aca="1" ref="J57" ca="1">IF(G57:G65=0,"",(I57:I65-G57:G65)/G57:G65)</f>
        <v>3.0000000000000089E-2</v>
      </c>
    </row>
    <row r="58" spans="1:10" s="232" customFormat="1">
      <c r="A58" s="60"/>
      <c r="B58" s="60"/>
    </row>
    <row r="59" spans="1:10" s="232" customFormat="1">
      <c r="A59" s="60"/>
      <c r="B59" s="60"/>
    </row>
    <row r="60" spans="1:10" s="232" customFormat="1">
      <c r="A60" s="60"/>
      <c r="B60" s="60"/>
    </row>
    <row r="61" spans="1:10" s="232" customFormat="1">
      <c r="A61" s="60"/>
      <c r="B61" s="60"/>
    </row>
    <row r="62" spans="1:10" s="232" customFormat="1" ht="25.5">
      <c r="A62" s="36" t="s">
        <v>323</v>
      </c>
      <c r="B62" s="60"/>
    </row>
    <row r="63" spans="1:10" s="232" customFormat="1">
      <c r="A63" s="60"/>
      <c r="B63" s="60"/>
    </row>
    <row r="65" spans="1:2" s="232" customFormat="1">
      <c r="A65" s="60"/>
      <c r="B65" s="60"/>
    </row>
    <row r="66" spans="1:2" s="232" customFormat="1">
      <c r="A66" s="60"/>
      <c r="B66" s="60"/>
    </row>
    <row r="67" spans="1:2" s="232" customFormat="1">
      <c r="A67" s="60"/>
      <c r="B67" s="60"/>
    </row>
    <row r="68" spans="1:2" s="232" customFormat="1">
      <c r="A68" s="60"/>
      <c r="B68" s="60"/>
    </row>
    <row r="69" spans="1:2" s="232" customFormat="1">
      <c r="A69" s="60"/>
      <c r="B69" s="60"/>
    </row>
    <row r="70" spans="1:2" s="232" customFormat="1">
      <c r="A70" s="60"/>
      <c r="B70" s="60"/>
    </row>
    <row r="71" spans="1:2" s="232" customFormat="1">
      <c r="A71" s="60"/>
      <c r="B71" s="60"/>
    </row>
    <row r="72" spans="1:2" s="232" customFormat="1">
      <c r="A72" s="60"/>
      <c r="B72" s="60"/>
    </row>
    <row r="73" spans="1:2" s="232" customFormat="1">
      <c r="A73" s="60"/>
      <c r="B73" s="60"/>
    </row>
    <row r="74" spans="1:2" s="232" customFormat="1">
      <c r="A74" s="60"/>
      <c r="B74" s="60"/>
    </row>
    <row r="75" spans="1:2" s="232" customFormat="1">
      <c r="A75" s="60"/>
      <c r="B75" s="60"/>
    </row>
    <row r="76" spans="1:2" s="232" customFormat="1">
      <c r="A76" s="60"/>
      <c r="B76" s="60"/>
    </row>
    <row r="77" spans="1:2" s="232" customFormat="1">
      <c r="A77" s="60"/>
      <c r="B77" s="60"/>
    </row>
    <row r="78" spans="1:2" s="232" customFormat="1">
      <c r="A78" s="60"/>
      <c r="B78" s="60"/>
    </row>
    <row r="79" spans="1:2" s="232" customFormat="1">
      <c r="A79" s="60"/>
      <c r="B79" s="60"/>
    </row>
    <row r="80" spans="1:2" s="232" customFormat="1">
      <c r="A80" s="60"/>
      <c r="B80" s="60"/>
    </row>
    <row r="81" spans="1:15">
      <c r="A81" s="60"/>
    </row>
    <row r="82" spans="1:15">
      <c r="A82" s="60"/>
    </row>
    <row r="83" spans="1:15">
      <c r="A83" s="60"/>
    </row>
    <row r="84" spans="1:15">
      <c r="A84" s="60"/>
    </row>
    <row r="85" spans="1:15">
      <c r="A85" s="60"/>
    </row>
    <row r="86" spans="1:15">
      <c r="A86" s="60"/>
    </row>
    <row r="87" spans="1:15">
      <c r="A87" s="60"/>
    </row>
    <row r="88" spans="1:15">
      <c r="A88" s="60"/>
    </row>
    <row r="89" spans="1:15" ht="25.5">
      <c r="A89" s="945"/>
      <c r="B89" s="61"/>
      <c r="E89" s="941"/>
      <c r="F89" s="941"/>
    </row>
    <row r="90" spans="1:15" ht="25.5">
      <c r="A90" s="945"/>
    </row>
    <row r="91" spans="1:15" ht="18.75" customHeight="1">
      <c r="O91" s="232"/>
    </row>
    <row r="102" spans="2:2">
      <c r="B102" s="61"/>
    </row>
    <row r="103" spans="2:2">
      <c r="B103" s="61"/>
    </row>
  </sheetData>
  <sheetProtection sheet="1" objects="1" scenarios="1"/>
  <phoneticPr fontId="6" type="noConversion"/>
  <printOptions horizontalCentered="1"/>
  <pageMargins left="0.6692913385826772" right="0.55118110236220474" top="0.78" bottom="0.70866141732283472" header="0.51181102362204722" footer="0.39370078740157483"/>
  <pageSetup paperSize="9" scale="66" orientation="portrait" horizontalDpi="300" verticalDpi="300" r:id="rId1"/>
  <headerFooter alignWithMargins="0">
    <oddFooter>&amp;C&amp;"Tahoma,Normal"&amp;10&amp;A</oddFooter>
  </headerFooter>
  <rowBreaks count="1" manualBreakCount="1">
    <brk id="80"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16">
    <tabColor indexed="42"/>
    <pageSetUpPr fitToPage="1"/>
  </sheetPr>
  <dimension ref="A1:N34"/>
  <sheetViews>
    <sheetView workbookViewId="0"/>
  </sheetViews>
  <sheetFormatPr baseColWidth="10" defaultColWidth="11" defaultRowHeight="12.75"/>
  <cols>
    <col min="1" max="1" width="30" style="61" customWidth="1"/>
    <col min="2" max="13" width="10.875" style="61" customWidth="1"/>
    <col min="14" max="14" width="12.25" style="232" customWidth="1"/>
    <col min="15" max="16384" width="11" style="61"/>
  </cols>
  <sheetData>
    <row r="1" spans="1:14" ht="22.5">
      <c r="A1" s="325" t="s">
        <v>606</v>
      </c>
      <c r="E1" s="232"/>
      <c r="F1" s="232"/>
      <c r="I1" s="234" t="str">
        <f>Parametros!B$77</f>
        <v>Año 0:  2026</v>
      </c>
      <c r="L1" s="407"/>
    </row>
    <row r="2" spans="1:14" s="408" customFormat="1" ht="22.5">
      <c r="A2" s="67" t="str">
        <f>'Datos Básicos'!B9</f>
        <v>nombre empresa</v>
      </c>
      <c r="C2" s="409"/>
      <c r="D2" s="277"/>
      <c r="N2" s="410"/>
    </row>
    <row r="3" spans="1:14" s="408" customFormat="1" ht="26.25" thickBot="1">
      <c r="A3" s="59"/>
      <c r="B3" s="2327">
        <v>1</v>
      </c>
      <c r="C3" s="2327">
        <v>2</v>
      </c>
      <c r="D3" s="2327">
        <v>3</v>
      </c>
      <c r="E3" s="2327">
        <v>4</v>
      </c>
      <c r="F3" s="2327">
        <v>5</v>
      </c>
      <c r="G3" s="2327">
        <v>6</v>
      </c>
      <c r="H3" s="2327">
        <v>7</v>
      </c>
      <c r="I3" s="2327">
        <v>8</v>
      </c>
      <c r="J3" s="2327">
        <v>9</v>
      </c>
      <c r="K3" s="2327">
        <v>10</v>
      </c>
      <c r="L3" s="2327">
        <v>11</v>
      </c>
      <c r="M3" s="2327">
        <v>12</v>
      </c>
      <c r="N3" s="410"/>
    </row>
    <row r="4" spans="1:14" s="411" customFormat="1" ht="21.75" customHeight="1" thickBot="1">
      <c r="A4" s="414" t="str">
        <f t="array" ref="A4:A7">'PPyGG anuales'!A4:A7</f>
        <v>Conceptos</v>
      </c>
      <c r="B4" s="415" t="str">
        <f t="array" ref="B4:M4">meses</f>
        <v>enero</v>
      </c>
      <c r="C4" s="415" t="str">
        <v>febrero</v>
      </c>
      <c r="D4" s="415" t="str">
        <v>marzo</v>
      </c>
      <c r="E4" s="415" t="str">
        <v>abril</v>
      </c>
      <c r="F4" s="415" t="str">
        <v>mayo</v>
      </c>
      <c r="G4" s="415" t="str">
        <v>junio</v>
      </c>
      <c r="H4" s="415" t="str">
        <v>julio</v>
      </c>
      <c r="I4" s="415" t="str">
        <v>agosto</v>
      </c>
      <c r="J4" s="415" t="str">
        <v>septiembre</v>
      </c>
      <c r="K4" s="415" t="str">
        <v>octubre</v>
      </c>
      <c r="L4" s="415" t="str">
        <v>noviembre</v>
      </c>
      <c r="M4" s="415" t="str">
        <v>diciembre</v>
      </c>
      <c r="N4" s="415" t="s">
        <v>11</v>
      </c>
    </row>
    <row r="5" spans="1:14" s="410" customFormat="1" ht="16.149999999999999" customHeight="1">
      <c r="A5" s="416" t="str">
        <v>Ingresos por ventas</v>
      </c>
      <c r="B5" s="605">
        <f t="array" aca="1" ref="B5:M5" ca="1">'Prev.Ventas 0'!B25:M25</f>
        <v>1750</v>
      </c>
      <c r="C5" s="605">
        <f ca="1"/>
        <v>1870.6439393939395</v>
      </c>
      <c r="D5" s="605">
        <f ca="1"/>
        <v>2054.9242424242425</v>
      </c>
      <c r="E5" s="605">
        <f ca="1"/>
        <v>2159.659090909091</v>
      </c>
      <c r="F5" s="605">
        <f ca="1"/>
        <v>2105.30303030303</v>
      </c>
      <c r="G5" s="605">
        <f ca="1"/>
        <v>2114.583333333333</v>
      </c>
      <c r="H5" s="605">
        <f ca="1"/>
        <v>2092.0454545454545</v>
      </c>
      <c r="I5" s="605">
        <f ca="1"/>
        <v>1703.5984848484848</v>
      </c>
      <c r="J5" s="605">
        <f ca="1"/>
        <v>2206.060606060606</v>
      </c>
      <c r="K5" s="605">
        <f ca="1"/>
        <v>2692.613636363636</v>
      </c>
      <c r="L5" s="605">
        <f ca="1"/>
        <v>2956.4393939393935</v>
      </c>
      <c r="M5" s="605">
        <f ca="1"/>
        <v>3777.083333333333</v>
      </c>
      <c r="N5" s="606">
        <f ca="1">SUM(B5:M5)</f>
        <v>27482.95454545454</v>
      </c>
    </row>
    <row r="6" spans="1:14" s="410" customFormat="1" ht="16.149999999999999" customHeight="1">
      <c r="A6" s="1596" t="str">
        <v>Imputación de subvenciones</v>
      </c>
      <c r="B6" s="609">
        <f>IF(OR(B$3&lt;mes0,B$3&gt;mes0+Parametros!$B$38*12-1),0,Financiación!$C$19/Parametros!$B$38/12)
+IF(B$3&lt;mes0,0,Financiación!$D$19/Parametros!$C$38/12)</f>
        <v>0</v>
      </c>
      <c r="C6" s="609">
        <f>IF(OR(C$3&lt;mes0,C$3&gt;mes0+Parametros!$B$38*12-1),0,Financiación!$C$19/Parametros!$B$38/12)
+IF(C$3&lt;mes0,0,Financiación!$D$19/Parametros!$C$38/12)</f>
        <v>0</v>
      </c>
      <c r="D6" s="609">
        <f>IF(OR(D$3&lt;mes0,D$3&gt;mes0+Parametros!$B$38*12-1),0,Financiación!$C$19/Parametros!$B$38/12)
+IF(D$3&lt;mes0,0,Financiación!$D$19/Parametros!$C$38/12)</f>
        <v>0</v>
      </c>
      <c r="E6" s="609">
        <f>IF(OR(E$3&lt;mes0,E$3&gt;mes0+Parametros!$B$38*12-1),0,Financiación!$C$19/Parametros!$B$38/12)
+IF(E$3&lt;mes0,0,Financiación!$D$19/Parametros!$C$38/12)</f>
        <v>0</v>
      </c>
      <c r="F6" s="609">
        <f>IF(OR(F$3&lt;mes0,F$3&gt;mes0+Parametros!$B$38*12-1),0,Financiación!$C$19/Parametros!$B$38/12)
+IF(F$3&lt;mes0,0,Financiación!$D$19/Parametros!$C$38/12)</f>
        <v>0</v>
      </c>
      <c r="G6" s="609">
        <f>IF(OR(G$3&lt;mes0,G$3&gt;mes0+Parametros!$B$38*12-1),0,Financiación!$C$19/Parametros!$B$38/12)
+IF(G$3&lt;mes0,0,Financiación!$D$19/Parametros!$C$38/12)</f>
        <v>0</v>
      </c>
      <c r="H6" s="609">
        <f>IF(OR(H$3&lt;mes0,H$3&gt;mes0+Parametros!$B$38*12-1),0,Financiación!$C$19/Parametros!$B$38/12)
+IF(H$3&lt;mes0,0,Financiación!$D$19/Parametros!$C$38/12)</f>
        <v>0</v>
      </c>
      <c r="I6" s="609">
        <f>IF(OR(I$3&lt;mes0,I$3&gt;mes0+Parametros!$B$38*12-1),0,Financiación!$C$19/Parametros!$B$38/12)
+IF(I$3&lt;mes0,0,Financiación!$D$19/Parametros!$C$38/12)</f>
        <v>0</v>
      </c>
      <c r="J6" s="609">
        <f>IF(OR(J$3&lt;mes0,J$3&gt;mes0+Parametros!$B$38*12-1),0,Financiación!$C$19/Parametros!$B$38/12)
+IF(J$3&lt;mes0,0,Financiación!$D$19/Parametros!$C$38/12)</f>
        <v>0</v>
      </c>
      <c r="K6" s="609">
        <f>IF(OR(K$3&lt;mes0,K$3&gt;mes0+Parametros!$B$38*12-1),0,Financiación!$C$19/Parametros!$B$38/12)
+IF(K$3&lt;mes0,0,Financiación!$D$19/Parametros!$C$38/12)</f>
        <v>0</v>
      </c>
      <c r="L6" s="609">
        <f>IF(OR(L$3&lt;mes0,L$3&gt;mes0+Parametros!$B$38*12-1),0,Financiación!$C$19/Parametros!$B$38/12)
+IF(L$3&lt;mes0,0,Financiación!$D$19/Parametros!$C$38/12)</f>
        <v>0</v>
      </c>
      <c r="M6" s="609">
        <f>IF(OR(M$3&lt;mes0,M$3&gt;mes0+Parametros!$B$38*12-1),0,Financiación!$C$19/Parametros!$B$38/12)
+IF(M$3&lt;mes0,0,Financiación!$D$19/Parametros!$C$38/12)</f>
        <v>0</v>
      </c>
      <c r="N6" s="608">
        <f>SUM(B6:M6)</f>
        <v>0</v>
      </c>
    </row>
    <row r="7" spans="1:14" s="410" customFormat="1" ht="16.149999999999999" customHeight="1">
      <c r="A7" s="1597" t="str">
        <v>Total Ingresos de Explotación</v>
      </c>
      <c r="B7" s="1598">
        <f t="array" aca="1" ref="B7:M7" ca="1">B5:M5+B6:M6</f>
        <v>1750</v>
      </c>
      <c r="C7" s="1598">
        <f ca="1"/>
        <v>1870.6439393939395</v>
      </c>
      <c r="D7" s="1598">
        <f ca="1"/>
        <v>2054.9242424242425</v>
      </c>
      <c r="E7" s="1598">
        <f ca="1"/>
        <v>2159.659090909091</v>
      </c>
      <c r="F7" s="1598">
        <f ca="1"/>
        <v>2105.30303030303</v>
      </c>
      <c r="G7" s="1598">
        <f ca="1"/>
        <v>2114.583333333333</v>
      </c>
      <c r="H7" s="1598">
        <f ca="1"/>
        <v>2092.0454545454545</v>
      </c>
      <c r="I7" s="1598">
        <f ca="1"/>
        <v>1703.5984848484848</v>
      </c>
      <c r="J7" s="1598">
        <f ca="1"/>
        <v>2206.060606060606</v>
      </c>
      <c r="K7" s="1598">
        <f ca="1"/>
        <v>2692.613636363636</v>
      </c>
      <c r="L7" s="1598">
        <f ca="1"/>
        <v>2956.4393939393935</v>
      </c>
      <c r="M7" s="1598">
        <f ca="1"/>
        <v>3777.083333333333</v>
      </c>
      <c r="N7" s="608">
        <f ca="1">SUM(B7:M7)</f>
        <v>27482.95454545454</v>
      </c>
    </row>
    <row r="8" spans="1:14" s="410" customFormat="1" ht="16.149999999999999" customHeight="1">
      <c r="A8" s="1596"/>
      <c r="B8" s="609"/>
      <c r="C8" s="609"/>
      <c r="D8" s="609"/>
      <c r="E8" s="609"/>
      <c r="F8" s="609"/>
      <c r="G8" s="609"/>
      <c r="H8" s="609"/>
      <c r="I8" s="609"/>
      <c r="J8" s="609"/>
      <c r="K8" s="609"/>
      <c r="L8" s="609"/>
      <c r="M8" s="609"/>
      <c r="N8" s="608"/>
    </row>
    <row r="9" spans="1:14" s="408" customFormat="1" ht="16.149999999999999" customHeight="1">
      <c r="A9" s="417" t="str">
        <f t="array" ref="A9:A11">'PPyGG anuales'!A9:A11</f>
        <v>Costes variables / Directos</v>
      </c>
      <c r="B9" s="605">
        <f t="array" aca="1" ref="B9:M9" ca="1">'Distr CV 0'!B28:M28</f>
        <v>175.00000000000003</v>
      </c>
      <c r="C9" s="605">
        <f ca="1"/>
        <v>187.06439393939397</v>
      </c>
      <c r="D9" s="605">
        <f ca="1"/>
        <v>205.49242424242425</v>
      </c>
      <c r="E9" s="605">
        <f ca="1"/>
        <v>215.96590909090909</v>
      </c>
      <c r="F9" s="605">
        <f ca="1"/>
        <v>210.53030303030306</v>
      </c>
      <c r="G9" s="605">
        <f ca="1"/>
        <v>211.45833333333334</v>
      </c>
      <c r="H9" s="605">
        <f ca="1"/>
        <v>209.2045454545455</v>
      </c>
      <c r="I9" s="605">
        <f ca="1"/>
        <v>170.35984848484847</v>
      </c>
      <c r="J9" s="605">
        <f ca="1"/>
        <v>220.60606060606062</v>
      </c>
      <c r="K9" s="605">
        <f ca="1"/>
        <v>269.26136363636363</v>
      </c>
      <c r="L9" s="605">
        <f ca="1"/>
        <v>295.64393939393938</v>
      </c>
      <c r="M9" s="605">
        <f ca="1"/>
        <v>377.70833333333331</v>
      </c>
      <c r="N9" s="606">
        <f ca="1">SUM(B9:M9)</f>
        <v>2748.295454545455</v>
      </c>
    </row>
    <row r="10" spans="1:14" s="408" customFormat="1" ht="16.149999999999999" customHeight="1">
      <c r="A10" s="417" t="str">
        <v>Impagados / Cobros fallidos</v>
      </c>
      <c r="B10" s="609">
        <v>0</v>
      </c>
      <c r="C10" s="609">
        <v>0</v>
      </c>
      <c r="D10" s="609">
        <v>0</v>
      </c>
      <c r="E10" s="609">
        <v>0</v>
      </c>
      <c r="F10" s="609">
        <v>0</v>
      </c>
      <c r="G10" s="609">
        <v>0</v>
      </c>
      <c r="H10" s="609">
        <v>0</v>
      </c>
      <c r="I10" s="609">
        <v>0</v>
      </c>
      <c r="J10" s="609">
        <v>0</v>
      </c>
      <c r="K10" s="609">
        <v>0</v>
      </c>
      <c r="L10" s="609">
        <v>0</v>
      </c>
      <c r="M10" s="609">
        <f ca="1">+'IVA 0'!O15</f>
        <v>0</v>
      </c>
      <c r="N10" s="608">
        <f ca="1">SUM(B10:M10)</f>
        <v>0</v>
      </c>
    </row>
    <row r="11" spans="1:14" s="408" customFormat="1" ht="16.149999999999999" customHeight="1">
      <c r="A11" s="1602" t="str">
        <v>Costes Directos y Comerciales</v>
      </c>
      <c r="B11" s="1598">
        <f t="array" ref="B11:M11" ca="1">B9:M9+B10:M10</f>
        <v>175.00000000000003</v>
      </c>
      <c r="C11" s="1598">
        <f ca="1"/>
        <v>187.06439393939397</v>
      </c>
      <c r="D11" s="1598">
        <f ca="1"/>
        <v>205.49242424242425</v>
      </c>
      <c r="E11" s="1598">
        <f ca="1"/>
        <v>215.96590909090909</v>
      </c>
      <c r="F11" s="1598">
        <f ca="1"/>
        <v>210.53030303030306</v>
      </c>
      <c r="G11" s="1598">
        <f ca="1"/>
        <v>211.45833333333334</v>
      </c>
      <c r="H11" s="1598">
        <f ca="1"/>
        <v>209.2045454545455</v>
      </c>
      <c r="I11" s="1598">
        <f ca="1"/>
        <v>170.35984848484847</v>
      </c>
      <c r="J11" s="1598">
        <f ca="1"/>
        <v>220.60606060606062</v>
      </c>
      <c r="K11" s="1598">
        <f ca="1"/>
        <v>269.26136363636363</v>
      </c>
      <c r="L11" s="1598">
        <f ca="1"/>
        <v>295.64393939393938</v>
      </c>
      <c r="M11" s="1598">
        <f ca="1"/>
        <v>377.70833333333331</v>
      </c>
      <c r="N11" s="608">
        <f ca="1">SUM(B11:M11)</f>
        <v>2748.295454545455</v>
      </c>
    </row>
    <row r="12" spans="1:14" s="408" customFormat="1" ht="16.149999999999999" customHeight="1">
      <c r="A12" s="940"/>
      <c r="B12" s="609"/>
      <c r="C12" s="609"/>
      <c r="D12" s="609"/>
      <c r="E12" s="609"/>
      <c r="F12" s="609"/>
      <c r="G12" s="609"/>
      <c r="H12" s="609"/>
      <c r="I12" s="609"/>
      <c r="J12" s="609"/>
      <c r="K12" s="609"/>
      <c r="L12" s="609"/>
      <c r="M12" s="609"/>
      <c r="N12" s="608"/>
    </row>
    <row r="13" spans="1:14" s="410" customFormat="1" ht="16.149999999999999" customHeight="1">
      <c r="A13" s="418" t="str">
        <f>'PPyGG anuales'!A13</f>
        <v>Margen Bruto s/Ventas</v>
      </c>
      <c r="B13" s="604">
        <f t="array" ref="B13:M13" ca="1">B7:M7-B11:M11</f>
        <v>1575</v>
      </c>
      <c r="C13" s="604">
        <f ca="1"/>
        <v>1683.5795454545455</v>
      </c>
      <c r="D13" s="604">
        <f ca="1"/>
        <v>1849.4318181818182</v>
      </c>
      <c r="E13" s="604">
        <f ca="1"/>
        <v>1943.693181818182</v>
      </c>
      <c r="F13" s="604">
        <f ca="1"/>
        <v>1894.772727272727</v>
      </c>
      <c r="G13" s="604">
        <f ca="1"/>
        <v>1903.1249999999998</v>
      </c>
      <c r="H13" s="604">
        <f ca="1"/>
        <v>1882.840909090909</v>
      </c>
      <c r="I13" s="604">
        <f ca="1"/>
        <v>1533.2386363636363</v>
      </c>
      <c r="J13" s="604">
        <f ca="1"/>
        <v>1985.4545454545455</v>
      </c>
      <c r="K13" s="604">
        <f ca="1"/>
        <v>2423.3522727272725</v>
      </c>
      <c r="L13" s="604">
        <f ca="1"/>
        <v>2660.795454545454</v>
      </c>
      <c r="M13" s="604">
        <f ca="1"/>
        <v>3399.3749999999995</v>
      </c>
      <c r="N13" s="606">
        <f t="shared" ref="N13:N29" ca="1" si="0">SUM(B13:M13)</f>
        <v>24734.659090909088</v>
      </c>
    </row>
    <row r="14" spans="1:14" s="410" customFormat="1" ht="16.149999999999999" customHeight="1">
      <c r="A14" s="418"/>
      <c r="B14" s="412"/>
      <c r="C14" s="412"/>
      <c r="D14" s="412"/>
      <c r="E14" s="412"/>
      <c r="F14" s="412"/>
      <c r="G14" s="412"/>
      <c r="H14" s="412"/>
      <c r="I14" s="412"/>
      <c r="J14" s="412"/>
      <c r="K14" s="412"/>
      <c r="L14" s="412"/>
      <c r="M14" s="412"/>
      <c r="N14" s="1606"/>
    </row>
    <row r="15" spans="1:14" s="408" customFormat="1" ht="16.149999999999999" customHeight="1">
      <c r="A15" s="940" t="str">
        <f t="array" ref="A15:A18">'PPyGG anuales'!A15:A18</f>
        <v>Gastos de Personal</v>
      </c>
      <c r="B15" s="605">
        <f t="array" ref="B15:M15">'G.F. 0'!B27:M27-'G.F. 0'!B20:M20</f>
        <v>1500</v>
      </c>
      <c r="C15" s="605">
        <v>1500</v>
      </c>
      <c r="D15" s="605">
        <v>1500</v>
      </c>
      <c r="E15" s="605">
        <v>1500</v>
      </c>
      <c r="F15" s="605">
        <v>1500</v>
      </c>
      <c r="G15" s="605">
        <v>1500</v>
      </c>
      <c r="H15" s="605">
        <v>1500</v>
      </c>
      <c r="I15" s="605">
        <v>1500</v>
      </c>
      <c r="J15" s="605">
        <v>1500</v>
      </c>
      <c r="K15" s="605">
        <v>1500</v>
      </c>
      <c r="L15" s="605">
        <v>1500</v>
      </c>
      <c r="M15" s="605">
        <v>1500</v>
      </c>
      <c r="N15" s="606">
        <f t="shared" si="0"/>
        <v>18000</v>
      </c>
    </row>
    <row r="16" spans="1:14" s="408" customFormat="1" ht="16.149999999999999" customHeight="1">
      <c r="A16" s="940" t="str">
        <v>Gastos de Seguridad Social</v>
      </c>
      <c r="B16" s="605">
        <f t="array" ref="B16:M16">'G.F. 0'!B20:M20</f>
        <v>86</v>
      </c>
      <c r="C16" s="605">
        <v>86</v>
      </c>
      <c r="D16" s="605">
        <v>86</v>
      </c>
      <c r="E16" s="605">
        <v>86</v>
      </c>
      <c r="F16" s="605">
        <v>86</v>
      </c>
      <c r="G16" s="605">
        <v>86</v>
      </c>
      <c r="H16" s="605">
        <v>86</v>
      </c>
      <c r="I16" s="605">
        <v>86</v>
      </c>
      <c r="J16" s="605">
        <v>86</v>
      </c>
      <c r="K16" s="605">
        <v>86</v>
      </c>
      <c r="L16" s="605">
        <v>86</v>
      </c>
      <c r="M16" s="605">
        <v>86</v>
      </c>
      <c r="N16" s="606">
        <f t="shared" si="0"/>
        <v>1032</v>
      </c>
    </row>
    <row r="17" spans="1:14" s="408" customFormat="1" ht="16.149999999999999" customHeight="1">
      <c r="A17" s="940" t="str">
        <v>Otros Gastos Fijos</v>
      </c>
      <c r="B17" s="605">
        <f t="array" ref="B17:M17" ca="1">'G.F. 0'!B55:M55+'IVA 0'!C13:N13</f>
        <v>100.77083333333333</v>
      </c>
      <c r="C17" s="605">
        <f ca="1"/>
        <v>100.77083333333333</v>
      </c>
      <c r="D17" s="605">
        <f ca="1"/>
        <v>100.77083333333333</v>
      </c>
      <c r="E17" s="605">
        <f ca="1"/>
        <v>100.77083333333333</v>
      </c>
      <c r="F17" s="605">
        <f ca="1"/>
        <v>100.77083333333333</v>
      </c>
      <c r="G17" s="605">
        <f ca="1"/>
        <v>100.77083333333333</v>
      </c>
      <c r="H17" s="605">
        <f ca="1"/>
        <v>100.77083333333333</v>
      </c>
      <c r="I17" s="605">
        <f ca="1"/>
        <v>100.77083333333333</v>
      </c>
      <c r="J17" s="605">
        <f ca="1"/>
        <v>100.77083333333333</v>
      </c>
      <c r="K17" s="605">
        <f ca="1"/>
        <v>100.77083333333333</v>
      </c>
      <c r="L17" s="605">
        <f ca="1"/>
        <v>100.77083333333333</v>
      </c>
      <c r="M17" s="605">
        <f ca="1"/>
        <v>100.77083333333333</v>
      </c>
      <c r="N17" s="606">
        <f t="shared" ca="1" si="0"/>
        <v>1209.25</v>
      </c>
    </row>
    <row r="18" spans="1:14" s="410" customFormat="1" ht="16.149999999999999" customHeight="1">
      <c r="A18" s="418" t="str">
        <v>Gastos Explotación</v>
      </c>
      <c r="B18" s="604">
        <f t="shared" ref="B18:M18" ca="1" si="1">SUM(B15:B17)</f>
        <v>1686.7708333333333</v>
      </c>
      <c r="C18" s="604">
        <f t="shared" ca="1" si="1"/>
        <v>1686.7708333333333</v>
      </c>
      <c r="D18" s="604">
        <f t="shared" ca="1" si="1"/>
        <v>1686.7708333333333</v>
      </c>
      <c r="E18" s="604">
        <f t="shared" ca="1" si="1"/>
        <v>1686.7708333333333</v>
      </c>
      <c r="F18" s="604">
        <f t="shared" ca="1" si="1"/>
        <v>1686.7708333333333</v>
      </c>
      <c r="G18" s="604">
        <f t="shared" ca="1" si="1"/>
        <v>1686.7708333333333</v>
      </c>
      <c r="H18" s="604">
        <f t="shared" ca="1" si="1"/>
        <v>1686.7708333333333</v>
      </c>
      <c r="I18" s="604">
        <f t="shared" ca="1" si="1"/>
        <v>1686.7708333333333</v>
      </c>
      <c r="J18" s="604">
        <f t="shared" ca="1" si="1"/>
        <v>1686.7708333333333</v>
      </c>
      <c r="K18" s="604">
        <f t="shared" ca="1" si="1"/>
        <v>1686.7708333333333</v>
      </c>
      <c r="L18" s="604">
        <f t="shared" ca="1" si="1"/>
        <v>1686.7708333333333</v>
      </c>
      <c r="M18" s="604">
        <f t="shared" ca="1" si="1"/>
        <v>1686.7708333333333</v>
      </c>
      <c r="N18" s="606">
        <f t="shared" ca="1" si="0"/>
        <v>20241.25</v>
      </c>
    </row>
    <row r="19" spans="1:14" s="410" customFormat="1" ht="16.149999999999999" customHeight="1">
      <c r="A19" s="418"/>
      <c r="B19" s="412"/>
      <c r="C19" s="412"/>
      <c r="D19" s="412"/>
      <c r="E19" s="412"/>
      <c r="F19" s="412"/>
      <c r="G19" s="412"/>
      <c r="H19" s="412"/>
      <c r="I19" s="412"/>
      <c r="J19" s="412"/>
      <c r="K19" s="412"/>
      <c r="L19" s="412"/>
      <c r="M19" s="412"/>
      <c r="N19" s="1606"/>
    </row>
    <row r="20" spans="1:14" s="410" customFormat="1" ht="16.149999999999999" customHeight="1">
      <c r="A20" s="418" t="str">
        <f>'PPyGG anuales'!A20</f>
        <v>E.B.I.T.D.A.</v>
      </c>
      <c r="B20" s="604">
        <f t="array" ref="B20:M20" ca="1">B13:M13-B18:M18</f>
        <v>-111.77083333333326</v>
      </c>
      <c r="C20" s="604">
        <f ca="1"/>
        <v>-3.1912878787877617</v>
      </c>
      <c r="D20" s="604">
        <f ca="1"/>
        <v>162.66098484848499</v>
      </c>
      <c r="E20" s="604">
        <f ca="1"/>
        <v>256.92234848484873</v>
      </c>
      <c r="F20" s="604">
        <f ca="1"/>
        <v>208.00189393939377</v>
      </c>
      <c r="G20" s="604">
        <f ca="1"/>
        <v>216.35416666666652</v>
      </c>
      <c r="H20" s="604">
        <f ca="1"/>
        <v>196.07007575757575</v>
      </c>
      <c r="I20" s="604">
        <f ca="1"/>
        <v>-153.532196969697</v>
      </c>
      <c r="J20" s="604">
        <f ca="1"/>
        <v>298.68371212121224</v>
      </c>
      <c r="K20" s="604">
        <f ca="1"/>
        <v>736.58143939393926</v>
      </c>
      <c r="L20" s="604">
        <f ca="1"/>
        <v>974.02462121212079</v>
      </c>
      <c r="M20" s="604">
        <f ca="1"/>
        <v>1712.6041666666663</v>
      </c>
      <c r="N20" s="606">
        <f ca="1">SUM(B20:M20)</f>
        <v>4493.4090909090901</v>
      </c>
    </row>
    <row r="21" spans="1:14" s="410" customFormat="1" ht="16.149999999999999" customHeight="1">
      <c r="A21" s="418"/>
      <c r="B21" s="412"/>
      <c r="C21" s="412"/>
      <c r="D21" s="412"/>
      <c r="E21" s="412"/>
      <c r="F21" s="412"/>
      <c r="G21" s="412"/>
      <c r="H21" s="412"/>
      <c r="I21" s="412"/>
      <c r="J21" s="412"/>
      <c r="K21" s="412"/>
      <c r="L21" s="412"/>
      <c r="M21" s="412"/>
      <c r="N21" s="1606"/>
    </row>
    <row r="22" spans="1:14" s="408" customFormat="1" ht="16.149999999999999" customHeight="1">
      <c r="A22" s="940" t="str">
        <f t="array" ref="A22:A23">'PPyGG anuales'!A22:A23</f>
        <v>Dotación Amortizaciones</v>
      </c>
      <c r="B22" s="605">
        <f t="array" ref="B22:M22">IF(COLUMN(B$4:M$4)&lt;=mes0,0,Amortizaciones!$D$41/(12+1-mes0))</f>
        <v>0</v>
      </c>
      <c r="C22" s="605">
        <v>0</v>
      </c>
      <c r="D22" s="605">
        <v>0</v>
      </c>
      <c r="E22" s="605">
        <v>0</v>
      </c>
      <c r="F22" s="605">
        <v>0</v>
      </c>
      <c r="G22" s="605">
        <v>0</v>
      </c>
      <c r="H22" s="605">
        <v>0</v>
      </c>
      <c r="I22" s="605">
        <v>0</v>
      </c>
      <c r="J22" s="605">
        <v>0</v>
      </c>
      <c r="K22" s="605">
        <v>0</v>
      </c>
      <c r="L22" s="605">
        <v>0</v>
      </c>
      <c r="M22" s="605">
        <v>0</v>
      </c>
      <c r="N22" s="606">
        <f>SUM(B22:M22)</f>
        <v>0</v>
      </c>
    </row>
    <row r="23" spans="1:14" s="410" customFormat="1" ht="16.149999999999999" customHeight="1">
      <c r="A23" s="418" t="str">
        <v>Res. antes Int. e Imp. (BAII / EBIT)</v>
      </c>
      <c r="B23" s="606">
        <f t="array" ref="B23:M23" ca="1">B20:M20-B22:M22</f>
        <v>-111.77083333333326</v>
      </c>
      <c r="C23" s="606">
        <f ca="1"/>
        <v>-3.1912878787877617</v>
      </c>
      <c r="D23" s="606">
        <f ca="1"/>
        <v>162.66098484848499</v>
      </c>
      <c r="E23" s="606">
        <f ca="1"/>
        <v>256.92234848484873</v>
      </c>
      <c r="F23" s="606">
        <f ca="1"/>
        <v>208.00189393939377</v>
      </c>
      <c r="G23" s="606">
        <f ca="1"/>
        <v>216.35416666666652</v>
      </c>
      <c r="H23" s="606">
        <f ca="1"/>
        <v>196.07007575757575</v>
      </c>
      <c r="I23" s="606">
        <f ca="1"/>
        <v>-153.532196969697</v>
      </c>
      <c r="J23" s="606">
        <f ca="1"/>
        <v>298.68371212121224</v>
      </c>
      <c r="K23" s="606">
        <f ca="1"/>
        <v>736.58143939393926</v>
      </c>
      <c r="L23" s="606">
        <f ca="1"/>
        <v>974.02462121212079</v>
      </c>
      <c r="M23" s="606">
        <f ca="1"/>
        <v>1712.6041666666663</v>
      </c>
      <c r="N23" s="606">
        <f ca="1">SUM(B23:M23)</f>
        <v>4493.4090909090901</v>
      </c>
    </row>
    <row r="24" spans="1:14" s="410" customFormat="1" ht="16.149999999999999" customHeight="1">
      <c r="A24" s="418"/>
      <c r="B24" s="412"/>
      <c r="C24" s="412"/>
      <c r="D24" s="412"/>
      <c r="E24" s="412"/>
      <c r="F24" s="412"/>
      <c r="G24" s="412"/>
      <c r="H24" s="412"/>
      <c r="I24" s="412"/>
      <c r="J24" s="412"/>
      <c r="K24" s="412"/>
      <c r="L24" s="412"/>
      <c r="M24" s="412"/>
      <c r="N24" s="1606"/>
    </row>
    <row r="25" spans="1:14" s="408" customFormat="1" ht="16.149999999999999" customHeight="1">
      <c r="A25" s="940" t="str">
        <f t="array" ref="A25:A27">'PPyGG anuales'!A25:A27</f>
        <v>Ingresos Financieros</v>
      </c>
      <c r="B25" s="607">
        <f t="array" ref="B25:M25" ca="1">'Gastos Financieros'!C87:N87</f>
        <v>0</v>
      </c>
      <c r="C25" s="607">
        <f ca="1"/>
        <v>0</v>
      </c>
      <c r="D25" s="607">
        <f ca="1"/>
        <v>0</v>
      </c>
      <c r="E25" s="607">
        <f ca="1"/>
        <v>0</v>
      </c>
      <c r="F25" s="607">
        <f ca="1"/>
        <v>0</v>
      </c>
      <c r="G25" s="607">
        <f ca="1"/>
        <v>0</v>
      </c>
      <c r="H25" s="607">
        <f ca="1"/>
        <v>0</v>
      </c>
      <c r="I25" s="607">
        <f ca="1"/>
        <v>0</v>
      </c>
      <c r="J25" s="607">
        <f ca="1"/>
        <v>0</v>
      </c>
      <c r="K25" s="607">
        <f ca="1"/>
        <v>0</v>
      </c>
      <c r="L25" s="607">
        <f ca="1"/>
        <v>0</v>
      </c>
      <c r="M25" s="607">
        <f ca="1"/>
        <v>0</v>
      </c>
      <c r="N25" s="608">
        <f t="shared" ca="1" si="0"/>
        <v>0</v>
      </c>
    </row>
    <row r="26" spans="1:14" s="408" customFormat="1" ht="16.149999999999999" customHeight="1">
      <c r="A26" s="940" t="str">
        <v>Gastos Financieros</v>
      </c>
      <c r="B26" s="607">
        <f t="array" ref="B26:M26" ca="1">'Gastos Financieros'!C19:N19</f>
        <v>105.875</v>
      </c>
      <c r="C26" s="607">
        <f ca="1"/>
        <v>113.17395833333333</v>
      </c>
      <c r="D26" s="607">
        <f ca="1"/>
        <v>124.32291666666669</v>
      </c>
      <c r="E26" s="607">
        <f ca="1"/>
        <v>130.65937500000001</v>
      </c>
      <c r="F26" s="607">
        <f ca="1"/>
        <v>127.37083333333331</v>
      </c>
      <c r="G26" s="607">
        <f ca="1"/>
        <v>127.93229166666666</v>
      </c>
      <c r="H26" s="607">
        <f ca="1"/>
        <v>126.56875000000001</v>
      </c>
      <c r="I26" s="607">
        <f ca="1"/>
        <v>103.06770833333333</v>
      </c>
      <c r="J26" s="607">
        <f ca="1"/>
        <v>133.46666666666667</v>
      </c>
      <c r="K26" s="607">
        <f ca="1"/>
        <v>162.90312499999999</v>
      </c>
      <c r="L26" s="607">
        <f ca="1"/>
        <v>178.86458333333331</v>
      </c>
      <c r="M26" s="607">
        <f ca="1"/>
        <v>228.51354166666667</v>
      </c>
      <c r="N26" s="608">
        <f ca="1">SUM(B26:M26)</f>
        <v>1662.71875</v>
      </c>
    </row>
    <row r="27" spans="1:14" s="410" customFormat="1" ht="16.149999999999999" customHeight="1">
      <c r="A27" s="418" t="str">
        <v>Resultado Financiero</v>
      </c>
      <c r="B27" s="608">
        <f t="array" ref="B27:M27" ca="1">B25:M25-B26:M26</f>
        <v>-105.875</v>
      </c>
      <c r="C27" s="608">
        <f ca="1"/>
        <v>-113.17395833333333</v>
      </c>
      <c r="D27" s="608">
        <f ca="1"/>
        <v>-124.32291666666669</v>
      </c>
      <c r="E27" s="608">
        <f ca="1"/>
        <v>-130.65937500000001</v>
      </c>
      <c r="F27" s="608">
        <f ca="1"/>
        <v>-127.37083333333331</v>
      </c>
      <c r="G27" s="608">
        <f ca="1"/>
        <v>-127.93229166666666</v>
      </c>
      <c r="H27" s="608">
        <f ca="1"/>
        <v>-126.56875000000001</v>
      </c>
      <c r="I27" s="608">
        <f ca="1"/>
        <v>-103.06770833333333</v>
      </c>
      <c r="J27" s="608">
        <f ca="1"/>
        <v>-133.46666666666667</v>
      </c>
      <c r="K27" s="608">
        <f ca="1"/>
        <v>-162.90312499999999</v>
      </c>
      <c r="L27" s="608">
        <f ca="1"/>
        <v>-178.86458333333331</v>
      </c>
      <c r="M27" s="608">
        <f ca="1"/>
        <v>-228.51354166666667</v>
      </c>
      <c r="N27" s="608">
        <f ca="1">SUM(B27:M27)</f>
        <v>-1662.71875</v>
      </c>
    </row>
    <row r="28" spans="1:14" s="410" customFormat="1" ht="16.149999999999999" customHeight="1">
      <c r="A28" s="418"/>
      <c r="B28" s="412"/>
      <c r="C28" s="412"/>
      <c r="D28" s="412"/>
      <c r="E28" s="412"/>
      <c r="F28" s="412"/>
      <c r="G28" s="412"/>
      <c r="H28" s="412"/>
      <c r="I28" s="412"/>
      <c r="J28" s="412"/>
      <c r="K28" s="412"/>
      <c r="L28" s="412"/>
      <c r="M28" s="412"/>
      <c r="N28" s="1606"/>
    </row>
    <row r="29" spans="1:14" s="410" customFormat="1" ht="16.149999999999999" customHeight="1">
      <c r="A29" s="418" t="str">
        <f>'PPyGG anuales'!A29</f>
        <v>Resultado antes Impuestos (B.A.I.)</v>
      </c>
      <c r="B29" s="608">
        <f t="array" ref="B29:M29" ca="1">B23:M23+B27:M27</f>
        <v>-217.64583333333326</v>
      </c>
      <c r="C29" s="608">
        <f ca="1"/>
        <v>-116.36524621212109</v>
      </c>
      <c r="D29" s="608">
        <f ca="1"/>
        <v>38.338068181818301</v>
      </c>
      <c r="E29" s="608">
        <f ca="1"/>
        <v>126.26297348484871</v>
      </c>
      <c r="F29" s="608">
        <f ca="1"/>
        <v>80.631060606060458</v>
      </c>
      <c r="G29" s="608">
        <f ca="1"/>
        <v>88.421874999999858</v>
      </c>
      <c r="H29" s="608">
        <f ca="1"/>
        <v>69.501325757575742</v>
      </c>
      <c r="I29" s="608">
        <f ca="1"/>
        <v>-256.59990530303031</v>
      </c>
      <c r="J29" s="608">
        <f ca="1"/>
        <v>165.21704545454557</v>
      </c>
      <c r="K29" s="608">
        <f ca="1"/>
        <v>573.67831439393922</v>
      </c>
      <c r="L29" s="608">
        <f ca="1"/>
        <v>795.16003787878753</v>
      </c>
      <c r="M29" s="608">
        <f ca="1"/>
        <v>1484.0906249999996</v>
      </c>
      <c r="N29" s="608">
        <f t="shared" ca="1" si="0"/>
        <v>2830.6903409090901</v>
      </c>
    </row>
    <row r="30" spans="1:14" s="410" customFormat="1" ht="16.149999999999999" customHeight="1" thickBot="1">
      <c r="A30" s="418"/>
      <c r="B30" s="412"/>
      <c r="C30" s="412"/>
      <c r="D30" s="412"/>
      <c r="E30" s="412"/>
      <c r="F30" s="412"/>
      <c r="G30" s="412"/>
      <c r="H30" s="412"/>
      <c r="I30" s="412"/>
      <c r="J30" s="412"/>
      <c r="K30" s="412"/>
      <c r="L30" s="412"/>
      <c r="M30" s="412"/>
      <c r="N30" s="1606"/>
    </row>
    <row r="31" spans="1:14" s="413" customFormat="1" ht="21.75" customHeight="1" thickBot="1">
      <c r="A31" s="419" t="s">
        <v>21</v>
      </c>
      <c r="B31" s="610">
        <f ca="1">B29</f>
        <v>-217.64583333333326</v>
      </c>
      <c r="C31" s="610">
        <f t="shared" ref="C31:M31" ca="1" si="2">B31+C29</f>
        <v>-334.01107954545432</v>
      </c>
      <c r="D31" s="610">
        <f t="shared" ca="1" si="2"/>
        <v>-295.67301136363602</v>
      </c>
      <c r="E31" s="610">
        <f t="shared" ca="1" si="2"/>
        <v>-169.41003787878731</v>
      </c>
      <c r="F31" s="610">
        <f t="shared" ca="1" si="2"/>
        <v>-88.778977272726848</v>
      </c>
      <c r="G31" s="610">
        <f t="shared" ca="1" si="2"/>
        <v>-0.35710227272699058</v>
      </c>
      <c r="H31" s="610">
        <f t="shared" ca="1" si="2"/>
        <v>69.144223484848752</v>
      </c>
      <c r="I31" s="610">
        <f t="shared" ca="1" si="2"/>
        <v>-187.45568181818157</v>
      </c>
      <c r="J31" s="610">
        <f t="shared" ca="1" si="2"/>
        <v>-22.238636363636004</v>
      </c>
      <c r="K31" s="610">
        <f t="shared" ca="1" si="2"/>
        <v>551.43967803030318</v>
      </c>
      <c r="L31" s="610">
        <f t="shared" ca="1" si="2"/>
        <v>1346.5997159090907</v>
      </c>
      <c r="M31" s="610">
        <f t="shared" ca="1" si="2"/>
        <v>2830.6903409090901</v>
      </c>
      <c r="N31" s="420"/>
    </row>
    <row r="32" spans="1:14" s="408" customFormat="1" ht="10.5">
      <c r="N32" s="410"/>
    </row>
    <row r="33" spans="14:14" s="408" customFormat="1" ht="10.5"/>
    <row r="34" spans="14:14">
      <c r="N34" s="61"/>
    </row>
  </sheetData>
  <sheetProtection sheet="1" objects="1" scenarios="1"/>
  <phoneticPr fontId="6" type="noConversion"/>
  <printOptions horizontalCentered="1" verticalCentered="1"/>
  <pageMargins left="0.39370078740157483" right="0.39370078740157483" top="0.59055118110236227" bottom="0.59055118110236227" header="0.31496062992125984" footer="0.31496062992125984"/>
  <pageSetup paperSize="9" scale="72" orientation="landscape" horizontalDpi="300" verticalDpi="300" r:id="rId1"/>
  <headerFooter alignWithMargins="0">
    <oddFooter>&amp;C&amp;"Tahoma,Normal"&amp;10&amp;A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7">
    <tabColor indexed="42"/>
    <pageSetUpPr fitToPage="1"/>
  </sheetPr>
  <dimension ref="A1:N34"/>
  <sheetViews>
    <sheetView workbookViewId="0"/>
  </sheetViews>
  <sheetFormatPr baseColWidth="10" defaultColWidth="11" defaultRowHeight="12.75"/>
  <cols>
    <col min="1" max="1" width="30" style="61" customWidth="1"/>
    <col min="2" max="13" width="10.875" style="61" customWidth="1"/>
    <col min="14" max="14" width="12.25" style="232" customWidth="1"/>
    <col min="15" max="16384" width="11" style="61"/>
  </cols>
  <sheetData>
    <row r="1" spans="1:14" ht="22.5">
      <c r="A1" s="325" t="str">
        <f>'PyG 0'!A1</f>
        <v>Cuenta de Resultados, o de Pérdidas y Ganancias por meses</v>
      </c>
      <c r="E1" s="232"/>
      <c r="F1" s="232"/>
      <c r="I1" s="234" t="str">
        <f>Parametros!C$77</f>
        <v>Año 1:  2027</v>
      </c>
      <c r="L1" s="407"/>
    </row>
    <row r="2" spans="1:14" s="408" customFormat="1" ht="22.5">
      <c r="A2" s="67" t="str">
        <f>'Datos Básicos'!B9</f>
        <v>nombre empresa</v>
      </c>
      <c r="C2" s="409"/>
      <c r="D2" s="277"/>
      <c r="N2" s="410"/>
    </row>
    <row r="3" spans="1:14" s="408" customFormat="1" ht="26.25" thickBot="1">
      <c r="A3" s="59"/>
      <c r="B3" s="2327">
        <v>1</v>
      </c>
      <c r="C3" s="2327">
        <v>2</v>
      </c>
      <c r="D3" s="2327">
        <v>3</v>
      </c>
      <c r="E3" s="2327">
        <v>4</v>
      </c>
      <c r="F3" s="2327">
        <v>5</v>
      </c>
      <c r="G3" s="2327">
        <v>6</v>
      </c>
      <c r="H3" s="2327">
        <v>7</v>
      </c>
      <c r="I3" s="2327">
        <v>8</v>
      </c>
      <c r="J3" s="2327">
        <v>9</v>
      </c>
      <c r="K3" s="2327">
        <v>10</v>
      </c>
      <c r="L3" s="2327">
        <v>11</v>
      </c>
      <c r="M3" s="2327">
        <v>12</v>
      </c>
      <c r="N3" s="410"/>
    </row>
    <row r="4" spans="1:14" s="411" customFormat="1" ht="21.75" customHeight="1" thickBot="1">
      <c r="A4" s="414" t="str">
        <f t="array" ref="A4:A7">'PPyGG anuales'!A4:A7</f>
        <v>Conceptos</v>
      </c>
      <c r="B4" s="415" t="str">
        <f t="array" ref="B4:M4">meses</f>
        <v>enero</v>
      </c>
      <c r="C4" s="415" t="str">
        <v>febrero</v>
      </c>
      <c r="D4" s="415" t="str">
        <v>marzo</v>
      </c>
      <c r="E4" s="415" t="str">
        <v>abril</v>
      </c>
      <c r="F4" s="415" t="str">
        <v>mayo</v>
      </c>
      <c r="G4" s="415" t="str">
        <v>junio</v>
      </c>
      <c r="H4" s="415" t="str">
        <v>julio</v>
      </c>
      <c r="I4" s="415" t="str">
        <v>agosto</v>
      </c>
      <c r="J4" s="415" t="str">
        <v>septiembre</v>
      </c>
      <c r="K4" s="415" t="str">
        <v>octubre</v>
      </c>
      <c r="L4" s="415" t="str">
        <v>noviembre</v>
      </c>
      <c r="M4" s="415" t="str">
        <v>diciembre</v>
      </c>
      <c r="N4" s="415" t="s">
        <v>11</v>
      </c>
    </row>
    <row r="5" spans="1:14" s="410" customFormat="1" ht="16.149999999999999" customHeight="1">
      <c r="A5" s="416" t="str">
        <v>Ingresos por ventas</v>
      </c>
      <c r="B5" s="605">
        <f t="array" aca="1" ref="B5:M5" ca="1">'Prev.Ventas 1'!B25:M25</f>
        <v>2800</v>
      </c>
      <c r="C5" s="605">
        <f ca="1"/>
        <v>3500</v>
      </c>
      <c r="D5" s="605">
        <f ca="1"/>
        <v>3850</v>
      </c>
      <c r="E5" s="605">
        <f ca="1"/>
        <v>3675</v>
      </c>
      <c r="F5" s="605">
        <f ca="1"/>
        <v>3150</v>
      </c>
      <c r="G5" s="605">
        <f ca="1"/>
        <v>2975</v>
      </c>
      <c r="H5" s="605">
        <f ca="1"/>
        <v>2800</v>
      </c>
      <c r="I5" s="605">
        <f ca="1"/>
        <v>2100</v>
      </c>
      <c r="J5" s="605">
        <f ca="1"/>
        <v>2800</v>
      </c>
      <c r="K5" s="605">
        <f ca="1"/>
        <v>3325</v>
      </c>
      <c r="L5" s="605">
        <f ca="1"/>
        <v>3500</v>
      </c>
      <c r="M5" s="605">
        <f ca="1"/>
        <v>4200</v>
      </c>
      <c r="N5" s="606">
        <f ca="1">SUM(B5:M5)</f>
        <v>38675</v>
      </c>
    </row>
    <row r="6" spans="1:14" s="410" customFormat="1" ht="16.149999999999999" customHeight="1">
      <c r="A6" s="1596" t="str">
        <v>Imputación de subvenciones</v>
      </c>
      <c r="B6" s="609">
        <f>IF(B$3+12&gt;mes0+Parametros!$B$38*12-1,0,Financiación!$C$19/Parametros!$B$38/12)
+Financiación!$D$19/Parametros!$C$38/12
+Financiación!$E$19/Parametros!$D$38/12</f>
        <v>0</v>
      </c>
      <c r="C6" s="609">
        <f>IF(C$3+12&gt;mes0+Parametros!$B$38*12-1,0,Financiación!$C$19/Parametros!$B$38/12)
+Financiación!$D$19/Parametros!$C$38/12
+Financiación!$E$19/Parametros!$D$38/12</f>
        <v>0</v>
      </c>
      <c r="D6" s="609">
        <f>IF(D$3+12&gt;mes0+Parametros!$B$38*12-1,0,Financiación!$C$19/Parametros!$B$38/12)
+Financiación!$D$19/Parametros!$C$38/12
+Financiación!$E$19/Parametros!$D$38/12</f>
        <v>0</v>
      </c>
      <c r="E6" s="609">
        <f>IF(E$3+12&gt;mes0+Parametros!$B$38*12-1,0,Financiación!$C$19/Parametros!$B$38/12)
+Financiación!$D$19/Parametros!$C$38/12
+Financiación!$E$19/Parametros!$D$38/12</f>
        <v>0</v>
      </c>
      <c r="F6" s="609">
        <f>IF(F$3+12&gt;mes0+Parametros!$B$38*12-1,0,Financiación!$C$19/Parametros!$B$38/12)
+Financiación!$D$19/Parametros!$C$38/12
+Financiación!$E$19/Parametros!$D$38/12</f>
        <v>0</v>
      </c>
      <c r="G6" s="609">
        <f>IF(G$3+12&gt;mes0+Parametros!$B$38*12-1,0,Financiación!$C$19/Parametros!$B$38/12)
+Financiación!$D$19/Parametros!$C$38/12
+Financiación!$E$19/Parametros!$D$38/12</f>
        <v>0</v>
      </c>
      <c r="H6" s="609">
        <f>IF(H$3+12&gt;mes0+Parametros!$B$38*12-1,0,Financiación!$C$19/Parametros!$B$38/12)
+Financiación!$D$19/Parametros!$C$38/12
+Financiación!$E$19/Parametros!$D$38/12</f>
        <v>0</v>
      </c>
      <c r="I6" s="609">
        <f>IF(I$3+12&gt;mes0+Parametros!$B$38*12-1,0,Financiación!$C$19/Parametros!$B$38/12)
+Financiación!$D$19/Parametros!$C$38/12
+Financiación!$E$19/Parametros!$D$38/12</f>
        <v>0</v>
      </c>
      <c r="J6" s="609">
        <f>IF(J$3+12&gt;mes0+Parametros!$B$38*12-1,0,Financiación!$C$19/Parametros!$B$38/12)
+Financiación!$D$19/Parametros!$C$38/12
+Financiación!$E$19/Parametros!$D$38/12</f>
        <v>0</v>
      </c>
      <c r="K6" s="609">
        <f>IF(K$3+12&gt;mes0+Parametros!$B$38*12-1,0,Financiación!$C$19/Parametros!$B$38/12)
+Financiación!$D$19/Parametros!$C$38/12
+Financiación!$E$19/Parametros!$D$38/12</f>
        <v>0</v>
      </c>
      <c r="L6" s="609">
        <f>IF(L$3+12&gt;mes0+Parametros!$B$38*12-1,0,Financiación!$C$19/Parametros!$B$38/12)
+Financiación!$D$19/Parametros!$C$38/12
+Financiación!$E$19/Parametros!$D$38/12</f>
        <v>0</v>
      </c>
      <c r="M6" s="609">
        <f>IF(M$3+12&gt;mes0+Parametros!$B$38*12-1,0,Financiación!$C$19/Parametros!$B$38/12)
+Financiación!$D$19/Parametros!$C$38/12
+Financiación!$E$19/Parametros!$D$38/12</f>
        <v>0</v>
      </c>
      <c r="N6" s="608">
        <f>SUM(B6:M6)</f>
        <v>0</v>
      </c>
    </row>
    <row r="7" spans="1:14" s="410" customFormat="1" ht="16.149999999999999" customHeight="1">
      <c r="A7" s="1597" t="str">
        <v>Total Ingresos de Explotación</v>
      </c>
      <c r="B7" s="1598">
        <f t="array" aca="1" ref="B7:M7" ca="1">B5:M5+B6:M6</f>
        <v>2800</v>
      </c>
      <c r="C7" s="1598">
        <f ca="1"/>
        <v>3500</v>
      </c>
      <c r="D7" s="1598">
        <f ca="1"/>
        <v>3850</v>
      </c>
      <c r="E7" s="1598">
        <f ca="1"/>
        <v>3675</v>
      </c>
      <c r="F7" s="1598">
        <f ca="1"/>
        <v>3150</v>
      </c>
      <c r="G7" s="1598">
        <f ca="1"/>
        <v>2975</v>
      </c>
      <c r="H7" s="1598">
        <f ca="1"/>
        <v>2800</v>
      </c>
      <c r="I7" s="1598">
        <f ca="1"/>
        <v>2100</v>
      </c>
      <c r="J7" s="1598">
        <f ca="1"/>
        <v>2800</v>
      </c>
      <c r="K7" s="1598">
        <f ca="1"/>
        <v>3325</v>
      </c>
      <c r="L7" s="1598">
        <f ca="1"/>
        <v>3500</v>
      </c>
      <c r="M7" s="1598">
        <f ca="1"/>
        <v>4200</v>
      </c>
      <c r="N7" s="608">
        <f ca="1">SUM(B7:M7)</f>
        <v>38675</v>
      </c>
    </row>
    <row r="8" spans="1:14" s="410" customFormat="1" ht="16.149999999999999" customHeight="1">
      <c r="A8" s="1596"/>
      <c r="B8" s="609"/>
      <c r="C8" s="609"/>
      <c r="D8" s="609"/>
      <c r="E8" s="609"/>
      <c r="F8" s="609"/>
      <c r="G8" s="609"/>
      <c r="H8" s="609"/>
      <c r="I8" s="609"/>
      <c r="J8" s="609"/>
      <c r="K8" s="609"/>
      <c r="L8" s="609"/>
      <c r="M8" s="609"/>
      <c r="N8" s="608"/>
    </row>
    <row r="9" spans="1:14" s="408" customFormat="1" ht="16.149999999999999" customHeight="1">
      <c r="A9" s="417" t="str">
        <f t="array" ref="A9:A11">'PPyGG anuales'!A9:A11</f>
        <v>Costes variables / Directos</v>
      </c>
      <c r="B9" s="605">
        <f t="array" aca="1" ref="B9:M9" ca="1">'Distr CV 1'!B28:M28</f>
        <v>280</v>
      </c>
      <c r="C9" s="605">
        <f ca="1"/>
        <v>350.00000000000006</v>
      </c>
      <c r="D9" s="605">
        <f ca="1"/>
        <v>385.00000000000006</v>
      </c>
      <c r="E9" s="605">
        <f ca="1"/>
        <v>367.50000000000006</v>
      </c>
      <c r="F9" s="605">
        <f ca="1"/>
        <v>315.00000000000006</v>
      </c>
      <c r="G9" s="605">
        <f ca="1"/>
        <v>297.5</v>
      </c>
      <c r="H9" s="605">
        <f ca="1"/>
        <v>280</v>
      </c>
      <c r="I9" s="605">
        <f ca="1"/>
        <v>210.00000000000003</v>
      </c>
      <c r="J9" s="605">
        <f ca="1"/>
        <v>280</v>
      </c>
      <c r="K9" s="605">
        <f ca="1"/>
        <v>332.50000000000006</v>
      </c>
      <c r="L9" s="605">
        <f ca="1"/>
        <v>350.00000000000006</v>
      </c>
      <c r="M9" s="605">
        <f ca="1"/>
        <v>420.00000000000006</v>
      </c>
      <c r="N9" s="606">
        <f ca="1">SUM(B9:M9)</f>
        <v>3867.5</v>
      </c>
    </row>
    <row r="10" spans="1:14" s="408" customFormat="1" ht="16.149999999999999" customHeight="1">
      <c r="A10" s="417" t="str">
        <v>Impagados / Cobros fallidos</v>
      </c>
      <c r="B10" s="609">
        <f ca="1">-(1-recmorosos)*'Cobros y pagos 0'!B27</f>
        <v>0</v>
      </c>
      <c r="C10" s="609">
        <f ca="1">-(1-recmorosos)*'Cobros y pagos 0'!C27</f>
        <v>0</v>
      </c>
      <c r="D10" s="609">
        <f ca="1">-(1-recmorosos)*'Cobros y pagos 0'!D27</f>
        <v>0</v>
      </c>
      <c r="E10" s="609">
        <f ca="1">-(1-recmorosos)*'Cobros y pagos 0'!E27</f>
        <v>0</v>
      </c>
      <c r="F10" s="609">
        <f ca="1">-(1-recmorosos)*'Cobros y pagos 0'!F27</f>
        <v>0</v>
      </c>
      <c r="G10" s="609">
        <f ca="1">-(1-recmorosos)*'Cobros y pagos 0'!G27</f>
        <v>0</v>
      </c>
      <c r="H10" s="609">
        <f ca="1">-(1-recmorosos)*'Cobros y pagos 0'!H27</f>
        <v>0</v>
      </c>
      <c r="I10" s="609">
        <f ca="1">-(1-recmorosos)*'Cobros y pagos 0'!I27</f>
        <v>0</v>
      </c>
      <c r="J10" s="609">
        <f ca="1">-(1-recmorosos)*'Cobros y pagos 0'!J27</f>
        <v>0</v>
      </c>
      <c r="K10" s="609">
        <f ca="1">-(1-recmorosos)*'Cobros y pagos 0'!K27</f>
        <v>0</v>
      </c>
      <c r="L10" s="609">
        <f ca="1">-(1-recmorosos)*'Cobros y pagos 0'!L27</f>
        <v>0</v>
      </c>
      <c r="M10" s="609">
        <f ca="1">-(1-recmorosos)*'Cobros y pagos 0'!M27+'IVA 1'!O15</f>
        <v>0</v>
      </c>
      <c r="N10" s="608">
        <f ca="1">SUM(B10:M10)</f>
        <v>0</v>
      </c>
    </row>
    <row r="11" spans="1:14" s="408" customFormat="1" ht="16.149999999999999" customHeight="1">
      <c r="A11" s="1602" t="str">
        <v>Costes Directos y Comerciales</v>
      </c>
      <c r="B11" s="1598">
        <f t="array" ref="B11:M11" ca="1">B9:M9+B10:M10</f>
        <v>280</v>
      </c>
      <c r="C11" s="1598">
        <f ca="1"/>
        <v>350.00000000000006</v>
      </c>
      <c r="D11" s="1598">
        <f ca="1"/>
        <v>385.00000000000006</v>
      </c>
      <c r="E11" s="1598">
        <f ca="1"/>
        <v>367.50000000000006</v>
      </c>
      <c r="F11" s="1598">
        <f ca="1"/>
        <v>315.00000000000006</v>
      </c>
      <c r="G11" s="1598">
        <f ca="1"/>
        <v>297.5</v>
      </c>
      <c r="H11" s="1598">
        <f ca="1"/>
        <v>280</v>
      </c>
      <c r="I11" s="1598">
        <f ca="1"/>
        <v>210.00000000000003</v>
      </c>
      <c r="J11" s="1598">
        <f ca="1"/>
        <v>280</v>
      </c>
      <c r="K11" s="1598">
        <f ca="1"/>
        <v>332.50000000000006</v>
      </c>
      <c r="L11" s="1598">
        <f ca="1"/>
        <v>350.00000000000006</v>
      </c>
      <c r="M11" s="1598">
        <f ca="1"/>
        <v>420.00000000000006</v>
      </c>
      <c r="N11" s="608">
        <f ca="1">SUM(B11:M11)</f>
        <v>3867.5</v>
      </c>
    </row>
    <row r="12" spans="1:14" s="408" customFormat="1" ht="16.149999999999999" customHeight="1">
      <c r="A12" s="940"/>
      <c r="B12" s="609"/>
      <c r="C12" s="609"/>
      <c r="D12" s="609"/>
      <c r="E12" s="609"/>
      <c r="F12" s="609"/>
      <c r="G12" s="609"/>
      <c r="H12" s="609"/>
      <c r="I12" s="609"/>
      <c r="J12" s="609"/>
      <c r="K12" s="609"/>
      <c r="L12" s="609"/>
      <c r="M12" s="609"/>
      <c r="N12" s="608"/>
    </row>
    <row r="13" spans="1:14" s="410" customFormat="1" ht="16.149999999999999" customHeight="1">
      <c r="A13" s="418" t="str">
        <f>'PPyGG anuales'!A13</f>
        <v>Margen Bruto s/Ventas</v>
      </c>
      <c r="B13" s="604">
        <f t="array" ref="B13:M13" ca="1">B7:M7-B11:M11</f>
        <v>2520</v>
      </c>
      <c r="C13" s="604">
        <f ca="1"/>
        <v>3150</v>
      </c>
      <c r="D13" s="604">
        <f ca="1"/>
        <v>3465</v>
      </c>
      <c r="E13" s="604">
        <f ca="1"/>
        <v>3307.5</v>
      </c>
      <c r="F13" s="604">
        <f ca="1"/>
        <v>2835</v>
      </c>
      <c r="G13" s="604">
        <f ca="1"/>
        <v>2677.5</v>
      </c>
      <c r="H13" s="604">
        <f ca="1"/>
        <v>2520</v>
      </c>
      <c r="I13" s="604">
        <f ca="1"/>
        <v>1890</v>
      </c>
      <c r="J13" s="604">
        <f ca="1"/>
        <v>2520</v>
      </c>
      <c r="K13" s="604">
        <f ca="1"/>
        <v>2992.5</v>
      </c>
      <c r="L13" s="604">
        <f ca="1"/>
        <v>3150</v>
      </c>
      <c r="M13" s="604">
        <f ca="1"/>
        <v>3780</v>
      </c>
      <c r="N13" s="606">
        <f ca="1">SUM(B13:M13)</f>
        <v>34807.5</v>
      </c>
    </row>
    <row r="14" spans="1:14" s="410" customFormat="1" ht="16.149999999999999" customHeight="1">
      <c r="A14" s="418"/>
      <c r="B14" s="412"/>
      <c r="C14" s="412"/>
      <c r="D14" s="412"/>
      <c r="E14" s="412"/>
      <c r="F14" s="412"/>
      <c r="G14" s="412"/>
      <c r="H14" s="412"/>
      <c r="I14" s="412"/>
      <c r="J14" s="412"/>
      <c r="K14" s="412"/>
      <c r="L14" s="412"/>
      <c r="M14" s="412"/>
      <c r="N14" s="1606"/>
    </row>
    <row r="15" spans="1:14" s="408" customFormat="1" ht="16.149999999999999" customHeight="1">
      <c r="A15" s="940" t="str">
        <f t="array" ref="A15:A18">'PPyGG anuales'!A15:A18</f>
        <v>Gastos de Personal</v>
      </c>
      <c r="B15" s="605">
        <f t="array" ref="B15:M15">'G.F. 1'!B27:M27-'G.F. 1'!B20:M20</f>
        <v>1560</v>
      </c>
      <c r="C15" s="605">
        <v>1560</v>
      </c>
      <c r="D15" s="605">
        <v>1560</v>
      </c>
      <c r="E15" s="605">
        <v>1560</v>
      </c>
      <c r="F15" s="605">
        <v>1560</v>
      </c>
      <c r="G15" s="605">
        <v>1560</v>
      </c>
      <c r="H15" s="605">
        <v>1560</v>
      </c>
      <c r="I15" s="605">
        <v>1560</v>
      </c>
      <c r="J15" s="605">
        <v>1560</v>
      </c>
      <c r="K15" s="605">
        <v>1560</v>
      </c>
      <c r="L15" s="605">
        <v>1560</v>
      </c>
      <c r="M15" s="605">
        <v>1560</v>
      </c>
      <c r="N15" s="606">
        <f>SUM(B15:M15)</f>
        <v>18720</v>
      </c>
    </row>
    <row r="16" spans="1:14" s="408" customFormat="1" ht="16.149999999999999" customHeight="1">
      <c r="A16" s="940" t="str">
        <v>Gastos de Seguridad Social</v>
      </c>
      <c r="B16" s="605">
        <f t="array" ref="B16:M16">+'G.F. 1'!B20:M20</f>
        <v>86</v>
      </c>
      <c r="C16" s="605">
        <v>86</v>
      </c>
      <c r="D16" s="605">
        <v>86</v>
      </c>
      <c r="E16" s="605">
        <v>86</v>
      </c>
      <c r="F16" s="605">
        <v>86</v>
      </c>
      <c r="G16" s="605">
        <v>86</v>
      </c>
      <c r="H16" s="605">
        <v>86</v>
      </c>
      <c r="I16" s="605">
        <v>86</v>
      </c>
      <c r="J16" s="605">
        <v>86</v>
      </c>
      <c r="K16" s="605">
        <v>86</v>
      </c>
      <c r="L16" s="605">
        <v>86</v>
      </c>
      <c r="M16" s="605">
        <v>86</v>
      </c>
      <c r="N16" s="606">
        <f>SUM(B16:M16)</f>
        <v>1032</v>
      </c>
    </row>
    <row r="17" spans="1:14" s="408" customFormat="1" ht="16.149999999999999" customHeight="1">
      <c r="A17" s="940" t="str">
        <v>Otros Gastos Fijos</v>
      </c>
      <c r="B17" s="605">
        <f t="array" aca="1" ref="B17:M17" ca="1">'G.F. 1'!B55:M55+'IVA 1'!C13:N13</f>
        <v>138.44409090909093</v>
      </c>
      <c r="C17" s="605">
        <f ca="1"/>
        <v>138.44409090909093</v>
      </c>
      <c r="D17" s="605">
        <f ca="1"/>
        <v>138.44409090909093</v>
      </c>
      <c r="E17" s="605">
        <f ca="1"/>
        <v>138.44409090909093</v>
      </c>
      <c r="F17" s="605">
        <f ca="1"/>
        <v>138.44409090909093</v>
      </c>
      <c r="G17" s="605">
        <f ca="1"/>
        <v>138.44409090909093</v>
      </c>
      <c r="H17" s="605">
        <f ca="1"/>
        <v>138.44409090909093</v>
      </c>
      <c r="I17" s="605">
        <f ca="1"/>
        <v>138.44409090909093</v>
      </c>
      <c r="J17" s="605">
        <f ca="1"/>
        <v>138.44409090909093</v>
      </c>
      <c r="K17" s="605">
        <f ca="1"/>
        <v>138.44409090909093</v>
      </c>
      <c r="L17" s="605">
        <f ca="1"/>
        <v>138.44409090909093</v>
      </c>
      <c r="M17" s="605">
        <f ca="1"/>
        <v>138.44409090909093</v>
      </c>
      <c r="N17" s="606">
        <f ca="1">SUM(B17:M17)</f>
        <v>1661.3290909090908</v>
      </c>
    </row>
    <row r="18" spans="1:14" s="410" customFormat="1" ht="16.149999999999999" customHeight="1">
      <c r="A18" s="418" t="str">
        <v>Gastos Explotación</v>
      </c>
      <c r="B18" s="604">
        <f t="shared" ref="B18:M18" ca="1" si="0">SUM(B15:B17)</f>
        <v>1784.4440909090908</v>
      </c>
      <c r="C18" s="604">
        <f t="shared" ca="1" si="0"/>
        <v>1784.4440909090908</v>
      </c>
      <c r="D18" s="604">
        <f t="shared" ca="1" si="0"/>
        <v>1784.4440909090908</v>
      </c>
      <c r="E18" s="604">
        <f t="shared" ca="1" si="0"/>
        <v>1784.4440909090908</v>
      </c>
      <c r="F18" s="604">
        <f t="shared" ca="1" si="0"/>
        <v>1784.4440909090908</v>
      </c>
      <c r="G18" s="604">
        <f t="shared" ca="1" si="0"/>
        <v>1784.4440909090908</v>
      </c>
      <c r="H18" s="604">
        <f t="shared" ca="1" si="0"/>
        <v>1784.4440909090908</v>
      </c>
      <c r="I18" s="604">
        <f t="shared" ca="1" si="0"/>
        <v>1784.4440909090908</v>
      </c>
      <c r="J18" s="604">
        <f t="shared" ca="1" si="0"/>
        <v>1784.4440909090908</v>
      </c>
      <c r="K18" s="604">
        <f t="shared" ca="1" si="0"/>
        <v>1784.4440909090908</v>
      </c>
      <c r="L18" s="604">
        <f t="shared" ca="1" si="0"/>
        <v>1784.4440909090908</v>
      </c>
      <c r="M18" s="604">
        <f t="shared" ca="1" si="0"/>
        <v>1784.4440909090908</v>
      </c>
      <c r="N18" s="606">
        <f ca="1">SUM(B18:M18)</f>
        <v>21413.329090909097</v>
      </c>
    </row>
    <row r="19" spans="1:14" s="410" customFormat="1" ht="16.149999999999999" customHeight="1">
      <c r="A19" s="418"/>
      <c r="B19" s="412"/>
      <c r="C19" s="412"/>
      <c r="D19" s="412"/>
      <c r="E19" s="412"/>
      <c r="F19" s="412"/>
      <c r="G19" s="412"/>
      <c r="H19" s="412"/>
      <c r="I19" s="412"/>
      <c r="J19" s="412"/>
      <c r="K19" s="412"/>
      <c r="L19" s="412"/>
      <c r="M19" s="412"/>
      <c r="N19" s="1606"/>
    </row>
    <row r="20" spans="1:14" s="410" customFormat="1" ht="16.149999999999999" customHeight="1">
      <c r="A20" s="418" t="str">
        <f>'PPyGG anuales'!A20</f>
        <v>E.B.I.T.D.A.</v>
      </c>
      <c r="B20" s="412">
        <f t="array" aca="1" ref="B20:M20" ca="1">B13:M13-B18:M18</f>
        <v>735.55590909090915</v>
      </c>
      <c r="C20" s="412">
        <f ca="1"/>
        <v>1365.5559090909092</v>
      </c>
      <c r="D20" s="412">
        <f ca="1"/>
        <v>1680.5559090909092</v>
      </c>
      <c r="E20" s="412">
        <f ca="1"/>
        <v>1523.0559090909092</v>
      </c>
      <c r="F20" s="412">
        <f ca="1"/>
        <v>1050.5559090909092</v>
      </c>
      <c r="G20" s="412">
        <f ca="1"/>
        <v>893.05590909090915</v>
      </c>
      <c r="H20" s="412">
        <f ca="1"/>
        <v>735.55590909090915</v>
      </c>
      <c r="I20" s="412">
        <f ca="1"/>
        <v>105.55590909090915</v>
      </c>
      <c r="J20" s="412">
        <f ca="1"/>
        <v>735.55590909090915</v>
      </c>
      <c r="K20" s="412">
        <f ca="1"/>
        <v>1208.0559090909092</v>
      </c>
      <c r="L20" s="412">
        <f ca="1"/>
        <v>1365.5559090909092</v>
      </c>
      <c r="M20" s="412">
        <f ca="1"/>
        <v>1995.5559090909092</v>
      </c>
      <c r="N20" s="606">
        <f ca="1">SUM(B20:M20)</f>
        <v>13394.170909090906</v>
      </c>
    </row>
    <row r="21" spans="1:14" s="410" customFormat="1" ht="16.149999999999999" customHeight="1">
      <c r="A21" s="418"/>
      <c r="B21" s="412"/>
      <c r="C21" s="412"/>
      <c r="D21" s="412"/>
      <c r="E21" s="412"/>
      <c r="F21" s="412"/>
      <c r="G21" s="412"/>
      <c r="H21" s="412"/>
      <c r="I21" s="412"/>
      <c r="J21" s="412"/>
      <c r="K21" s="412"/>
      <c r="L21" s="412"/>
      <c r="M21" s="412"/>
      <c r="N21" s="1606"/>
    </row>
    <row r="22" spans="1:14" s="408" customFormat="1" ht="16.149999999999999" customHeight="1">
      <c r="A22" s="940" t="str">
        <f t="array" ref="A22:A23">'PPyGG anuales'!A22:A23</f>
        <v>Dotación Amortizaciones</v>
      </c>
      <c r="B22" s="605">
        <f t="array" ref="B22:M22">Amortizaciones!$E$41/12</f>
        <v>0</v>
      </c>
      <c r="C22" s="605">
        <v>0</v>
      </c>
      <c r="D22" s="605">
        <v>0</v>
      </c>
      <c r="E22" s="605">
        <v>0</v>
      </c>
      <c r="F22" s="605">
        <v>0</v>
      </c>
      <c r="G22" s="605">
        <v>0</v>
      </c>
      <c r="H22" s="605">
        <v>0</v>
      </c>
      <c r="I22" s="605">
        <v>0</v>
      </c>
      <c r="J22" s="605">
        <v>0</v>
      </c>
      <c r="K22" s="605">
        <v>0</v>
      </c>
      <c r="L22" s="605">
        <v>0</v>
      </c>
      <c r="M22" s="605">
        <v>0</v>
      </c>
      <c r="N22" s="606">
        <f>SUM(B22:M22)</f>
        <v>0</v>
      </c>
    </row>
    <row r="23" spans="1:14" s="410" customFormat="1" ht="16.149999999999999" customHeight="1">
      <c r="A23" s="418" t="str">
        <v>Res. antes Int. e Imp. (BAII / EBIT)</v>
      </c>
      <c r="B23" s="606">
        <f t="array" aca="1" ref="B23:M23" ca="1">B20:M20-B22:M22</f>
        <v>735.55590909090915</v>
      </c>
      <c r="C23" s="606">
        <f ca="1"/>
        <v>1365.5559090909092</v>
      </c>
      <c r="D23" s="606">
        <f ca="1"/>
        <v>1680.5559090909092</v>
      </c>
      <c r="E23" s="606">
        <f ca="1"/>
        <v>1523.0559090909092</v>
      </c>
      <c r="F23" s="606">
        <f ca="1"/>
        <v>1050.5559090909092</v>
      </c>
      <c r="G23" s="606">
        <f ca="1"/>
        <v>893.05590909090915</v>
      </c>
      <c r="H23" s="606">
        <f ca="1"/>
        <v>735.55590909090915</v>
      </c>
      <c r="I23" s="606">
        <f ca="1"/>
        <v>105.55590909090915</v>
      </c>
      <c r="J23" s="606">
        <f ca="1"/>
        <v>735.55590909090915</v>
      </c>
      <c r="K23" s="606">
        <f ca="1"/>
        <v>1208.0559090909092</v>
      </c>
      <c r="L23" s="606">
        <f ca="1"/>
        <v>1365.5559090909092</v>
      </c>
      <c r="M23" s="606">
        <f ca="1"/>
        <v>1995.5559090909092</v>
      </c>
      <c r="N23" s="606">
        <f ca="1">SUM(B23:M23)</f>
        <v>13394.170909090906</v>
      </c>
    </row>
    <row r="24" spans="1:14" s="410" customFormat="1" ht="16.149999999999999" customHeight="1">
      <c r="A24" s="418"/>
      <c r="B24" s="412"/>
      <c r="C24" s="412"/>
      <c r="D24" s="412"/>
      <c r="E24" s="412"/>
      <c r="F24" s="412"/>
      <c r="G24" s="412"/>
      <c r="H24" s="412"/>
      <c r="I24" s="412"/>
      <c r="J24" s="412"/>
      <c r="K24" s="412"/>
      <c r="L24" s="412"/>
      <c r="M24" s="412"/>
      <c r="N24" s="1606"/>
    </row>
    <row r="25" spans="1:14" s="408" customFormat="1" ht="16.149999999999999" customHeight="1">
      <c r="A25" s="940" t="str">
        <f t="array" ref="A25:A27">'PPyGG anuales'!A25:A27</f>
        <v>Ingresos Financieros</v>
      </c>
      <c r="B25" s="607">
        <f t="array" ref="B25:M25" ca="1">'Gastos Financieros'!C92:N92</f>
        <v>0</v>
      </c>
      <c r="C25" s="607">
        <f ca="1"/>
        <v>0</v>
      </c>
      <c r="D25" s="607">
        <f ca="1"/>
        <v>0</v>
      </c>
      <c r="E25" s="607">
        <f ca="1"/>
        <v>0</v>
      </c>
      <c r="F25" s="607">
        <f ca="1"/>
        <v>0</v>
      </c>
      <c r="G25" s="607">
        <f ca="1"/>
        <v>0</v>
      </c>
      <c r="H25" s="607">
        <f ca="1"/>
        <v>0</v>
      </c>
      <c r="I25" s="607">
        <f ca="1"/>
        <v>0</v>
      </c>
      <c r="J25" s="607">
        <f ca="1"/>
        <v>0</v>
      </c>
      <c r="K25" s="607">
        <f ca="1"/>
        <v>0</v>
      </c>
      <c r="L25" s="607">
        <f ca="1"/>
        <v>0</v>
      </c>
      <c r="M25" s="607">
        <f ca="1"/>
        <v>0</v>
      </c>
      <c r="N25" s="608">
        <f ca="1">SUM(B25:M25)</f>
        <v>0</v>
      </c>
    </row>
    <row r="26" spans="1:14" s="408" customFormat="1" ht="16.149999999999999" customHeight="1">
      <c r="A26" s="940" t="str">
        <v>Gastos Financieros</v>
      </c>
      <c r="B26" s="607">
        <f t="array" ref="B26:M26" ca="1">'Gastos Financieros'!C34:N34</f>
        <v>169.4</v>
      </c>
      <c r="C26" s="607">
        <f ca="1"/>
        <v>211.75</v>
      </c>
      <c r="D26" s="607">
        <f ca="1"/>
        <v>232.92500000000001</v>
      </c>
      <c r="E26" s="607">
        <f ca="1"/>
        <v>222.33750000000001</v>
      </c>
      <c r="F26" s="607">
        <f ca="1"/>
        <v>190.57500000000002</v>
      </c>
      <c r="G26" s="607">
        <f ca="1"/>
        <v>179.98750000000001</v>
      </c>
      <c r="H26" s="607">
        <f ca="1"/>
        <v>169.4</v>
      </c>
      <c r="I26" s="607">
        <f ca="1"/>
        <v>127.05000000000001</v>
      </c>
      <c r="J26" s="607">
        <f ca="1"/>
        <v>169.4</v>
      </c>
      <c r="K26" s="607">
        <f ca="1"/>
        <v>201.16250000000002</v>
      </c>
      <c r="L26" s="607">
        <f ca="1"/>
        <v>211.75</v>
      </c>
      <c r="M26" s="607">
        <f ca="1"/>
        <v>254.10000000000002</v>
      </c>
      <c r="N26" s="608">
        <f ca="1">SUM(B26:M26)</f>
        <v>2339.8375000000001</v>
      </c>
    </row>
    <row r="27" spans="1:14" s="410" customFormat="1" ht="16.149999999999999" customHeight="1">
      <c r="A27" s="418" t="str">
        <v>Resultado Financiero</v>
      </c>
      <c r="B27" s="608">
        <f t="array" ref="B27:M27" ca="1">B25:M25-B26:M26</f>
        <v>-169.4</v>
      </c>
      <c r="C27" s="608">
        <f ca="1"/>
        <v>-211.75</v>
      </c>
      <c r="D27" s="608">
        <f ca="1"/>
        <v>-232.92500000000001</v>
      </c>
      <c r="E27" s="608">
        <f ca="1"/>
        <v>-222.33750000000001</v>
      </c>
      <c r="F27" s="608">
        <f ca="1"/>
        <v>-190.57500000000002</v>
      </c>
      <c r="G27" s="608">
        <f ca="1"/>
        <v>-179.98750000000001</v>
      </c>
      <c r="H27" s="608">
        <f ca="1"/>
        <v>-169.4</v>
      </c>
      <c r="I27" s="608">
        <f ca="1"/>
        <v>-127.05000000000001</v>
      </c>
      <c r="J27" s="608">
        <f ca="1"/>
        <v>-169.4</v>
      </c>
      <c r="K27" s="608">
        <f ca="1"/>
        <v>-201.16250000000002</v>
      </c>
      <c r="L27" s="608">
        <f ca="1"/>
        <v>-211.75</v>
      </c>
      <c r="M27" s="608">
        <f ca="1"/>
        <v>-254.10000000000002</v>
      </c>
      <c r="N27" s="608">
        <f ca="1">SUM(B27:M27)</f>
        <v>-2339.8375000000001</v>
      </c>
    </row>
    <row r="28" spans="1:14" s="410" customFormat="1" ht="16.149999999999999" customHeight="1">
      <c r="A28" s="418"/>
      <c r="B28" s="412"/>
      <c r="C28" s="412"/>
      <c r="D28" s="412"/>
      <c r="E28" s="412"/>
      <c r="F28" s="412"/>
      <c r="G28" s="412"/>
      <c r="H28" s="412"/>
      <c r="I28" s="412"/>
      <c r="J28" s="412"/>
      <c r="K28" s="412"/>
      <c r="L28" s="412"/>
      <c r="M28" s="412"/>
      <c r="N28" s="1606"/>
    </row>
    <row r="29" spans="1:14" s="410" customFormat="1" ht="16.149999999999999" customHeight="1">
      <c r="A29" s="418" t="str">
        <f>'PPyGG anuales'!A29</f>
        <v>Resultado antes Impuestos (B.A.I.)</v>
      </c>
      <c r="B29" s="608">
        <f t="array" ref="B29:M29" ca="1">B23:M23+B27:M27</f>
        <v>566.15590909090918</v>
      </c>
      <c r="C29" s="608">
        <f ca="1"/>
        <v>1153.8059090909092</v>
      </c>
      <c r="D29" s="608">
        <f ca="1"/>
        <v>1447.6309090909092</v>
      </c>
      <c r="E29" s="608">
        <f ca="1"/>
        <v>1300.7184090909091</v>
      </c>
      <c r="F29" s="608">
        <f ca="1"/>
        <v>859.98090909090911</v>
      </c>
      <c r="G29" s="608">
        <f ca="1"/>
        <v>713.0684090909092</v>
      </c>
      <c r="H29" s="608">
        <f ca="1"/>
        <v>566.15590909090918</v>
      </c>
      <c r="I29" s="608">
        <f ca="1"/>
        <v>-21.494090909090858</v>
      </c>
      <c r="J29" s="608">
        <f ca="1"/>
        <v>566.15590909090918</v>
      </c>
      <c r="K29" s="608">
        <f ca="1"/>
        <v>1006.8934090909091</v>
      </c>
      <c r="L29" s="608">
        <f ca="1"/>
        <v>1153.8059090909092</v>
      </c>
      <c r="M29" s="608">
        <f ca="1"/>
        <v>1741.4559090909092</v>
      </c>
      <c r="N29" s="608">
        <f ca="1">SUM(B29:M29)</f>
        <v>11054.33340909091</v>
      </c>
    </row>
    <row r="30" spans="1:14" s="410" customFormat="1" ht="16.149999999999999" customHeight="1" thickBot="1">
      <c r="A30" s="418"/>
      <c r="B30" s="412"/>
      <c r="C30" s="412"/>
      <c r="D30" s="412"/>
      <c r="E30" s="412"/>
      <c r="F30" s="412"/>
      <c r="G30" s="412"/>
      <c r="H30" s="412"/>
      <c r="I30" s="412"/>
      <c r="J30" s="412"/>
      <c r="K30" s="412"/>
      <c r="L30" s="412"/>
      <c r="M30" s="412"/>
      <c r="N30" s="1606"/>
    </row>
    <row r="31" spans="1:14" s="413" customFormat="1" ht="21.75" customHeight="1" thickBot="1">
      <c r="A31" s="419" t="str">
        <f>'PyG 0'!A31</f>
        <v>Res. Acumulado Ejercicio</v>
      </c>
      <c r="B31" s="610">
        <f ca="1">B29</f>
        <v>566.15590909090918</v>
      </c>
      <c r="C31" s="610">
        <f t="shared" ref="C31:M31" ca="1" si="1">B31+C29</f>
        <v>1719.9618181818182</v>
      </c>
      <c r="D31" s="610">
        <f t="shared" ca="1" si="1"/>
        <v>3167.5927272727276</v>
      </c>
      <c r="E31" s="610">
        <f t="shared" ca="1" si="1"/>
        <v>4468.3111363636363</v>
      </c>
      <c r="F31" s="610">
        <f t="shared" ca="1" si="1"/>
        <v>5328.2920454545456</v>
      </c>
      <c r="G31" s="610">
        <f t="shared" ca="1" si="1"/>
        <v>6041.3604545454546</v>
      </c>
      <c r="H31" s="610">
        <f t="shared" ca="1" si="1"/>
        <v>6607.5163636363641</v>
      </c>
      <c r="I31" s="610">
        <f t="shared" ca="1" si="1"/>
        <v>6586.022272727273</v>
      </c>
      <c r="J31" s="610">
        <f t="shared" ca="1" si="1"/>
        <v>7152.1781818181826</v>
      </c>
      <c r="K31" s="610">
        <f t="shared" ca="1" si="1"/>
        <v>8159.0715909090914</v>
      </c>
      <c r="L31" s="610">
        <f t="shared" ca="1" si="1"/>
        <v>9312.8775000000005</v>
      </c>
      <c r="M31" s="610">
        <f t="shared" ca="1" si="1"/>
        <v>11054.33340909091</v>
      </c>
      <c r="N31" s="420"/>
    </row>
    <row r="32" spans="1:14" s="408" customFormat="1" ht="10.5">
      <c r="N32" s="410"/>
    </row>
    <row r="33" spans="14:14" s="408" customFormat="1" ht="10.5"/>
    <row r="34" spans="14:14">
      <c r="N34" s="61"/>
    </row>
  </sheetData>
  <sheetProtection sheet="1" objects="1" scenarios="1"/>
  <phoneticPr fontId="6" type="noConversion"/>
  <printOptions horizontalCentered="1" verticalCentered="1"/>
  <pageMargins left="0.39370078740157483" right="0.39370078740157483" top="0.59055118110236227" bottom="0.59055118110236227" header="0.31496062992125984" footer="0.31496062992125984"/>
  <pageSetup paperSize="9" scale="72" orientation="landscape" horizontalDpi="300" verticalDpi="300" r:id="rId1"/>
  <headerFooter alignWithMargins="0">
    <oddFooter>&amp;C&amp;"Tahoma,Normal"&amp;10&amp;A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18">
    <tabColor indexed="42"/>
    <pageSetUpPr fitToPage="1"/>
  </sheetPr>
  <dimension ref="A1:N33"/>
  <sheetViews>
    <sheetView workbookViewId="0"/>
  </sheetViews>
  <sheetFormatPr baseColWidth="10" defaultColWidth="11" defaultRowHeight="12.75"/>
  <cols>
    <col min="1" max="1" width="30" style="61" customWidth="1"/>
    <col min="2" max="13" width="10.875" style="61" customWidth="1"/>
    <col min="14" max="14" width="12.25" style="232" customWidth="1"/>
    <col min="15" max="16384" width="11" style="61"/>
  </cols>
  <sheetData>
    <row r="1" spans="1:14" ht="22.5">
      <c r="A1" s="325" t="str">
        <f>'PyG 0'!A1</f>
        <v>Cuenta de Resultados, o de Pérdidas y Ganancias por meses</v>
      </c>
      <c r="E1" s="232"/>
      <c r="F1" s="232"/>
      <c r="I1" s="234" t="str">
        <f>Parametros!D$77</f>
        <v>Año 2:  2028</v>
      </c>
      <c r="L1" s="407"/>
    </row>
    <row r="2" spans="1:14" s="408" customFormat="1" ht="22.5">
      <c r="A2" s="67" t="str">
        <f>'Datos Básicos'!B9</f>
        <v>nombre empresa</v>
      </c>
      <c r="C2" s="409"/>
      <c r="D2" s="277"/>
      <c r="N2" s="410"/>
    </row>
    <row r="3" spans="1:14" s="408" customFormat="1" ht="26.25" thickBot="1">
      <c r="A3" s="59"/>
      <c r="B3" s="2327">
        <v>1</v>
      </c>
      <c r="C3" s="2327">
        <v>2</v>
      </c>
      <c r="D3" s="2327">
        <v>3</v>
      </c>
      <c r="E3" s="2327">
        <v>4</v>
      </c>
      <c r="F3" s="2327">
        <v>5</v>
      </c>
      <c r="G3" s="2327">
        <v>6</v>
      </c>
      <c r="H3" s="2327">
        <v>7</v>
      </c>
      <c r="I3" s="2327">
        <v>8</v>
      </c>
      <c r="J3" s="2327">
        <v>9</v>
      </c>
      <c r="K3" s="2327">
        <v>10</v>
      </c>
      <c r="L3" s="2327">
        <v>11</v>
      </c>
      <c r="M3" s="2327">
        <v>12</v>
      </c>
      <c r="N3" s="410"/>
    </row>
    <row r="4" spans="1:14" s="411" customFormat="1" ht="21.75" customHeight="1" thickBot="1">
      <c r="A4" s="414" t="str">
        <f t="array" ref="A4:A7">'PPyGG anuales'!A4:A7</f>
        <v>Conceptos</v>
      </c>
      <c r="B4" s="415" t="str">
        <f t="array" ref="B4:M4">meses</f>
        <v>enero</v>
      </c>
      <c r="C4" s="415" t="str">
        <v>febrero</v>
      </c>
      <c r="D4" s="415" t="str">
        <v>marzo</v>
      </c>
      <c r="E4" s="415" t="str">
        <v>abril</v>
      </c>
      <c r="F4" s="415" t="str">
        <v>mayo</v>
      </c>
      <c r="G4" s="415" t="str">
        <v>junio</v>
      </c>
      <c r="H4" s="415" t="str">
        <v>julio</v>
      </c>
      <c r="I4" s="415" t="str">
        <v>agosto</v>
      </c>
      <c r="J4" s="415" t="str">
        <v>septiembre</v>
      </c>
      <c r="K4" s="415" t="str">
        <v>octubre</v>
      </c>
      <c r="L4" s="415" t="str">
        <v>noviembre</v>
      </c>
      <c r="M4" s="415" t="str">
        <v>diciembre</v>
      </c>
      <c r="N4" s="415" t="s">
        <v>11</v>
      </c>
    </row>
    <row r="5" spans="1:14" s="410" customFormat="1" ht="16.149999999999999" customHeight="1">
      <c r="A5" s="416" t="str">
        <v>Ingresos por ventas</v>
      </c>
      <c r="B5" s="605">
        <f t="array" aca="1" ref="B5:M5" ca="1">'Prev.Ventas 2'!B25:M25</f>
        <v>2884</v>
      </c>
      <c r="C5" s="605">
        <f ca="1"/>
        <v>3605</v>
      </c>
      <c r="D5" s="605">
        <f ca="1"/>
        <v>3965.5</v>
      </c>
      <c r="E5" s="605">
        <f ca="1"/>
        <v>3785.25</v>
      </c>
      <c r="F5" s="605">
        <f ca="1"/>
        <v>3244.5</v>
      </c>
      <c r="G5" s="605">
        <f ca="1"/>
        <v>3064.25</v>
      </c>
      <c r="H5" s="605">
        <f ca="1"/>
        <v>2884</v>
      </c>
      <c r="I5" s="605">
        <f ca="1"/>
        <v>2163</v>
      </c>
      <c r="J5" s="605">
        <f ca="1"/>
        <v>2884</v>
      </c>
      <c r="K5" s="605">
        <f ca="1"/>
        <v>3424.75</v>
      </c>
      <c r="L5" s="605">
        <f ca="1"/>
        <v>3605</v>
      </c>
      <c r="M5" s="605">
        <f ca="1"/>
        <v>4326</v>
      </c>
      <c r="N5" s="606">
        <f ca="1">SUM(B5:M5)</f>
        <v>39835.25</v>
      </c>
    </row>
    <row r="6" spans="1:14" s="410" customFormat="1" ht="16.149999999999999" customHeight="1">
      <c r="A6" s="1596" t="str">
        <v>Imputación de subvenciones</v>
      </c>
      <c r="B6" s="609">
        <f>IF(B$3+24&gt;mes0+Parametros!$B$38*12-1,0,Financiación!$C$19/Parametros!$B$38/12)
+IF(Parametros!$C$38&gt;2,Financiación!$D$19/Parametros!$C$38/12,0)
+Financiación!$E$19/Parametros!$D$38/12
+Financiación!$F$19/Parametros!$E$38/12</f>
        <v>0</v>
      </c>
      <c r="C6" s="609">
        <f>IF(C$3+24&gt;mes0+Parametros!$B$38*12-1,0,Financiación!$C$19/Parametros!$B$38/12)
+IF(Parametros!$C$38&gt;2,Financiación!$D$19/Parametros!$C$38/12,0)
+Financiación!$E$19/Parametros!$D$38/12
+Financiación!$F$19/Parametros!$E$38/12</f>
        <v>0</v>
      </c>
      <c r="D6" s="609">
        <f>IF(D$3+24&gt;mes0+Parametros!$B$38*12-1,0,Financiación!$C$19/Parametros!$B$38/12)
+IF(Parametros!$C$38&gt;2,Financiación!$D$19/Parametros!$C$38/12,0)
+Financiación!$E$19/Parametros!$D$38/12
+Financiación!$F$19/Parametros!$E$38/12</f>
        <v>0</v>
      </c>
      <c r="E6" s="609">
        <f>IF(E$3+24&gt;mes0+Parametros!$B$38*12-1,0,Financiación!$C$19/Parametros!$B$38/12)
+IF(Parametros!$C$38&gt;2,Financiación!$D$19/Parametros!$C$38/12,0)
+Financiación!$E$19/Parametros!$D$38/12
+Financiación!$F$19/Parametros!$E$38/12</f>
        <v>0</v>
      </c>
      <c r="F6" s="609">
        <f>IF(F$3+24&gt;mes0+Parametros!$B$38*12-1,0,Financiación!$C$19/Parametros!$B$38/12)
+IF(Parametros!$C$38&gt;2,Financiación!$D$19/Parametros!$C$38/12,0)
+Financiación!$E$19/Parametros!$D$38/12
+Financiación!$F$19/Parametros!$E$38/12</f>
        <v>0</v>
      </c>
      <c r="G6" s="609">
        <f>IF(G$3+24&gt;mes0+Parametros!$B$38*12-1,0,Financiación!$C$19/Parametros!$B$38/12)
+IF(Parametros!$C$38&gt;2,Financiación!$D$19/Parametros!$C$38/12,0)
+Financiación!$E$19/Parametros!$D$38/12
+Financiación!$F$19/Parametros!$E$38/12</f>
        <v>0</v>
      </c>
      <c r="H6" s="609">
        <f>IF(H$3+24&gt;mes0+Parametros!$B$38*12-1,0,Financiación!$C$19/Parametros!$B$38/12)
+IF(Parametros!$C$38&gt;2,Financiación!$D$19/Parametros!$C$38/12,0)
+Financiación!$E$19/Parametros!$D$38/12
+Financiación!$F$19/Parametros!$E$38/12</f>
        <v>0</v>
      </c>
      <c r="I6" s="609">
        <f>IF(I$3+24&gt;mes0+Parametros!$B$38*12-1,0,Financiación!$C$19/Parametros!$B$38/12)
+IF(Parametros!$C$38&gt;2,Financiación!$D$19/Parametros!$C$38/12,0)
+Financiación!$E$19/Parametros!$D$38/12
+Financiación!$F$19/Parametros!$E$38/12</f>
        <v>0</v>
      </c>
      <c r="J6" s="609">
        <f>IF(J$3+24&gt;mes0+Parametros!$B$38*12-1,0,Financiación!$C$19/Parametros!$B$38/12)
+IF(Parametros!$C$38&gt;2,Financiación!$D$19/Parametros!$C$38/12,0)
+Financiación!$E$19/Parametros!$D$38/12
+Financiación!$F$19/Parametros!$E$38/12</f>
        <v>0</v>
      </c>
      <c r="K6" s="609">
        <f>IF(K$3+24&gt;mes0+Parametros!$B$38*12-1,0,Financiación!$C$19/Parametros!$B$38/12)
+IF(Parametros!$C$38&gt;2,Financiación!$D$19/Parametros!$C$38/12,0)
+Financiación!$E$19/Parametros!$D$38/12
+Financiación!$F$19/Parametros!$E$38/12</f>
        <v>0</v>
      </c>
      <c r="L6" s="609">
        <f>IF(L$3+24&gt;mes0+Parametros!$B$38*12-1,0,Financiación!$C$19/Parametros!$B$38/12)
+IF(Parametros!$C$38&gt;2,Financiación!$D$19/Parametros!$C$38/12,0)
+Financiación!$E$19/Parametros!$D$38/12
+Financiación!$F$19/Parametros!$E$38/12</f>
        <v>0</v>
      </c>
      <c r="M6" s="609">
        <f>IF(M$3+24&gt;mes0+Parametros!$B$38*12-1,0,Financiación!$C$19/Parametros!$B$38/12)
+IF(Parametros!$C$38&gt;2,Financiación!$D$19/Parametros!$C$38/12,0)
+Financiación!$E$19/Parametros!$D$38/12
+Financiación!$F$19/Parametros!$E$38/12</f>
        <v>0</v>
      </c>
      <c r="N6" s="608">
        <f>SUM(B6:M6)</f>
        <v>0</v>
      </c>
    </row>
    <row r="7" spans="1:14" s="410" customFormat="1" ht="16.149999999999999" customHeight="1">
      <c r="A7" s="1597" t="str">
        <v>Total Ingresos de Explotación</v>
      </c>
      <c r="B7" s="1598">
        <f t="array" aca="1" ref="B7:M7" ca="1">B5:M5+B6:M6</f>
        <v>2884</v>
      </c>
      <c r="C7" s="1598">
        <f ca="1"/>
        <v>3605</v>
      </c>
      <c r="D7" s="1598">
        <f ca="1"/>
        <v>3965.5</v>
      </c>
      <c r="E7" s="1598">
        <f ca="1"/>
        <v>3785.25</v>
      </c>
      <c r="F7" s="1598">
        <f ca="1"/>
        <v>3244.5</v>
      </c>
      <c r="G7" s="1598">
        <f ca="1"/>
        <v>3064.25</v>
      </c>
      <c r="H7" s="1598">
        <f ca="1"/>
        <v>2884</v>
      </c>
      <c r="I7" s="1598">
        <f ca="1"/>
        <v>2163</v>
      </c>
      <c r="J7" s="1598">
        <f ca="1"/>
        <v>2884</v>
      </c>
      <c r="K7" s="1598">
        <f ca="1"/>
        <v>3424.75</v>
      </c>
      <c r="L7" s="1598">
        <f ca="1"/>
        <v>3605</v>
      </c>
      <c r="M7" s="1598">
        <f ca="1"/>
        <v>4326</v>
      </c>
      <c r="N7" s="608">
        <f ca="1">SUM(B7:M7)</f>
        <v>39835.25</v>
      </c>
    </row>
    <row r="8" spans="1:14" s="410" customFormat="1" ht="16.149999999999999" customHeight="1">
      <c r="A8" s="1596"/>
      <c r="B8" s="609"/>
      <c r="C8" s="609"/>
      <c r="D8" s="609"/>
      <c r="E8" s="609"/>
      <c r="F8" s="609"/>
      <c r="G8" s="609"/>
      <c r="H8" s="609"/>
      <c r="I8" s="609"/>
      <c r="J8" s="609"/>
      <c r="K8" s="609"/>
      <c r="L8" s="609"/>
      <c r="M8" s="609"/>
      <c r="N8" s="608"/>
    </row>
    <row r="9" spans="1:14" s="408" customFormat="1" ht="16.149999999999999" customHeight="1">
      <c r="A9" s="417" t="str">
        <f t="array" ref="A9:A11">'PPyGG anuales'!A9:A11</f>
        <v>Costes variables / Directos</v>
      </c>
      <c r="B9" s="605">
        <f t="array" aca="1" ref="B9:M9" ca="1">'Distr CV 2'!B28:M28</f>
        <v>288.40000000000003</v>
      </c>
      <c r="C9" s="605">
        <f ca="1"/>
        <v>360.50000000000006</v>
      </c>
      <c r="D9" s="605">
        <f ca="1"/>
        <v>396.55</v>
      </c>
      <c r="E9" s="605">
        <f ca="1"/>
        <v>378.52500000000003</v>
      </c>
      <c r="F9" s="605">
        <f ca="1"/>
        <v>324.45000000000005</v>
      </c>
      <c r="G9" s="605">
        <f ca="1"/>
        <v>306.42500000000001</v>
      </c>
      <c r="H9" s="605">
        <f ca="1"/>
        <v>288.40000000000003</v>
      </c>
      <c r="I9" s="605">
        <f ca="1"/>
        <v>216.3</v>
      </c>
      <c r="J9" s="605">
        <f ca="1"/>
        <v>288.40000000000003</v>
      </c>
      <c r="K9" s="605">
        <f ca="1"/>
        <v>342.47500000000002</v>
      </c>
      <c r="L9" s="605">
        <f ca="1"/>
        <v>360.50000000000006</v>
      </c>
      <c r="M9" s="605">
        <f ca="1"/>
        <v>432.6</v>
      </c>
      <c r="N9" s="606">
        <f ca="1">SUM(B9:M9)</f>
        <v>3983.5250000000005</v>
      </c>
    </row>
    <row r="10" spans="1:14" s="408" customFormat="1" ht="16.149999999999999" customHeight="1">
      <c r="A10" s="417" t="str">
        <v>Impagados / Cobros fallidos</v>
      </c>
      <c r="B10" s="609">
        <f ca="1">-(1-recmorosos)*'Cobros y pagos 1'!B27</f>
        <v>0</v>
      </c>
      <c r="C10" s="609">
        <f ca="1">-(1-recmorosos)*'Cobros y pagos 1'!C27</f>
        <v>0</v>
      </c>
      <c r="D10" s="609">
        <f ca="1">-(1-recmorosos)*'Cobros y pagos 1'!D27</f>
        <v>0</v>
      </c>
      <c r="E10" s="609">
        <f ca="1">-(1-recmorosos)*'Cobros y pagos 1'!E27</f>
        <v>0</v>
      </c>
      <c r="F10" s="609">
        <f ca="1">-(1-recmorosos)*'Cobros y pagos 1'!F27</f>
        <v>0</v>
      </c>
      <c r="G10" s="609">
        <f ca="1">-(1-recmorosos)*'Cobros y pagos 1'!G27</f>
        <v>0</v>
      </c>
      <c r="H10" s="609">
        <f ca="1">-(1-recmorosos)*'Cobros y pagos 1'!H27</f>
        <v>0</v>
      </c>
      <c r="I10" s="609">
        <f ca="1">-(1-recmorosos)*'Cobros y pagos 1'!I27</f>
        <v>0</v>
      </c>
      <c r="J10" s="609">
        <f ca="1">-(1-recmorosos)*'Cobros y pagos 1'!J27</f>
        <v>0</v>
      </c>
      <c r="K10" s="609">
        <f ca="1">-(1-recmorosos)*'Cobros y pagos 1'!K27</f>
        <v>0</v>
      </c>
      <c r="L10" s="609">
        <f ca="1">-(1-recmorosos)*'Cobros y pagos 1'!L27</f>
        <v>0</v>
      </c>
      <c r="M10" s="609">
        <f ca="1">-(1-recmorosos)*'Cobros y pagos 1'!M27+'IVA 2'!O15</f>
        <v>0</v>
      </c>
      <c r="N10" s="608">
        <f ca="1">SUM(B10:M10)</f>
        <v>0</v>
      </c>
    </row>
    <row r="11" spans="1:14" s="408" customFormat="1" ht="16.149999999999999" customHeight="1">
      <c r="A11" s="1602" t="str">
        <v>Costes Directos y Comerciales</v>
      </c>
      <c r="B11" s="1598">
        <f t="array" ref="B11:M11" ca="1">B9:M9+B10:M10</f>
        <v>288.40000000000003</v>
      </c>
      <c r="C11" s="1598">
        <f ca="1"/>
        <v>360.50000000000006</v>
      </c>
      <c r="D11" s="1598">
        <f ca="1"/>
        <v>396.55</v>
      </c>
      <c r="E11" s="1598">
        <f ca="1"/>
        <v>378.52500000000003</v>
      </c>
      <c r="F11" s="1598">
        <f ca="1"/>
        <v>324.45000000000005</v>
      </c>
      <c r="G11" s="1598">
        <f ca="1"/>
        <v>306.42500000000001</v>
      </c>
      <c r="H11" s="1598">
        <f ca="1"/>
        <v>288.40000000000003</v>
      </c>
      <c r="I11" s="1598">
        <f ca="1"/>
        <v>216.3</v>
      </c>
      <c r="J11" s="1598">
        <f ca="1"/>
        <v>288.40000000000003</v>
      </c>
      <c r="K11" s="1598">
        <f ca="1"/>
        <v>342.47500000000002</v>
      </c>
      <c r="L11" s="1598">
        <f ca="1"/>
        <v>360.50000000000006</v>
      </c>
      <c r="M11" s="1598">
        <f ca="1"/>
        <v>432.6</v>
      </c>
      <c r="N11" s="608">
        <f ca="1">SUM(B11:M11)</f>
        <v>3983.5250000000005</v>
      </c>
    </row>
    <row r="12" spans="1:14" s="408" customFormat="1" ht="16.149999999999999" customHeight="1">
      <c r="A12" s="940"/>
      <c r="B12" s="609"/>
      <c r="C12" s="609"/>
      <c r="D12" s="609"/>
      <c r="E12" s="609"/>
      <c r="F12" s="609"/>
      <c r="G12" s="609"/>
      <c r="H12" s="609"/>
      <c r="I12" s="609"/>
      <c r="J12" s="609"/>
      <c r="K12" s="609"/>
      <c r="L12" s="609"/>
      <c r="M12" s="609"/>
      <c r="N12" s="608"/>
    </row>
    <row r="13" spans="1:14" s="410" customFormat="1" ht="16.149999999999999" customHeight="1">
      <c r="A13" s="418" t="str">
        <f>'PPyGG anuales'!A13</f>
        <v>Margen Bruto s/Ventas</v>
      </c>
      <c r="B13" s="604">
        <f t="array" ref="B13:M13" ca="1">B7:M7-B11:M11</f>
        <v>2595.6</v>
      </c>
      <c r="C13" s="604">
        <f ca="1"/>
        <v>3244.5</v>
      </c>
      <c r="D13" s="604">
        <f ca="1"/>
        <v>3568.95</v>
      </c>
      <c r="E13" s="604">
        <f ca="1"/>
        <v>3406.7249999999999</v>
      </c>
      <c r="F13" s="604">
        <f ca="1"/>
        <v>2920.05</v>
      </c>
      <c r="G13" s="604">
        <f ca="1"/>
        <v>2757.8249999999998</v>
      </c>
      <c r="H13" s="604">
        <f ca="1"/>
        <v>2595.6</v>
      </c>
      <c r="I13" s="604">
        <f ca="1"/>
        <v>1946.7</v>
      </c>
      <c r="J13" s="604">
        <f ca="1"/>
        <v>2595.6</v>
      </c>
      <c r="K13" s="604">
        <f ca="1"/>
        <v>3082.2750000000001</v>
      </c>
      <c r="L13" s="604">
        <f ca="1"/>
        <v>3244.5</v>
      </c>
      <c r="M13" s="604">
        <f ca="1"/>
        <v>3893.4</v>
      </c>
      <c r="N13" s="606">
        <f ca="1">SUM(B13:M13)</f>
        <v>35851.724999999999</v>
      </c>
    </row>
    <row r="14" spans="1:14" s="410" customFormat="1" ht="16.149999999999999" customHeight="1">
      <c r="A14" s="418"/>
      <c r="B14" s="412"/>
      <c r="C14" s="412"/>
      <c r="D14" s="412"/>
      <c r="E14" s="412"/>
      <c r="F14" s="412"/>
      <c r="G14" s="412"/>
      <c r="H14" s="412"/>
      <c r="I14" s="412"/>
      <c r="J14" s="412"/>
      <c r="K14" s="412"/>
      <c r="L14" s="412"/>
      <c r="M14" s="412"/>
      <c r="N14" s="1606"/>
    </row>
    <row r="15" spans="1:14" s="408" customFormat="1" ht="16.149999999999999" customHeight="1">
      <c r="A15" s="940" t="str">
        <f t="array" ref="A15:A18">'PPyGG anuales'!A15:A18</f>
        <v>Gastos de Personal</v>
      </c>
      <c r="B15" s="605">
        <f t="array" ref="B15:M15" ca="1">'G.F. 2'!B27:M27-'G.F. 2'!B20:M20</f>
        <v>1622.4</v>
      </c>
      <c r="C15" s="605">
        <f ca="1"/>
        <v>1622.4</v>
      </c>
      <c r="D15" s="605">
        <f ca="1"/>
        <v>1622.4</v>
      </c>
      <c r="E15" s="605">
        <f ca="1"/>
        <v>1622.4</v>
      </c>
      <c r="F15" s="605">
        <f ca="1"/>
        <v>1622.4</v>
      </c>
      <c r="G15" s="605">
        <f ca="1"/>
        <v>1622.4</v>
      </c>
      <c r="H15" s="605">
        <f ca="1"/>
        <v>1622.4</v>
      </c>
      <c r="I15" s="605">
        <f ca="1"/>
        <v>1622.4</v>
      </c>
      <c r="J15" s="605">
        <f ca="1"/>
        <v>1622.4</v>
      </c>
      <c r="K15" s="605">
        <f ca="1"/>
        <v>1622.4</v>
      </c>
      <c r="L15" s="605">
        <f ca="1"/>
        <v>1622.4</v>
      </c>
      <c r="M15" s="605">
        <f ca="1"/>
        <v>1622.4</v>
      </c>
      <c r="N15" s="606">
        <f ca="1">SUM(B15:M15)</f>
        <v>19468.8</v>
      </c>
    </row>
    <row r="16" spans="1:14" s="408" customFormat="1" ht="16.149999999999999" customHeight="1">
      <c r="A16" s="940" t="str">
        <v>Gastos de Seguridad Social</v>
      </c>
      <c r="B16" s="605">
        <f t="array" ref="B16:M16" ca="1">+'G.F. 2'!B20:M20</f>
        <v>390</v>
      </c>
      <c r="C16" s="605">
        <f ca="1"/>
        <v>390</v>
      </c>
      <c r="D16" s="605">
        <f ca="1"/>
        <v>390</v>
      </c>
      <c r="E16" s="605">
        <f ca="1"/>
        <v>390</v>
      </c>
      <c r="F16" s="605">
        <f ca="1"/>
        <v>390</v>
      </c>
      <c r="G16" s="605">
        <f ca="1"/>
        <v>1710</v>
      </c>
      <c r="H16" s="605">
        <f ca="1"/>
        <v>390</v>
      </c>
      <c r="I16" s="605">
        <f ca="1"/>
        <v>390</v>
      </c>
      <c r="J16" s="605">
        <f ca="1"/>
        <v>390</v>
      </c>
      <c r="K16" s="605">
        <f ca="1"/>
        <v>390</v>
      </c>
      <c r="L16" s="605">
        <f ca="1"/>
        <v>390</v>
      </c>
      <c r="M16" s="605">
        <f ca="1"/>
        <v>390</v>
      </c>
      <c r="N16" s="606">
        <f ca="1">SUM(B16:M16)</f>
        <v>6000</v>
      </c>
    </row>
    <row r="17" spans="1:14" s="408" customFormat="1" ht="16.149999999999999" customHeight="1">
      <c r="A17" s="940" t="str">
        <v>Otros Gastos Fijos</v>
      </c>
      <c r="B17" s="605">
        <f t="array" aca="1" ref="B17:M17" ca="1">'G.F. 2'!B55:M55+'IVA 2'!C13:N13</f>
        <v>142.69268787878784</v>
      </c>
      <c r="C17" s="605">
        <f ca="1"/>
        <v>142.69268787878784</v>
      </c>
      <c r="D17" s="605">
        <f ca="1"/>
        <v>142.69268787878784</v>
      </c>
      <c r="E17" s="605">
        <f ca="1"/>
        <v>142.69268787878784</v>
      </c>
      <c r="F17" s="605">
        <f ca="1"/>
        <v>142.69268787878784</v>
      </c>
      <c r="G17" s="605">
        <f ca="1"/>
        <v>142.69268787878784</v>
      </c>
      <c r="H17" s="605">
        <f ca="1"/>
        <v>142.69268787878784</v>
      </c>
      <c r="I17" s="605">
        <f ca="1"/>
        <v>142.69268787878784</v>
      </c>
      <c r="J17" s="605">
        <f ca="1"/>
        <v>142.69268787878784</v>
      </c>
      <c r="K17" s="605">
        <f ca="1"/>
        <v>142.69268787878784</v>
      </c>
      <c r="L17" s="605">
        <f ca="1"/>
        <v>142.69268787878784</v>
      </c>
      <c r="M17" s="605">
        <f ca="1"/>
        <v>142.69268787878784</v>
      </c>
      <c r="N17" s="606">
        <f ca="1">SUM(B17:M17)</f>
        <v>1712.3122545454542</v>
      </c>
    </row>
    <row r="18" spans="1:14" s="410" customFormat="1" ht="16.149999999999999" customHeight="1">
      <c r="A18" s="418" t="str">
        <v>Gastos Explotación</v>
      </c>
      <c r="B18" s="604">
        <f t="shared" ref="B18:M18" ca="1" si="0">SUM(B15:B17)</f>
        <v>2155.0926878787877</v>
      </c>
      <c r="C18" s="604">
        <f t="shared" ca="1" si="0"/>
        <v>2155.0926878787877</v>
      </c>
      <c r="D18" s="604">
        <f t="shared" ca="1" si="0"/>
        <v>2155.0926878787877</v>
      </c>
      <c r="E18" s="604">
        <f t="shared" ca="1" si="0"/>
        <v>2155.0926878787877</v>
      </c>
      <c r="F18" s="604">
        <f t="shared" ca="1" si="0"/>
        <v>2155.0926878787877</v>
      </c>
      <c r="G18" s="604">
        <f t="shared" ca="1" si="0"/>
        <v>3475.0926878787877</v>
      </c>
      <c r="H18" s="604">
        <f t="shared" ca="1" si="0"/>
        <v>2155.0926878787877</v>
      </c>
      <c r="I18" s="604">
        <f t="shared" ca="1" si="0"/>
        <v>2155.0926878787877</v>
      </c>
      <c r="J18" s="604">
        <f t="shared" ca="1" si="0"/>
        <v>2155.0926878787877</v>
      </c>
      <c r="K18" s="604">
        <f t="shared" ca="1" si="0"/>
        <v>2155.0926878787877</v>
      </c>
      <c r="L18" s="604">
        <f t="shared" ca="1" si="0"/>
        <v>2155.0926878787877</v>
      </c>
      <c r="M18" s="604">
        <f t="shared" ca="1" si="0"/>
        <v>2155.0926878787877</v>
      </c>
      <c r="N18" s="606">
        <f ca="1">SUM(B18:M18)</f>
        <v>27181.112254545445</v>
      </c>
    </row>
    <row r="19" spans="1:14" s="410" customFormat="1" ht="16.149999999999999" customHeight="1">
      <c r="A19" s="418"/>
      <c r="B19" s="412"/>
      <c r="C19" s="412"/>
      <c r="D19" s="412"/>
      <c r="E19" s="412"/>
      <c r="F19" s="412"/>
      <c r="G19" s="412"/>
      <c r="H19" s="412"/>
      <c r="I19" s="412"/>
      <c r="J19" s="412"/>
      <c r="K19" s="412"/>
      <c r="L19" s="412"/>
      <c r="M19" s="412"/>
      <c r="N19" s="1606"/>
    </row>
    <row r="20" spans="1:14" s="410" customFormat="1" ht="16.149999999999999" customHeight="1">
      <c r="A20" s="418" t="str">
        <f>'PPyGG anuales'!A20</f>
        <v>E.B.I.T.D.A.</v>
      </c>
      <c r="B20" s="412">
        <f t="array" ref="B20:M20" ca="1">B13:M13-B18:M18</f>
        <v>440.50731212121218</v>
      </c>
      <c r="C20" s="412">
        <f ca="1"/>
        <v>1089.4073121212123</v>
      </c>
      <c r="D20" s="412">
        <f ca="1"/>
        <v>1413.8573121212121</v>
      </c>
      <c r="E20" s="412">
        <f ca="1"/>
        <v>1251.6323121212122</v>
      </c>
      <c r="F20" s="412">
        <f ca="1"/>
        <v>764.95731212121245</v>
      </c>
      <c r="G20" s="412">
        <f ca="1"/>
        <v>-717.26768787878791</v>
      </c>
      <c r="H20" s="412">
        <f ca="1"/>
        <v>440.50731212121218</v>
      </c>
      <c r="I20" s="412">
        <f ca="1"/>
        <v>-208.39268787878768</v>
      </c>
      <c r="J20" s="412">
        <f ca="1"/>
        <v>440.50731212121218</v>
      </c>
      <c r="K20" s="412">
        <f ca="1"/>
        <v>927.18231212121236</v>
      </c>
      <c r="L20" s="412">
        <f ca="1"/>
        <v>1089.4073121212123</v>
      </c>
      <c r="M20" s="412">
        <f ca="1"/>
        <v>1738.3073121212124</v>
      </c>
      <c r="N20" s="606">
        <f ca="1">SUM(B20:M20)</f>
        <v>8670.6127454545458</v>
      </c>
    </row>
    <row r="21" spans="1:14" s="410" customFormat="1" ht="16.149999999999999" customHeight="1">
      <c r="A21" s="418"/>
      <c r="B21" s="412"/>
      <c r="C21" s="412"/>
      <c r="D21" s="412"/>
      <c r="E21" s="412"/>
      <c r="F21" s="412"/>
      <c r="G21" s="412"/>
      <c r="H21" s="412"/>
      <c r="I21" s="412"/>
      <c r="J21" s="412"/>
      <c r="K21" s="412"/>
      <c r="L21" s="412"/>
      <c r="M21" s="412"/>
      <c r="N21" s="1606"/>
    </row>
    <row r="22" spans="1:14" s="408" customFormat="1" ht="16.149999999999999" customHeight="1">
      <c r="A22" s="940" t="str">
        <f t="array" ref="A22:A23">'PPyGG anuales'!A22:A23</f>
        <v>Dotación Amortizaciones</v>
      </c>
      <c r="B22" s="605">
        <f t="array" ref="B22:M22">Amortizaciones!$F$41/12</f>
        <v>0</v>
      </c>
      <c r="C22" s="605">
        <v>0</v>
      </c>
      <c r="D22" s="605">
        <v>0</v>
      </c>
      <c r="E22" s="605">
        <v>0</v>
      </c>
      <c r="F22" s="605">
        <v>0</v>
      </c>
      <c r="G22" s="605">
        <v>0</v>
      </c>
      <c r="H22" s="605">
        <v>0</v>
      </c>
      <c r="I22" s="605">
        <v>0</v>
      </c>
      <c r="J22" s="605">
        <v>0</v>
      </c>
      <c r="K22" s="605">
        <v>0</v>
      </c>
      <c r="L22" s="605">
        <v>0</v>
      </c>
      <c r="M22" s="605">
        <v>0</v>
      </c>
      <c r="N22" s="606">
        <f>SUM(B22:M22)</f>
        <v>0</v>
      </c>
    </row>
    <row r="23" spans="1:14" s="410" customFormat="1" ht="16.149999999999999" customHeight="1">
      <c r="A23" s="418" t="str">
        <v>Res. antes Int. e Imp. (BAII / EBIT)</v>
      </c>
      <c r="B23" s="606">
        <f t="array" ref="B23:M23" ca="1">B20:M20-B22:M22</f>
        <v>440.50731212121218</v>
      </c>
      <c r="C23" s="606">
        <f ca="1"/>
        <v>1089.4073121212123</v>
      </c>
      <c r="D23" s="606">
        <f ca="1"/>
        <v>1413.8573121212121</v>
      </c>
      <c r="E23" s="606">
        <f ca="1"/>
        <v>1251.6323121212122</v>
      </c>
      <c r="F23" s="606">
        <f ca="1"/>
        <v>764.95731212121245</v>
      </c>
      <c r="G23" s="606">
        <f ca="1"/>
        <v>-717.26768787878791</v>
      </c>
      <c r="H23" s="606">
        <f ca="1"/>
        <v>440.50731212121218</v>
      </c>
      <c r="I23" s="606">
        <f ca="1"/>
        <v>-208.39268787878768</v>
      </c>
      <c r="J23" s="606">
        <f ca="1"/>
        <v>440.50731212121218</v>
      </c>
      <c r="K23" s="606">
        <f ca="1"/>
        <v>927.18231212121236</v>
      </c>
      <c r="L23" s="606">
        <f ca="1"/>
        <v>1089.4073121212123</v>
      </c>
      <c r="M23" s="606">
        <f ca="1"/>
        <v>1738.3073121212124</v>
      </c>
      <c r="N23" s="606">
        <f ca="1">SUM(B23:M23)</f>
        <v>8670.6127454545458</v>
      </c>
    </row>
    <row r="24" spans="1:14" s="410" customFormat="1" ht="16.149999999999999" customHeight="1">
      <c r="A24" s="418"/>
      <c r="B24" s="412"/>
      <c r="C24" s="412"/>
      <c r="D24" s="412"/>
      <c r="E24" s="412"/>
      <c r="F24" s="412"/>
      <c r="G24" s="412"/>
      <c r="H24" s="412"/>
      <c r="I24" s="412"/>
      <c r="J24" s="412"/>
      <c r="K24" s="412"/>
      <c r="L24" s="412"/>
      <c r="M24" s="412"/>
      <c r="N24" s="1606"/>
    </row>
    <row r="25" spans="1:14" s="408" customFormat="1" ht="16.149999999999999" customHeight="1">
      <c r="A25" s="940" t="str">
        <f t="array" ref="A25:A27">'PPyGG anuales'!A25:A27</f>
        <v>Ingresos Financieros</v>
      </c>
      <c r="B25" s="607">
        <f t="array" ref="B25:M25" ca="1">'Gastos Financieros'!C97:N97</f>
        <v>0</v>
      </c>
      <c r="C25" s="607">
        <f ca="1"/>
        <v>0</v>
      </c>
      <c r="D25" s="607">
        <f ca="1"/>
        <v>0</v>
      </c>
      <c r="E25" s="607">
        <f ca="1"/>
        <v>0</v>
      </c>
      <c r="F25" s="607">
        <f ca="1"/>
        <v>0</v>
      </c>
      <c r="G25" s="607">
        <f ca="1"/>
        <v>0</v>
      </c>
      <c r="H25" s="607">
        <f ca="1"/>
        <v>0</v>
      </c>
      <c r="I25" s="607">
        <f ca="1"/>
        <v>0</v>
      </c>
      <c r="J25" s="607">
        <f ca="1"/>
        <v>0</v>
      </c>
      <c r="K25" s="607">
        <f ca="1"/>
        <v>0</v>
      </c>
      <c r="L25" s="607">
        <f ca="1"/>
        <v>0</v>
      </c>
      <c r="M25" s="607">
        <f ca="1"/>
        <v>0</v>
      </c>
      <c r="N25" s="608">
        <f ca="1">SUM(B25:M25)</f>
        <v>0</v>
      </c>
    </row>
    <row r="26" spans="1:14" s="408" customFormat="1" ht="16.149999999999999" customHeight="1">
      <c r="A26" s="940" t="str">
        <v>Gastos Financieros</v>
      </c>
      <c r="B26" s="607">
        <f t="array" ref="B26:M26" ca="1">'Gastos Financieros'!C49:N49</f>
        <v>174.482</v>
      </c>
      <c r="C26" s="607">
        <f ca="1"/>
        <v>218.10250000000002</v>
      </c>
      <c r="D26" s="607">
        <f ca="1"/>
        <v>239.91275000000002</v>
      </c>
      <c r="E26" s="607">
        <f ca="1"/>
        <v>229.00762500000002</v>
      </c>
      <c r="F26" s="607">
        <f ca="1"/>
        <v>196.29225</v>
      </c>
      <c r="G26" s="607">
        <f ca="1"/>
        <v>185.387125</v>
      </c>
      <c r="H26" s="607">
        <f ca="1"/>
        <v>174.482</v>
      </c>
      <c r="I26" s="607">
        <f ca="1"/>
        <v>130.86150000000001</v>
      </c>
      <c r="J26" s="607">
        <f ca="1"/>
        <v>174.482</v>
      </c>
      <c r="K26" s="607">
        <f ca="1"/>
        <v>207.19737500000002</v>
      </c>
      <c r="L26" s="607">
        <f ca="1"/>
        <v>218.10250000000002</v>
      </c>
      <c r="M26" s="607">
        <f ca="1"/>
        <v>261.72300000000001</v>
      </c>
      <c r="N26" s="608">
        <f ca="1">SUM(B26:M26)</f>
        <v>2410.0326249999998</v>
      </c>
    </row>
    <row r="27" spans="1:14" s="410" customFormat="1" ht="16.149999999999999" customHeight="1">
      <c r="A27" s="418" t="str">
        <v>Resultado Financiero</v>
      </c>
      <c r="B27" s="608">
        <f t="array" ref="B27:M27" ca="1">B25:M25-B26:M26</f>
        <v>-174.482</v>
      </c>
      <c r="C27" s="608">
        <f ca="1"/>
        <v>-218.10250000000002</v>
      </c>
      <c r="D27" s="608">
        <f ca="1"/>
        <v>-239.91275000000002</v>
      </c>
      <c r="E27" s="608">
        <f ca="1"/>
        <v>-229.00762500000002</v>
      </c>
      <c r="F27" s="608">
        <f ca="1"/>
        <v>-196.29225</v>
      </c>
      <c r="G27" s="608">
        <f ca="1"/>
        <v>-185.387125</v>
      </c>
      <c r="H27" s="608">
        <f ca="1"/>
        <v>-174.482</v>
      </c>
      <c r="I27" s="608">
        <f ca="1"/>
        <v>-130.86150000000001</v>
      </c>
      <c r="J27" s="608">
        <f ca="1"/>
        <v>-174.482</v>
      </c>
      <c r="K27" s="608">
        <f ca="1"/>
        <v>-207.19737500000002</v>
      </c>
      <c r="L27" s="608">
        <f ca="1"/>
        <v>-218.10250000000002</v>
      </c>
      <c r="M27" s="608">
        <f ca="1"/>
        <v>-261.72300000000001</v>
      </c>
      <c r="N27" s="608">
        <f ca="1">SUM(B27:M27)</f>
        <v>-2410.0326249999998</v>
      </c>
    </row>
    <row r="28" spans="1:14" s="410" customFormat="1" ht="16.149999999999999" customHeight="1">
      <c r="A28" s="418"/>
      <c r="B28" s="412"/>
      <c r="C28" s="412"/>
      <c r="D28" s="412"/>
      <c r="E28" s="412"/>
      <c r="F28" s="412"/>
      <c r="G28" s="412"/>
      <c r="H28" s="412"/>
      <c r="I28" s="412"/>
      <c r="J28" s="412"/>
      <c r="K28" s="412"/>
      <c r="L28" s="412"/>
      <c r="M28" s="412"/>
      <c r="N28" s="1606"/>
    </row>
    <row r="29" spans="1:14" s="410" customFormat="1" ht="16.149999999999999" customHeight="1">
      <c r="A29" s="418" t="str">
        <f>'PPyGG anuales'!A29</f>
        <v>Resultado antes Impuestos (B.A.I.)</v>
      </c>
      <c r="B29" s="608">
        <f t="array" ref="B29:M29" ca="1">B23:M23+B27:M27</f>
        <v>266.02531212121221</v>
      </c>
      <c r="C29" s="608">
        <f ca="1"/>
        <v>871.30481212121231</v>
      </c>
      <c r="D29" s="608">
        <f ca="1"/>
        <v>1173.9445621212121</v>
      </c>
      <c r="E29" s="608">
        <f ca="1"/>
        <v>1022.6246871212122</v>
      </c>
      <c r="F29" s="608">
        <f ca="1"/>
        <v>568.66506212121249</v>
      </c>
      <c r="G29" s="608">
        <f ca="1"/>
        <v>-902.65481287878788</v>
      </c>
      <c r="H29" s="608">
        <f ca="1"/>
        <v>266.02531212121221</v>
      </c>
      <c r="I29" s="608">
        <f ca="1"/>
        <v>-339.25418787878766</v>
      </c>
      <c r="J29" s="608">
        <f ca="1"/>
        <v>266.02531212121221</v>
      </c>
      <c r="K29" s="608">
        <f ca="1"/>
        <v>719.9849371212124</v>
      </c>
      <c r="L29" s="608">
        <f ca="1"/>
        <v>871.30481212121231</v>
      </c>
      <c r="M29" s="608">
        <f ca="1"/>
        <v>1476.5843121212124</v>
      </c>
      <c r="N29" s="608">
        <f ca="1">SUM(B29:M29)</f>
        <v>6260.5801204545478</v>
      </c>
    </row>
    <row r="30" spans="1:14" s="410" customFormat="1" ht="16.149999999999999" customHeight="1" thickBot="1">
      <c r="A30" s="418"/>
      <c r="B30" s="412"/>
      <c r="C30" s="412"/>
      <c r="D30" s="412"/>
      <c r="E30" s="412"/>
      <c r="F30" s="412"/>
      <c r="G30" s="412"/>
      <c r="H30" s="412"/>
      <c r="I30" s="412"/>
      <c r="J30" s="412"/>
      <c r="K30" s="412"/>
      <c r="L30" s="412"/>
      <c r="M30" s="412"/>
      <c r="N30" s="1606"/>
    </row>
    <row r="31" spans="1:14" s="413" customFormat="1" ht="21.75" customHeight="1" thickBot="1">
      <c r="A31" s="419" t="str">
        <f>'PyG 0'!A31</f>
        <v>Res. Acumulado Ejercicio</v>
      </c>
      <c r="B31" s="610">
        <f ca="1">B29</f>
        <v>266.02531212121221</v>
      </c>
      <c r="C31" s="610">
        <f t="shared" ref="C31:M31" ca="1" si="1">B31+C29</f>
        <v>1137.3301242424245</v>
      </c>
      <c r="D31" s="610">
        <f t="shared" ca="1" si="1"/>
        <v>2311.2746863636366</v>
      </c>
      <c r="E31" s="610">
        <f t="shared" ca="1" si="1"/>
        <v>3333.8993734848491</v>
      </c>
      <c r="F31" s="610">
        <f t="shared" ca="1" si="1"/>
        <v>3902.5644356060616</v>
      </c>
      <c r="G31" s="610">
        <f t="shared" ca="1" si="1"/>
        <v>2999.9096227272739</v>
      </c>
      <c r="H31" s="610">
        <f t="shared" ca="1" si="1"/>
        <v>3265.9349348484861</v>
      </c>
      <c r="I31" s="610">
        <f t="shared" ca="1" si="1"/>
        <v>2926.6807469696987</v>
      </c>
      <c r="J31" s="610">
        <f t="shared" ca="1" si="1"/>
        <v>3192.7060590909109</v>
      </c>
      <c r="K31" s="610">
        <f t="shared" ca="1" si="1"/>
        <v>3912.6909962121235</v>
      </c>
      <c r="L31" s="610">
        <f t="shared" ca="1" si="1"/>
        <v>4783.9958083333358</v>
      </c>
      <c r="M31" s="610">
        <f t="shared" ca="1" si="1"/>
        <v>6260.5801204545478</v>
      </c>
      <c r="N31" s="420"/>
    </row>
    <row r="32" spans="1:14" s="408" customFormat="1" ht="10.5">
      <c r="N32" s="410"/>
    </row>
    <row r="33" spans="12:14" s="408" customFormat="1">
      <c r="L33" s="61"/>
      <c r="M33" s="61"/>
      <c r="N33" s="232"/>
    </row>
  </sheetData>
  <sheetProtection sheet="1" objects="1" scenarios="1"/>
  <phoneticPr fontId="6" type="noConversion"/>
  <printOptions horizontalCentered="1" verticalCentered="1"/>
  <pageMargins left="0.39370078740157483" right="0.39370078740157483" top="0.41" bottom="0.59055118110236227" header="0.31496062992125984" footer="0.31496062992125984"/>
  <pageSetup paperSize="9" scale="72" orientation="landscape" horizontalDpi="300" verticalDpi="300" r:id="rId1"/>
  <headerFooter alignWithMargins="0">
    <oddFooter>&amp;C&amp;"Tahoma,Normal"&amp;10&amp;A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43">
    <tabColor indexed="61"/>
    <pageSetUpPr fitToPage="1"/>
  </sheetPr>
  <dimension ref="A1:N33"/>
  <sheetViews>
    <sheetView workbookViewId="0"/>
  </sheetViews>
  <sheetFormatPr baseColWidth="10" defaultColWidth="11" defaultRowHeight="12.75"/>
  <cols>
    <col min="1" max="1" width="30" style="61" customWidth="1"/>
    <col min="2" max="13" width="10.875" style="61" customWidth="1"/>
    <col min="14" max="14" width="12.25" style="232" customWidth="1"/>
    <col min="15" max="16384" width="11" style="61"/>
  </cols>
  <sheetData>
    <row r="1" spans="1:14" ht="22.5">
      <c r="A1" s="325" t="str">
        <f>'PyG 0'!A1</f>
        <v>Cuenta de Resultados, o de Pérdidas y Ganancias por meses</v>
      </c>
      <c r="E1" s="232"/>
      <c r="F1" s="232"/>
      <c r="I1" s="234" t="str">
        <f>Parametros!E$77</f>
        <v>Año 3:  2029</v>
      </c>
      <c r="L1" s="407"/>
    </row>
    <row r="2" spans="1:14" s="408" customFormat="1" ht="22.5">
      <c r="A2" s="67" t="str">
        <f>'Datos Básicos'!B9</f>
        <v>nombre empresa</v>
      </c>
      <c r="C2" s="409"/>
      <c r="D2" s="277"/>
      <c r="N2" s="410"/>
    </row>
    <row r="3" spans="1:14" s="408" customFormat="1" ht="26.25" thickBot="1">
      <c r="A3" s="59"/>
      <c r="B3" s="2327">
        <v>1</v>
      </c>
      <c r="C3" s="2327">
        <v>2</v>
      </c>
      <c r="D3" s="2327">
        <v>3</v>
      </c>
      <c r="E3" s="2327">
        <v>4</v>
      </c>
      <c r="F3" s="2327">
        <v>5</v>
      </c>
      <c r="G3" s="2327">
        <v>6</v>
      </c>
      <c r="H3" s="2327">
        <v>7</v>
      </c>
      <c r="I3" s="2327">
        <v>8</v>
      </c>
      <c r="J3" s="2327">
        <v>9</v>
      </c>
      <c r="K3" s="2327">
        <v>10</v>
      </c>
      <c r="L3" s="2327">
        <v>11</v>
      </c>
      <c r="M3" s="2327">
        <v>12</v>
      </c>
      <c r="N3" s="410"/>
    </row>
    <row r="4" spans="1:14" s="411" customFormat="1" ht="21.75" customHeight="1" thickBot="1">
      <c r="A4" s="414" t="str">
        <f t="array" ref="A4:A7">'PPyGG anuales'!A4:A7</f>
        <v>Conceptos</v>
      </c>
      <c r="B4" s="415" t="str">
        <f t="array" ref="B4:M4">meses</f>
        <v>enero</v>
      </c>
      <c r="C4" s="415" t="str">
        <v>febrero</v>
      </c>
      <c r="D4" s="415" t="str">
        <v>marzo</v>
      </c>
      <c r="E4" s="415" t="str">
        <v>abril</v>
      </c>
      <c r="F4" s="415" t="str">
        <v>mayo</v>
      </c>
      <c r="G4" s="415" t="str">
        <v>junio</v>
      </c>
      <c r="H4" s="415" t="str">
        <v>julio</v>
      </c>
      <c r="I4" s="415" t="str">
        <v>agosto</v>
      </c>
      <c r="J4" s="415" t="str">
        <v>septiembre</v>
      </c>
      <c r="K4" s="415" t="str">
        <v>octubre</v>
      </c>
      <c r="L4" s="415" t="str">
        <v>noviembre</v>
      </c>
      <c r="M4" s="415" t="str">
        <v>diciembre</v>
      </c>
      <c r="N4" s="415" t="s">
        <v>11</v>
      </c>
    </row>
    <row r="5" spans="1:14" s="410" customFormat="1" ht="16.149999999999999" customHeight="1">
      <c r="A5" s="416" t="str">
        <v>Ingresos por ventas</v>
      </c>
      <c r="B5" s="605">
        <f t="array" aca="1" ref="B5:M5" ca="1">'Prev.Ventas 3'!B25:M25</f>
        <v>2970.52</v>
      </c>
      <c r="C5" s="605">
        <f ca="1"/>
        <v>3713.1500000000005</v>
      </c>
      <c r="D5" s="605">
        <f ca="1"/>
        <v>4084.4650000000001</v>
      </c>
      <c r="E5" s="605">
        <f ca="1"/>
        <v>3898.8074999999999</v>
      </c>
      <c r="F5" s="605">
        <f ca="1"/>
        <v>3341.835</v>
      </c>
      <c r="G5" s="605">
        <f ca="1"/>
        <v>3156.1774999999998</v>
      </c>
      <c r="H5" s="605">
        <f ca="1"/>
        <v>2970.52</v>
      </c>
      <c r="I5" s="605">
        <f ca="1"/>
        <v>2227.89</v>
      </c>
      <c r="J5" s="605">
        <f ca="1"/>
        <v>2970.52</v>
      </c>
      <c r="K5" s="605">
        <f ca="1"/>
        <v>3527.4925000000003</v>
      </c>
      <c r="L5" s="605">
        <f ca="1"/>
        <v>3713.1500000000005</v>
      </c>
      <c r="M5" s="605">
        <f ca="1"/>
        <v>4455.78</v>
      </c>
      <c r="N5" s="606">
        <f ca="1">SUM(B5:M5)</f>
        <v>41030.307500000003</v>
      </c>
    </row>
    <row r="6" spans="1:14" s="410" customFormat="1" ht="16.149999999999999" customHeight="1">
      <c r="A6" s="1596" t="str">
        <v>Imputación de subvenciones</v>
      </c>
      <c r="B6" s="609">
        <f>IF(B$3+36&gt;mes0+Parametros!$B$38*12-1,0,Financiación!$C$19/Parametros!$B$38/12)
+IF(Parametros!$C$38&gt;3,Financiación!$D$19/Parametros!$C$38/12,0)
+IF(Parametros!$D$38&gt;2,Financiación!$E$19/Parametros!$D$38/12,0)
+Financiación!$F$19/Parametros!$E$38/12
+Financiación!$G$19/Parametros!$F$38/12</f>
        <v>0</v>
      </c>
      <c r="C6" s="609">
        <f>IF(C$3+36&gt;mes0+Parametros!$B$38*12-1,0,Financiación!$C$19/Parametros!$B$38/12)
+IF(Parametros!$C$38&gt;3,Financiación!$D$19/Parametros!$C$38/12,0)
+IF(Parametros!$D$38&gt;2,Financiación!$E$19/Parametros!$D$38/12,0)
+Financiación!$F$19/Parametros!$E$38/12
+Financiación!$G$19/Parametros!$F$38/12</f>
        <v>0</v>
      </c>
      <c r="D6" s="609">
        <f>IF(D$3+36&gt;mes0+Parametros!$B$38*12-1,0,Financiación!$C$19/Parametros!$B$38/12)
+IF(Parametros!$C$38&gt;3,Financiación!$D$19/Parametros!$C$38/12,0)
+IF(Parametros!$D$38&gt;2,Financiación!$E$19/Parametros!$D$38/12,0)
+Financiación!$F$19/Parametros!$E$38/12
+Financiación!$G$19/Parametros!$F$38/12</f>
        <v>0</v>
      </c>
      <c r="E6" s="609">
        <f>IF(E$3+36&gt;mes0+Parametros!$B$38*12-1,0,Financiación!$C$19/Parametros!$B$38/12)
+IF(Parametros!$C$38&gt;3,Financiación!$D$19/Parametros!$C$38/12,0)
+IF(Parametros!$D$38&gt;2,Financiación!$E$19/Parametros!$D$38/12,0)
+Financiación!$F$19/Parametros!$E$38/12
+Financiación!$G$19/Parametros!$F$38/12</f>
        <v>0</v>
      </c>
      <c r="F6" s="609">
        <f>IF(F$3+36&gt;mes0+Parametros!$B$38*12-1,0,Financiación!$C$19/Parametros!$B$38/12)
+IF(Parametros!$C$38&gt;3,Financiación!$D$19/Parametros!$C$38/12,0)
+IF(Parametros!$D$38&gt;2,Financiación!$E$19/Parametros!$D$38/12,0)
+Financiación!$F$19/Parametros!$E$38/12
+Financiación!$G$19/Parametros!$F$38/12</f>
        <v>0</v>
      </c>
      <c r="G6" s="609">
        <f>IF(G$3+36&gt;mes0+Parametros!$B$38*12-1,0,Financiación!$C$19/Parametros!$B$38/12)
+IF(Parametros!$C$38&gt;3,Financiación!$D$19/Parametros!$C$38/12,0)
+IF(Parametros!$D$38&gt;2,Financiación!$E$19/Parametros!$D$38/12,0)
+Financiación!$F$19/Parametros!$E$38/12
+Financiación!$G$19/Parametros!$F$38/12</f>
        <v>0</v>
      </c>
      <c r="H6" s="609">
        <f>IF(H$3+36&gt;mes0+Parametros!$B$38*12-1,0,Financiación!$C$19/Parametros!$B$38/12)
+IF(Parametros!$C$38&gt;3,Financiación!$D$19/Parametros!$C$38/12,0)
+IF(Parametros!$D$38&gt;2,Financiación!$E$19/Parametros!$D$38/12,0)
+Financiación!$F$19/Parametros!$E$38/12
+Financiación!$G$19/Parametros!$F$38/12</f>
        <v>0</v>
      </c>
      <c r="I6" s="609">
        <f>IF(I$3+36&gt;mes0+Parametros!$B$38*12-1,0,Financiación!$C$19/Parametros!$B$38/12)
+IF(Parametros!$C$38&gt;3,Financiación!$D$19/Parametros!$C$38/12,0)
+IF(Parametros!$D$38&gt;2,Financiación!$E$19/Parametros!$D$38/12,0)
+Financiación!$F$19/Parametros!$E$38/12
+Financiación!$G$19/Parametros!$F$38/12</f>
        <v>0</v>
      </c>
      <c r="J6" s="609">
        <f>IF(J$3+36&gt;mes0+Parametros!$B$38*12-1,0,Financiación!$C$19/Parametros!$B$38/12)
+IF(Parametros!$C$38&gt;3,Financiación!$D$19/Parametros!$C$38/12,0)
+IF(Parametros!$D$38&gt;2,Financiación!$E$19/Parametros!$D$38/12,0)
+Financiación!$F$19/Parametros!$E$38/12
+Financiación!$G$19/Parametros!$F$38/12</f>
        <v>0</v>
      </c>
      <c r="K6" s="609">
        <f>IF(K$3+36&gt;mes0+Parametros!$B$38*12-1,0,Financiación!$C$19/Parametros!$B$38/12)
+IF(Parametros!$C$38&gt;3,Financiación!$D$19/Parametros!$C$38/12,0)
+IF(Parametros!$D$38&gt;2,Financiación!$E$19/Parametros!$D$38/12,0)
+Financiación!$F$19/Parametros!$E$38/12
+Financiación!$G$19/Parametros!$F$38/12</f>
        <v>0</v>
      </c>
      <c r="L6" s="609">
        <f>IF(L$3+36&gt;mes0+Parametros!$B$38*12-1,0,Financiación!$C$19/Parametros!$B$38/12)
+IF(Parametros!$C$38&gt;3,Financiación!$D$19/Parametros!$C$38/12,0)
+IF(Parametros!$D$38&gt;2,Financiación!$E$19/Parametros!$D$38/12,0)
+Financiación!$F$19/Parametros!$E$38/12
+Financiación!$G$19/Parametros!$F$38/12</f>
        <v>0</v>
      </c>
      <c r="M6" s="609">
        <f>IF(M$3+36&gt;mes0+Parametros!$B$38*12-1,0,Financiación!$C$19/Parametros!$B$38/12)
+IF(Parametros!$C$38&gt;3,Financiación!$D$19/Parametros!$C$38/12,0)
+IF(Parametros!$D$38&gt;2,Financiación!$E$19/Parametros!$D$38/12,0)
+Financiación!$F$19/Parametros!$E$38/12
+Financiación!$G$19/Parametros!$F$38/12</f>
        <v>0</v>
      </c>
      <c r="N6" s="608">
        <f>SUM(B6:M6)</f>
        <v>0</v>
      </c>
    </row>
    <row r="7" spans="1:14" s="410" customFormat="1" ht="16.149999999999999" customHeight="1">
      <c r="A7" s="1597" t="str">
        <v>Total Ingresos de Explotación</v>
      </c>
      <c r="B7" s="1598">
        <f t="array" aca="1" ref="B7:M7" ca="1">B5:M5+B6:M6</f>
        <v>2970.52</v>
      </c>
      <c r="C7" s="1598">
        <f ca="1"/>
        <v>3713.1500000000005</v>
      </c>
      <c r="D7" s="1598">
        <f ca="1"/>
        <v>4084.4650000000001</v>
      </c>
      <c r="E7" s="1598">
        <f ca="1"/>
        <v>3898.8074999999999</v>
      </c>
      <c r="F7" s="1598">
        <f ca="1"/>
        <v>3341.835</v>
      </c>
      <c r="G7" s="1598">
        <f ca="1"/>
        <v>3156.1774999999998</v>
      </c>
      <c r="H7" s="1598">
        <f ca="1"/>
        <v>2970.52</v>
      </c>
      <c r="I7" s="1598">
        <f ca="1"/>
        <v>2227.89</v>
      </c>
      <c r="J7" s="1598">
        <f ca="1"/>
        <v>2970.52</v>
      </c>
      <c r="K7" s="1598">
        <f ca="1"/>
        <v>3527.4925000000003</v>
      </c>
      <c r="L7" s="1598">
        <f ca="1"/>
        <v>3713.1500000000005</v>
      </c>
      <c r="M7" s="1598">
        <f ca="1"/>
        <v>4455.78</v>
      </c>
      <c r="N7" s="608">
        <f ca="1">SUM(B7:M7)</f>
        <v>41030.307500000003</v>
      </c>
    </row>
    <row r="8" spans="1:14" s="410" customFormat="1" ht="16.149999999999999" customHeight="1">
      <c r="A8" s="1596"/>
      <c r="B8" s="609"/>
      <c r="C8" s="609"/>
      <c r="D8" s="609"/>
      <c r="E8" s="609"/>
      <c r="F8" s="609"/>
      <c r="G8" s="609"/>
      <c r="H8" s="609"/>
      <c r="I8" s="609"/>
      <c r="J8" s="609"/>
      <c r="K8" s="609"/>
      <c r="L8" s="609"/>
      <c r="M8" s="609"/>
      <c r="N8" s="608"/>
    </row>
    <row r="9" spans="1:14" s="408" customFormat="1" ht="16.149999999999999" customHeight="1">
      <c r="A9" s="417" t="str">
        <f t="array" ref="A9:A11">'PPyGG anuales'!A9:A11</f>
        <v>Costes variables / Directos</v>
      </c>
      <c r="B9" s="605">
        <f t="array" aca="1" ref="B9:M9" ca="1">'Distr CV 3'!B28:M28</f>
        <v>297.05200000000002</v>
      </c>
      <c r="C9" s="605">
        <f ca="1"/>
        <v>371.31500000000005</v>
      </c>
      <c r="D9" s="605">
        <f ca="1"/>
        <v>408.44650000000001</v>
      </c>
      <c r="E9" s="605">
        <f ca="1"/>
        <v>389.88075000000003</v>
      </c>
      <c r="F9" s="605">
        <f ca="1"/>
        <v>334.18350000000004</v>
      </c>
      <c r="G9" s="605">
        <f ca="1"/>
        <v>315.61775</v>
      </c>
      <c r="H9" s="605">
        <f ca="1"/>
        <v>297.05200000000002</v>
      </c>
      <c r="I9" s="605">
        <f ca="1"/>
        <v>222.78900000000002</v>
      </c>
      <c r="J9" s="605">
        <f ca="1"/>
        <v>297.05200000000002</v>
      </c>
      <c r="K9" s="605">
        <f ca="1"/>
        <v>352.74925000000002</v>
      </c>
      <c r="L9" s="605">
        <f ca="1"/>
        <v>371.31500000000005</v>
      </c>
      <c r="M9" s="605">
        <f ca="1"/>
        <v>445.57800000000003</v>
      </c>
      <c r="N9" s="606">
        <f ca="1">SUM(B9:M9)</f>
        <v>4103.0307500000008</v>
      </c>
    </row>
    <row r="10" spans="1:14" s="408" customFormat="1" ht="16.149999999999999" customHeight="1">
      <c r="A10" s="417" t="str">
        <v>Impagados / Cobros fallidos</v>
      </c>
      <c r="B10" s="609">
        <f ca="1">-(1-recmorosos)*'Cobros y pagos 2'!B27</f>
        <v>0</v>
      </c>
      <c r="C10" s="609">
        <f ca="1">-(1-recmorosos)*'Cobros y pagos 2'!C27</f>
        <v>0</v>
      </c>
      <c r="D10" s="609">
        <f ca="1">-(1-recmorosos)*'Cobros y pagos 2'!D27</f>
        <v>0</v>
      </c>
      <c r="E10" s="609">
        <f ca="1">-(1-recmorosos)*'Cobros y pagos 2'!E27</f>
        <v>0</v>
      </c>
      <c r="F10" s="609">
        <f ca="1">-(1-recmorosos)*'Cobros y pagos 2'!F27</f>
        <v>0</v>
      </c>
      <c r="G10" s="609">
        <f ca="1">-(1-recmorosos)*'Cobros y pagos 2'!G27</f>
        <v>0</v>
      </c>
      <c r="H10" s="609">
        <f ca="1">-(1-recmorosos)*'Cobros y pagos 2'!H27</f>
        <v>0</v>
      </c>
      <c r="I10" s="609">
        <f ca="1">-(1-recmorosos)*'Cobros y pagos 2'!I27</f>
        <v>0</v>
      </c>
      <c r="J10" s="609">
        <f ca="1">-(1-recmorosos)*'Cobros y pagos 2'!J27</f>
        <v>0</v>
      </c>
      <c r="K10" s="609">
        <f ca="1">-(1-recmorosos)*'Cobros y pagos 2'!K27</f>
        <v>0</v>
      </c>
      <c r="L10" s="609">
        <f ca="1">-(1-recmorosos)*'Cobros y pagos 2'!L27</f>
        <v>0</v>
      </c>
      <c r="M10" s="609">
        <f ca="1">-(1-recmorosos)*'Cobros y pagos 2'!M27+'IVA 3'!O15</f>
        <v>0</v>
      </c>
      <c r="N10" s="608">
        <f ca="1">SUM(B10:M10)</f>
        <v>0</v>
      </c>
    </row>
    <row r="11" spans="1:14" s="408" customFormat="1" ht="16.149999999999999" customHeight="1">
      <c r="A11" s="1602" t="str">
        <v>Costes Directos y Comerciales</v>
      </c>
      <c r="B11" s="1598">
        <f t="array" ref="B11:M11" ca="1">B9:M9+B10:M10</f>
        <v>297.05200000000002</v>
      </c>
      <c r="C11" s="1598">
        <f ca="1"/>
        <v>371.31500000000005</v>
      </c>
      <c r="D11" s="1598">
        <f ca="1"/>
        <v>408.44650000000001</v>
      </c>
      <c r="E11" s="1598">
        <f ca="1"/>
        <v>389.88075000000003</v>
      </c>
      <c r="F11" s="1598">
        <f ca="1"/>
        <v>334.18350000000004</v>
      </c>
      <c r="G11" s="1598">
        <f ca="1"/>
        <v>315.61775</v>
      </c>
      <c r="H11" s="1598">
        <f ca="1"/>
        <v>297.05200000000002</v>
      </c>
      <c r="I11" s="1598">
        <f ca="1"/>
        <v>222.78900000000002</v>
      </c>
      <c r="J11" s="1598">
        <f ca="1"/>
        <v>297.05200000000002</v>
      </c>
      <c r="K11" s="1598">
        <f ca="1"/>
        <v>352.74925000000002</v>
      </c>
      <c r="L11" s="1598">
        <f ca="1"/>
        <v>371.31500000000005</v>
      </c>
      <c r="M11" s="1598">
        <f ca="1"/>
        <v>445.57800000000003</v>
      </c>
      <c r="N11" s="608">
        <f ca="1">SUM(B11:M11)</f>
        <v>4103.0307500000008</v>
      </c>
    </row>
    <row r="12" spans="1:14" s="408" customFormat="1" ht="16.149999999999999" customHeight="1">
      <c r="A12" s="940"/>
      <c r="B12" s="609"/>
      <c r="C12" s="609"/>
      <c r="D12" s="609"/>
      <c r="E12" s="609"/>
      <c r="F12" s="609"/>
      <c r="G12" s="609"/>
      <c r="H12" s="609"/>
      <c r="I12" s="609"/>
      <c r="J12" s="609"/>
      <c r="K12" s="609"/>
      <c r="L12" s="609"/>
      <c r="M12" s="609"/>
      <c r="N12" s="608"/>
    </row>
    <row r="13" spans="1:14" s="410" customFormat="1" ht="16.149999999999999" customHeight="1">
      <c r="A13" s="418" t="str">
        <f>'PPyGG anuales'!A13</f>
        <v>Margen Bruto s/Ventas</v>
      </c>
      <c r="B13" s="604">
        <f t="array" ref="B13:M13" ca="1">B7:M7-B11:M11</f>
        <v>2673.4679999999998</v>
      </c>
      <c r="C13" s="604">
        <f ca="1"/>
        <v>3341.8350000000005</v>
      </c>
      <c r="D13" s="604">
        <f ca="1"/>
        <v>3676.0185000000001</v>
      </c>
      <c r="E13" s="604">
        <f ca="1"/>
        <v>3508.9267499999996</v>
      </c>
      <c r="F13" s="604">
        <f ca="1"/>
        <v>3007.6514999999999</v>
      </c>
      <c r="G13" s="604">
        <f ca="1"/>
        <v>2840.5597499999999</v>
      </c>
      <c r="H13" s="604">
        <f ca="1"/>
        <v>2673.4679999999998</v>
      </c>
      <c r="I13" s="604">
        <f ca="1"/>
        <v>2005.1009999999999</v>
      </c>
      <c r="J13" s="604">
        <f ca="1"/>
        <v>2673.4679999999998</v>
      </c>
      <c r="K13" s="604">
        <f ca="1"/>
        <v>3174.7432500000004</v>
      </c>
      <c r="L13" s="604">
        <f ca="1"/>
        <v>3341.8350000000005</v>
      </c>
      <c r="M13" s="604">
        <f ca="1"/>
        <v>4010.2019999999998</v>
      </c>
      <c r="N13" s="606">
        <f ca="1">SUM(B13:M13)</f>
        <v>36927.276749999997</v>
      </c>
    </row>
    <row r="14" spans="1:14" s="410" customFormat="1" ht="16.149999999999999" customHeight="1">
      <c r="A14" s="418"/>
      <c r="B14" s="412"/>
      <c r="C14" s="412"/>
      <c r="D14" s="412"/>
      <c r="E14" s="412"/>
      <c r="F14" s="412"/>
      <c r="G14" s="412"/>
      <c r="H14" s="412"/>
      <c r="I14" s="412"/>
      <c r="J14" s="412"/>
      <c r="K14" s="412"/>
      <c r="L14" s="412"/>
      <c r="M14" s="412"/>
      <c r="N14" s="1606"/>
    </row>
    <row r="15" spans="1:14" s="408" customFormat="1" ht="16.149999999999999" customHeight="1">
      <c r="A15" s="940" t="str">
        <f t="array" ref="A15:A18">'PPyGG anuales'!A15:A18</f>
        <v>Gastos de Personal</v>
      </c>
      <c r="B15" s="605">
        <f t="array" ref="B15:M15" ca="1">'G.F. 3'!B27:M27-'G.F. 3'!B20:M20</f>
        <v>1687.2960000000003</v>
      </c>
      <c r="C15" s="605">
        <f ca="1"/>
        <v>1687.2960000000003</v>
      </c>
      <c r="D15" s="605">
        <f ca="1"/>
        <v>1687.2960000000003</v>
      </c>
      <c r="E15" s="605">
        <f ca="1"/>
        <v>1687.2960000000003</v>
      </c>
      <c r="F15" s="605">
        <f ca="1"/>
        <v>1687.2960000000003</v>
      </c>
      <c r="G15" s="605">
        <f ca="1"/>
        <v>1687.2960000000003</v>
      </c>
      <c r="H15" s="605">
        <f ca="1"/>
        <v>1687.2960000000003</v>
      </c>
      <c r="I15" s="605">
        <f ca="1"/>
        <v>1687.2960000000003</v>
      </c>
      <c r="J15" s="605">
        <f ca="1"/>
        <v>1687.2960000000003</v>
      </c>
      <c r="K15" s="605">
        <f ca="1"/>
        <v>1687.2960000000003</v>
      </c>
      <c r="L15" s="605">
        <f ca="1"/>
        <v>1687.2960000000003</v>
      </c>
      <c r="M15" s="605">
        <f ca="1"/>
        <v>1687.2960000000003</v>
      </c>
      <c r="N15" s="606">
        <f ca="1">SUM(B15:M15)</f>
        <v>20247.552000000003</v>
      </c>
    </row>
    <row r="16" spans="1:14" s="408" customFormat="1" ht="16.149999999999999" customHeight="1">
      <c r="A16" s="940" t="str">
        <v>Gastos de Seguridad Social</v>
      </c>
      <c r="B16" s="605">
        <f t="array" ref="B16:M16" ca="1">+'G.F. 3'!B20:M20</f>
        <v>390</v>
      </c>
      <c r="C16" s="605">
        <f ca="1"/>
        <v>390</v>
      </c>
      <c r="D16" s="605">
        <f ca="1"/>
        <v>390</v>
      </c>
      <c r="E16" s="605">
        <f ca="1"/>
        <v>390</v>
      </c>
      <c r="F16" s="605">
        <f ca="1"/>
        <v>390</v>
      </c>
      <c r="G16" s="605">
        <f ca="1"/>
        <v>830</v>
      </c>
      <c r="H16" s="605">
        <f ca="1"/>
        <v>390</v>
      </c>
      <c r="I16" s="605">
        <f ca="1"/>
        <v>390</v>
      </c>
      <c r="J16" s="605">
        <f ca="1"/>
        <v>390</v>
      </c>
      <c r="K16" s="605">
        <f ca="1"/>
        <v>390</v>
      </c>
      <c r="L16" s="605">
        <f ca="1"/>
        <v>390</v>
      </c>
      <c r="M16" s="605">
        <f ca="1"/>
        <v>390</v>
      </c>
      <c r="N16" s="606">
        <f ca="1">SUM(B16:M16)</f>
        <v>5120</v>
      </c>
    </row>
    <row r="17" spans="1:14" s="408" customFormat="1" ht="16.149999999999999" customHeight="1">
      <c r="A17" s="940" t="str">
        <v>Otros Gastos Fijos</v>
      </c>
      <c r="B17" s="605">
        <f t="array" aca="1" ref="B17:M17" ca="1">'G.F. 3'!B55:M55+'IVA 3'!C13:N13</f>
        <v>147.07255372727278</v>
      </c>
      <c r="C17" s="605">
        <f ca="1"/>
        <v>147.07255372727278</v>
      </c>
      <c r="D17" s="605">
        <f ca="1"/>
        <v>147.07255372727278</v>
      </c>
      <c r="E17" s="605">
        <f ca="1"/>
        <v>147.07255372727278</v>
      </c>
      <c r="F17" s="605">
        <f ca="1"/>
        <v>147.07255372727278</v>
      </c>
      <c r="G17" s="605">
        <f ca="1"/>
        <v>147.07255372727278</v>
      </c>
      <c r="H17" s="605">
        <f ca="1"/>
        <v>147.07255372727278</v>
      </c>
      <c r="I17" s="605">
        <f ca="1"/>
        <v>147.07255372727278</v>
      </c>
      <c r="J17" s="605">
        <f ca="1"/>
        <v>147.07255372727278</v>
      </c>
      <c r="K17" s="605">
        <f ca="1"/>
        <v>147.07255372727278</v>
      </c>
      <c r="L17" s="605">
        <f ca="1"/>
        <v>147.07255372727278</v>
      </c>
      <c r="M17" s="605">
        <f ca="1"/>
        <v>147.07255372727278</v>
      </c>
      <c r="N17" s="606">
        <f ca="1">SUM(B17:M17)</f>
        <v>1764.8706447272737</v>
      </c>
    </row>
    <row r="18" spans="1:14" s="410" customFormat="1" ht="16.149999999999999" customHeight="1">
      <c r="A18" s="418" t="str">
        <v>Gastos Explotación</v>
      </c>
      <c r="B18" s="604">
        <f t="shared" ref="B18:M18" ca="1" si="0">SUM(B15:B17)</f>
        <v>2224.3685537272731</v>
      </c>
      <c r="C18" s="604">
        <f t="shared" ca="1" si="0"/>
        <v>2224.3685537272731</v>
      </c>
      <c r="D18" s="604">
        <f t="shared" ca="1" si="0"/>
        <v>2224.3685537272731</v>
      </c>
      <c r="E18" s="604">
        <f t="shared" ca="1" si="0"/>
        <v>2224.3685537272731</v>
      </c>
      <c r="F18" s="604">
        <f t="shared" ca="1" si="0"/>
        <v>2224.3685537272731</v>
      </c>
      <c r="G18" s="604">
        <f t="shared" ca="1" si="0"/>
        <v>2664.3685537272731</v>
      </c>
      <c r="H18" s="604">
        <f t="shared" ca="1" si="0"/>
        <v>2224.3685537272731</v>
      </c>
      <c r="I18" s="604">
        <f t="shared" ca="1" si="0"/>
        <v>2224.3685537272731</v>
      </c>
      <c r="J18" s="604">
        <f t="shared" ca="1" si="0"/>
        <v>2224.3685537272731</v>
      </c>
      <c r="K18" s="604">
        <f t="shared" ca="1" si="0"/>
        <v>2224.3685537272731</v>
      </c>
      <c r="L18" s="604">
        <f t="shared" ca="1" si="0"/>
        <v>2224.3685537272731</v>
      </c>
      <c r="M18" s="604">
        <f t="shared" ca="1" si="0"/>
        <v>2224.3685537272731</v>
      </c>
      <c r="N18" s="606">
        <f ca="1">SUM(B18:M18)</f>
        <v>27132.42264472727</v>
      </c>
    </row>
    <row r="19" spans="1:14" s="410" customFormat="1" ht="16.149999999999999" customHeight="1">
      <c r="A19" s="418"/>
      <c r="B19" s="412"/>
      <c r="C19" s="412"/>
      <c r="D19" s="412"/>
      <c r="E19" s="412"/>
      <c r="F19" s="412"/>
      <c r="G19" s="412"/>
      <c r="H19" s="412"/>
      <c r="I19" s="412"/>
      <c r="J19" s="412"/>
      <c r="K19" s="412"/>
      <c r="L19" s="412"/>
      <c r="M19" s="412"/>
      <c r="N19" s="1606"/>
    </row>
    <row r="20" spans="1:14" s="410" customFormat="1" ht="16.149999999999999" customHeight="1">
      <c r="A20" s="418" t="str">
        <f>'PPyGG anuales'!A20</f>
        <v>E.B.I.T.D.A.</v>
      </c>
      <c r="B20" s="412">
        <f t="array" ref="B20:M20" ca="1">B13:M13-B18:M18</f>
        <v>449.09944627272671</v>
      </c>
      <c r="C20" s="412">
        <f ca="1"/>
        <v>1117.4664462727274</v>
      </c>
      <c r="D20" s="412">
        <f ca="1"/>
        <v>1451.649946272727</v>
      </c>
      <c r="E20" s="412">
        <f ca="1"/>
        <v>1284.5581962727265</v>
      </c>
      <c r="F20" s="412">
        <f ca="1"/>
        <v>783.2829462727268</v>
      </c>
      <c r="G20" s="412">
        <f ca="1"/>
        <v>176.19119627272676</v>
      </c>
      <c r="H20" s="412">
        <f ca="1"/>
        <v>449.09944627272671</v>
      </c>
      <c r="I20" s="412">
        <f ca="1"/>
        <v>-219.26755372727325</v>
      </c>
      <c r="J20" s="412">
        <f ca="1"/>
        <v>449.09944627272671</v>
      </c>
      <c r="K20" s="412">
        <f ca="1"/>
        <v>950.37469627272731</v>
      </c>
      <c r="L20" s="412">
        <f ca="1"/>
        <v>1117.4664462727274</v>
      </c>
      <c r="M20" s="412">
        <f ca="1"/>
        <v>1785.8334462727266</v>
      </c>
      <c r="N20" s="606">
        <f ca="1">SUM(B20:M20)</f>
        <v>9794.8541052727232</v>
      </c>
    </row>
    <row r="21" spans="1:14" s="410" customFormat="1" ht="16.149999999999999" customHeight="1">
      <c r="A21" s="418"/>
      <c r="B21" s="412"/>
      <c r="C21" s="412"/>
      <c r="D21" s="412"/>
      <c r="E21" s="412"/>
      <c r="F21" s="412"/>
      <c r="G21" s="412"/>
      <c r="H21" s="412"/>
      <c r="I21" s="412"/>
      <c r="J21" s="412"/>
      <c r="K21" s="412"/>
      <c r="L21" s="412"/>
      <c r="M21" s="412"/>
      <c r="N21" s="1606"/>
    </row>
    <row r="22" spans="1:14" s="408" customFormat="1" ht="16.149999999999999" customHeight="1">
      <c r="A22" s="940" t="str">
        <f t="array" ref="A22:A23">'PPyGG anuales'!A22:A23</f>
        <v>Dotación Amortizaciones</v>
      </c>
      <c r="B22" s="605">
        <f t="array" ref="B22:M22">Amortizaciones!$G$41/12</f>
        <v>0</v>
      </c>
      <c r="C22" s="605">
        <v>0</v>
      </c>
      <c r="D22" s="605">
        <v>0</v>
      </c>
      <c r="E22" s="605">
        <v>0</v>
      </c>
      <c r="F22" s="605">
        <v>0</v>
      </c>
      <c r="G22" s="605">
        <v>0</v>
      </c>
      <c r="H22" s="605">
        <v>0</v>
      </c>
      <c r="I22" s="605">
        <v>0</v>
      </c>
      <c r="J22" s="605">
        <v>0</v>
      </c>
      <c r="K22" s="605">
        <v>0</v>
      </c>
      <c r="L22" s="605">
        <v>0</v>
      </c>
      <c r="M22" s="605">
        <v>0</v>
      </c>
      <c r="N22" s="606">
        <f>SUM(B22:M22)</f>
        <v>0</v>
      </c>
    </row>
    <row r="23" spans="1:14" s="410" customFormat="1" ht="16.149999999999999" customHeight="1">
      <c r="A23" s="418" t="str">
        <v>Res. antes Int. e Imp. (BAII / EBIT)</v>
      </c>
      <c r="B23" s="606">
        <f t="array" ref="B23:M23" ca="1">B20:M20-B22:M22</f>
        <v>449.09944627272671</v>
      </c>
      <c r="C23" s="606">
        <f ca="1"/>
        <v>1117.4664462727274</v>
      </c>
      <c r="D23" s="606">
        <f ca="1"/>
        <v>1451.649946272727</v>
      </c>
      <c r="E23" s="606">
        <f ca="1"/>
        <v>1284.5581962727265</v>
      </c>
      <c r="F23" s="606">
        <f ca="1"/>
        <v>783.2829462727268</v>
      </c>
      <c r="G23" s="606">
        <f ca="1"/>
        <v>176.19119627272676</v>
      </c>
      <c r="H23" s="606">
        <f ca="1"/>
        <v>449.09944627272671</v>
      </c>
      <c r="I23" s="606">
        <f ca="1"/>
        <v>-219.26755372727325</v>
      </c>
      <c r="J23" s="606">
        <f ca="1"/>
        <v>449.09944627272671</v>
      </c>
      <c r="K23" s="606">
        <f ca="1"/>
        <v>950.37469627272731</v>
      </c>
      <c r="L23" s="606">
        <f ca="1"/>
        <v>1117.4664462727274</v>
      </c>
      <c r="M23" s="606">
        <f ca="1"/>
        <v>1785.8334462727266</v>
      </c>
      <c r="N23" s="606">
        <f ca="1">SUM(B23:M23)</f>
        <v>9794.8541052727232</v>
      </c>
    </row>
    <row r="24" spans="1:14" s="410" customFormat="1" ht="16.149999999999999" customHeight="1">
      <c r="A24" s="418"/>
      <c r="B24" s="412"/>
      <c r="C24" s="412"/>
      <c r="D24" s="412"/>
      <c r="E24" s="412"/>
      <c r="F24" s="412"/>
      <c r="G24" s="412"/>
      <c r="H24" s="412"/>
      <c r="I24" s="412"/>
      <c r="J24" s="412"/>
      <c r="K24" s="412"/>
      <c r="L24" s="412"/>
      <c r="M24" s="412"/>
      <c r="N24" s="1606"/>
    </row>
    <row r="25" spans="1:14" s="408" customFormat="1" ht="16.149999999999999" customHeight="1">
      <c r="A25" s="940" t="str">
        <f t="array" ref="A25:A27">'PPyGG anuales'!A25:A27</f>
        <v>Ingresos Financieros</v>
      </c>
      <c r="B25" s="607">
        <f t="array" ref="B25:M25" ca="1">'Gastos Financieros'!C102:N102</f>
        <v>0</v>
      </c>
      <c r="C25" s="607">
        <f ca="1"/>
        <v>0</v>
      </c>
      <c r="D25" s="607">
        <f ca="1"/>
        <v>0</v>
      </c>
      <c r="E25" s="607">
        <f ca="1"/>
        <v>0</v>
      </c>
      <c r="F25" s="607">
        <f ca="1"/>
        <v>0</v>
      </c>
      <c r="G25" s="607">
        <f ca="1"/>
        <v>0</v>
      </c>
      <c r="H25" s="607">
        <f ca="1"/>
        <v>0</v>
      </c>
      <c r="I25" s="607">
        <f ca="1"/>
        <v>0</v>
      </c>
      <c r="J25" s="607">
        <f ca="1"/>
        <v>0</v>
      </c>
      <c r="K25" s="607">
        <f ca="1"/>
        <v>0</v>
      </c>
      <c r="L25" s="607">
        <f ca="1"/>
        <v>0</v>
      </c>
      <c r="M25" s="607">
        <f ca="1"/>
        <v>0</v>
      </c>
      <c r="N25" s="608">
        <f ca="1">SUM(B25:M25)</f>
        <v>0</v>
      </c>
    </row>
    <row r="26" spans="1:14" s="408" customFormat="1" ht="16.149999999999999" customHeight="1">
      <c r="A26" s="940" t="str">
        <v>Gastos Financieros</v>
      </c>
      <c r="B26" s="607">
        <f t="array" ref="B26:M26" ca="1">'Gastos Financieros'!C64:N64</f>
        <v>179.71645999999998</v>
      </c>
      <c r="C26" s="607">
        <f ca="1"/>
        <v>224.64557500000001</v>
      </c>
      <c r="D26" s="607">
        <f ca="1"/>
        <v>247.11013250000002</v>
      </c>
      <c r="E26" s="607">
        <f ca="1"/>
        <v>235.87785374999999</v>
      </c>
      <c r="F26" s="607">
        <f ca="1"/>
        <v>202.18101750000002</v>
      </c>
      <c r="G26" s="607">
        <f ca="1"/>
        <v>190.94873874999999</v>
      </c>
      <c r="H26" s="607">
        <f ca="1"/>
        <v>179.71645999999998</v>
      </c>
      <c r="I26" s="607">
        <f ca="1"/>
        <v>134.78734499999999</v>
      </c>
      <c r="J26" s="607">
        <f ca="1"/>
        <v>179.71645999999998</v>
      </c>
      <c r="K26" s="607">
        <f ca="1"/>
        <v>213.41329625000003</v>
      </c>
      <c r="L26" s="607">
        <f ca="1"/>
        <v>224.64557500000001</v>
      </c>
      <c r="M26" s="607">
        <f ca="1"/>
        <v>269.57468999999998</v>
      </c>
      <c r="N26" s="608">
        <f ca="1">SUM(B26:M26)</f>
        <v>2482.3336037499998</v>
      </c>
    </row>
    <row r="27" spans="1:14" s="410" customFormat="1" ht="16.149999999999999" customHeight="1">
      <c r="A27" s="418" t="str">
        <v>Resultado Financiero</v>
      </c>
      <c r="B27" s="608">
        <f t="array" ref="B27:M27" ca="1">B25:M25-B26:M26</f>
        <v>-179.71645999999998</v>
      </c>
      <c r="C27" s="608">
        <f ca="1"/>
        <v>-224.64557500000001</v>
      </c>
      <c r="D27" s="608">
        <f ca="1"/>
        <v>-247.11013250000002</v>
      </c>
      <c r="E27" s="608">
        <f ca="1"/>
        <v>-235.87785374999999</v>
      </c>
      <c r="F27" s="608">
        <f ca="1"/>
        <v>-202.18101750000002</v>
      </c>
      <c r="G27" s="608">
        <f ca="1"/>
        <v>-190.94873874999999</v>
      </c>
      <c r="H27" s="608">
        <f ca="1"/>
        <v>-179.71645999999998</v>
      </c>
      <c r="I27" s="608">
        <f ca="1"/>
        <v>-134.78734499999999</v>
      </c>
      <c r="J27" s="608">
        <f ca="1"/>
        <v>-179.71645999999998</v>
      </c>
      <c r="K27" s="608">
        <f ca="1"/>
        <v>-213.41329625000003</v>
      </c>
      <c r="L27" s="608">
        <f ca="1"/>
        <v>-224.64557500000001</v>
      </c>
      <c r="M27" s="608">
        <f ca="1"/>
        <v>-269.57468999999998</v>
      </c>
      <c r="N27" s="608">
        <f ca="1">SUM(B27:M27)</f>
        <v>-2482.3336037499998</v>
      </c>
    </row>
    <row r="28" spans="1:14" s="410" customFormat="1" ht="16.149999999999999" customHeight="1">
      <c r="A28" s="418"/>
      <c r="B28" s="412"/>
      <c r="C28" s="412"/>
      <c r="D28" s="412"/>
      <c r="E28" s="412"/>
      <c r="F28" s="412"/>
      <c r="G28" s="412"/>
      <c r="H28" s="412"/>
      <c r="I28" s="412"/>
      <c r="J28" s="412"/>
      <c r="K28" s="412"/>
      <c r="L28" s="412"/>
      <c r="M28" s="412"/>
      <c r="N28" s="1606"/>
    </row>
    <row r="29" spans="1:14" s="410" customFormat="1" ht="16.149999999999999" customHeight="1">
      <c r="A29" s="418" t="str">
        <f>'PPyGG anuales'!A29</f>
        <v>Resultado antes Impuestos (B.A.I.)</v>
      </c>
      <c r="B29" s="608">
        <f t="array" ref="B29:M29" ca="1">B23:M23+B27:M27</f>
        <v>269.38298627272673</v>
      </c>
      <c r="C29" s="608">
        <f ca="1"/>
        <v>892.82087127272735</v>
      </c>
      <c r="D29" s="608">
        <f ca="1"/>
        <v>1204.539813772727</v>
      </c>
      <c r="E29" s="608">
        <f ca="1"/>
        <v>1048.6803425227265</v>
      </c>
      <c r="F29" s="608">
        <f ca="1"/>
        <v>581.10192877272675</v>
      </c>
      <c r="G29" s="608">
        <f ca="1"/>
        <v>-14.757542477273233</v>
      </c>
      <c r="H29" s="608">
        <f ca="1"/>
        <v>269.38298627272673</v>
      </c>
      <c r="I29" s="608">
        <f ca="1"/>
        <v>-354.05489872727321</v>
      </c>
      <c r="J29" s="608">
        <f ca="1"/>
        <v>269.38298627272673</v>
      </c>
      <c r="K29" s="608">
        <f ca="1"/>
        <v>736.96140002272728</v>
      </c>
      <c r="L29" s="608">
        <f ca="1"/>
        <v>892.82087127272735</v>
      </c>
      <c r="M29" s="608">
        <f ca="1"/>
        <v>1516.2587562727267</v>
      </c>
      <c r="N29" s="608">
        <f ca="1">SUM(B29:M29)</f>
        <v>7312.5205015227239</v>
      </c>
    </row>
    <row r="30" spans="1:14" s="410" customFormat="1" ht="16.149999999999999" customHeight="1" thickBot="1">
      <c r="A30" s="418"/>
      <c r="B30" s="412"/>
      <c r="C30" s="412"/>
      <c r="D30" s="412"/>
      <c r="E30" s="412"/>
      <c r="F30" s="412"/>
      <c r="G30" s="412"/>
      <c r="H30" s="412"/>
      <c r="I30" s="412"/>
      <c r="J30" s="412"/>
      <c r="K30" s="412"/>
      <c r="L30" s="412"/>
      <c r="M30" s="412"/>
      <c r="N30" s="1606"/>
    </row>
    <row r="31" spans="1:14" s="413" customFormat="1" ht="21.75" customHeight="1" thickBot="1">
      <c r="A31" s="419" t="str">
        <f>'PyG 0'!A31</f>
        <v>Res. Acumulado Ejercicio</v>
      </c>
      <c r="B31" s="610">
        <f ca="1">B29</f>
        <v>269.38298627272673</v>
      </c>
      <c r="C31" s="610">
        <f t="shared" ref="C31:M31" ca="1" si="1">B31+C29</f>
        <v>1162.203857545454</v>
      </c>
      <c r="D31" s="610">
        <f t="shared" ca="1" si="1"/>
        <v>2366.743671318181</v>
      </c>
      <c r="E31" s="610">
        <f t="shared" ca="1" si="1"/>
        <v>3415.4240138409077</v>
      </c>
      <c r="F31" s="610">
        <f t="shared" ca="1" si="1"/>
        <v>3996.5259426136345</v>
      </c>
      <c r="G31" s="610">
        <f t="shared" ca="1" si="1"/>
        <v>3981.7684001363614</v>
      </c>
      <c r="H31" s="610">
        <f t="shared" ca="1" si="1"/>
        <v>4251.1513864090884</v>
      </c>
      <c r="I31" s="610">
        <f t="shared" ca="1" si="1"/>
        <v>3897.0964876818152</v>
      </c>
      <c r="J31" s="610">
        <f t="shared" ca="1" si="1"/>
        <v>4166.4794739545423</v>
      </c>
      <c r="K31" s="610">
        <f t="shared" ca="1" si="1"/>
        <v>4903.4408739772698</v>
      </c>
      <c r="L31" s="610">
        <f t="shared" ca="1" si="1"/>
        <v>5796.2617452499971</v>
      </c>
      <c r="M31" s="610">
        <f t="shared" ca="1" si="1"/>
        <v>7312.5205015227239</v>
      </c>
      <c r="N31" s="420"/>
    </row>
    <row r="32" spans="1:14" s="408" customFormat="1" ht="10.5">
      <c r="N32" s="410"/>
    </row>
    <row r="33" spans="12:14" s="408" customFormat="1">
      <c r="L33" s="61"/>
      <c r="M33" s="61"/>
      <c r="N33" s="232"/>
    </row>
  </sheetData>
  <sheetProtection sheet="1" objects="1" scenarios="1"/>
  <phoneticPr fontId="6" type="noConversion"/>
  <printOptions horizontalCentered="1" verticalCentered="1"/>
  <pageMargins left="0.39370078740157483" right="0.39370078740157483" top="0.41" bottom="0.59055118110236227" header="0.31496062992125984" footer="0.31496062992125984"/>
  <pageSetup paperSize="9" scale="72" orientation="landscape" horizontalDpi="300" verticalDpi="300" r:id="rId1"/>
  <headerFooter alignWithMargins="0">
    <oddFooter>&amp;C&amp;"Tahoma,Normal"&amp;10&amp;A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8">
    <tabColor indexed="44"/>
    <pageSetUpPr fitToPage="1"/>
  </sheetPr>
  <dimension ref="A1:N161"/>
  <sheetViews>
    <sheetView workbookViewId="0">
      <selection activeCell="C9" sqref="C9"/>
    </sheetView>
  </sheetViews>
  <sheetFormatPr baseColWidth="10" defaultColWidth="11" defaultRowHeight="18"/>
  <cols>
    <col min="1" max="1" width="25.75" style="635" customWidth="1"/>
    <col min="2" max="2" width="13.125" style="706" customWidth="1"/>
    <col min="3" max="3" width="11.375" style="706" customWidth="1"/>
    <col min="4" max="4" width="9.75" style="706" customWidth="1"/>
    <col min="5" max="5" width="11.5" style="706" customWidth="1"/>
    <col min="6" max="6" width="10.75" style="706" customWidth="1"/>
    <col min="7" max="7" width="11.25" style="706" customWidth="1"/>
    <col min="8" max="8" width="11.125" style="706" customWidth="1"/>
    <col min="9" max="12" width="10.125" style="706" customWidth="1"/>
    <col min="13" max="13" width="10.25" style="706" customWidth="1"/>
    <col min="14" max="14" width="8" style="706" bestFit="1" customWidth="1"/>
    <col min="15" max="16384" width="11" style="683"/>
  </cols>
  <sheetData>
    <row r="1" spans="1:13" ht="25.5">
      <c r="A1" s="406" t="s">
        <v>297</v>
      </c>
      <c r="J1" s="17" t="s">
        <v>298</v>
      </c>
    </row>
    <row r="2" spans="1:13" ht="22.5">
      <c r="A2" s="406" t="str">
        <f>'Datos Básicos'!B9</f>
        <v>nombre empresa</v>
      </c>
      <c r="J2" s="2428" t="s">
        <v>1012</v>
      </c>
    </row>
    <row r="3" spans="1:13">
      <c r="G3" s="683"/>
      <c r="H3" s="683"/>
    </row>
    <row r="4" spans="1:13" ht="18.75" thickBot="1">
      <c r="E4" s="257"/>
      <c r="F4" s="708"/>
      <c r="G4" s="708"/>
    </row>
    <row r="5" spans="1:13" ht="15.75" thickBot="1">
      <c r="A5" s="733" t="s">
        <v>263</v>
      </c>
      <c r="B5" s="730"/>
      <c r="C5" s="729"/>
      <c r="E5" s="732" t="s">
        <v>418</v>
      </c>
      <c r="F5" s="726"/>
      <c r="G5" s="727"/>
      <c r="H5" s="728"/>
    </row>
    <row r="6" spans="1:13" ht="20.25" customHeight="1" thickBot="1">
      <c r="A6" s="1533"/>
      <c r="B6" s="1534" t="s">
        <v>711</v>
      </c>
      <c r="C6" s="1535">
        <v>0</v>
      </c>
      <c r="E6" s="709"/>
      <c r="F6" s="710"/>
      <c r="G6" s="724" t="s">
        <v>416</v>
      </c>
      <c r="H6" s="1360">
        <v>0</v>
      </c>
      <c r="I6" s="1807">
        <f ca="1">(H6-H6*H7/2)+RAND()*H6*H7</f>
        <v>0</v>
      </c>
      <c r="L6" s="2043" t="s">
        <v>911</v>
      </c>
    </row>
    <row r="7" spans="1:13" ht="21" customHeight="1" thickBot="1">
      <c r="A7" s="1536"/>
      <c r="B7" s="1537" t="s">
        <v>214</v>
      </c>
      <c r="C7" s="1538">
        <v>0</v>
      </c>
      <c r="E7" s="709"/>
      <c r="F7" s="710"/>
      <c r="G7" s="724" t="s">
        <v>705</v>
      </c>
      <c r="H7" s="1360">
        <v>0</v>
      </c>
      <c r="I7" s="683"/>
      <c r="L7" s="2020" t="s">
        <v>909</v>
      </c>
      <c r="M7" s="2020" t="s">
        <v>910</v>
      </c>
    </row>
    <row r="8" spans="1:13" ht="21.75" customHeight="1" thickBot="1">
      <c r="E8" s="711"/>
      <c r="F8" s="712"/>
      <c r="G8" s="725" t="s">
        <v>417</v>
      </c>
      <c r="H8" s="1371">
        <v>0.5</v>
      </c>
      <c r="I8" s="1807">
        <f ca="1">(H8+H8*H7/2)+RAND()*H8*H7</f>
        <v>0.5</v>
      </c>
      <c r="L8" s="2021" t="s">
        <v>163</v>
      </c>
      <c r="M8" s="2022" t="s">
        <v>906</v>
      </c>
    </row>
    <row r="9" spans="1:13" ht="21.75" customHeight="1" thickBot="1">
      <c r="A9" s="1477"/>
      <c r="B9" s="1478" t="s">
        <v>568</v>
      </c>
      <c r="C9" s="1586">
        <v>1000</v>
      </c>
      <c r="L9" s="2021" t="s">
        <v>904</v>
      </c>
      <c r="M9" s="2022" t="s">
        <v>905</v>
      </c>
    </row>
    <row r="10" spans="1:13" ht="18.75" thickBot="1">
      <c r="L10" s="2021" t="s">
        <v>1045</v>
      </c>
      <c r="M10" s="2022" t="s">
        <v>907</v>
      </c>
    </row>
    <row r="11" spans="1:13" ht="21" customHeight="1" thickBot="1">
      <c r="A11" s="1477"/>
      <c r="B11" s="1478" t="s">
        <v>678</v>
      </c>
      <c r="C11" s="1500">
        <v>0.04</v>
      </c>
      <c r="E11" s="761"/>
      <c r="F11" s="3127" t="s">
        <v>158</v>
      </c>
      <c r="G11" s="1495" t="s">
        <v>163</v>
      </c>
      <c r="H11" s="3121" t="str">
        <f>VLOOKUP(Moneda,$L$8:$M$14,2,0)</f>
        <v>€</v>
      </c>
      <c r="L11" s="2021" t="s">
        <v>1044</v>
      </c>
      <c r="M11" s="2022" t="s">
        <v>908</v>
      </c>
    </row>
    <row r="12" spans="1:13" ht="18.75" thickBot="1">
      <c r="F12" s="748" t="s">
        <v>162</v>
      </c>
      <c r="G12" s="748"/>
      <c r="H12" s="748"/>
      <c r="L12" s="2021" t="s">
        <v>1031</v>
      </c>
      <c r="M12" s="2022" t="s">
        <v>1032</v>
      </c>
    </row>
    <row r="13" spans="1:13" ht="19.5" thickBot="1">
      <c r="A13" s="2429" t="s">
        <v>914</v>
      </c>
      <c r="B13" s="2430" t="s">
        <v>915</v>
      </c>
      <c r="C13" s="808" t="s">
        <v>916</v>
      </c>
      <c r="E13" s="2015" t="str">
        <f>IF(finTemporada&lt;=inicioTemporada,"ERROR EN MESES DE TEMPORADA","")</f>
        <v/>
      </c>
      <c r="F13" s="749" t="s">
        <v>157</v>
      </c>
      <c r="G13" s="750">
        <v>166.386</v>
      </c>
      <c r="H13" s="751" t="s">
        <v>144</v>
      </c>
      <c r="L13" s="2021" t="s">
        <v>1089</v>
      </c>
      <c r="M13" s="2515" t="s">
        <v>1090</v>
      </c>
    </row>
    <row r="14" spans="1:13" ht="18.75" thickBot="1">
      <c r="A14" s="2014" t="s">
        <v>917</v>
      </c>
      <c r="B14" s="2012">
        <v>1</v>
      </c>
      <c r="C14" s="2013">
        <v>12</v>
      </c>
      <c r="D14" s="683"/>
      <c r="E14" s="2890"/>
      <c r="F14" s="2891"/>
      <c r="G14" s="2893" t="s">
        <v>1120</v>
      </c>
      <c r="H14" s="2892">
        <v>0.05</v>
      </c>
      <c r="L14" s="2021" t="s">
        <v>1047</v>
      </c>
      <c r="M14" s="2515" t="s">
        <v>1048</v>
      </c>
    </row>
    <row r="15" spans="1:13" ht="18.75" thickBot="1">
      <c r="A15" s="2017"/>
      <c r="B15" s="2018" t="str">
        <f>INDEX($B$61:$B$72,inicioTemporada)</f>
        <v>enero</v>
      </c>
      <c r="C15" s="2019" t="str">
        <f>INDEX($B$61:$B$72,finTemporada)</f>
        <v>diciembre</v>
      </c>
      <c r="D15" s="683"/>
      <c r="E15" s="2015"/>
      <c r="L15" s="683"/>
      <c r="M15" s="683"/>
    </row>
    <row r="16" spans="1:13">
      <c r="A16" s="2015"/>
      <c r="B16" s="2015"/>
      <c r="C16" s="2015"/>
      <c r="D16" s="2015"/>
      <c r="E16" s="2015"/>
      <c r="L16" s="683"/>
      <c r="M16" s="683"/>
    </row>
    <row r="17" spans="1:6" ht="30" hidden="1">
      <c r="A17" s="2720" t="s">
        <v>1068</v>
      </c>
      <c r="B17" s="2721" t="str">
        <f t="array" ref="B17:F17">anni</f>
        <v>Año 0:  2026</v>
      </c>
      <c r="C17" s="2721" t="str">
        <v>Año 1:  2027</v>
      </c>
      <c r="D17" s="2722" t="str">
        <v>Año 2:  2028</v>
      </c>
      <c r="E17" s="2721" t="str">
        <v>Año 3:  2029</v>
      </c>
      <c r="F17" s="2723" t="str">
        <v>Año 4:  2030</v>
      </c>
    </row>
    <row r="18" spans="1:6" ht="25.5" hidden="1" customHeight="1" thickBot="1">
      <c r="A18" s="1476" t="s">
        <v>548</v>
      </c>
      <c r="B18" s="1412"/>
      <c r="C18" s="1413">
        <v>0.04</v>
      </c>
      <c r="D18" s="1414">
        <f>C18</f>
        <v>0.04</v>
      </c>
      <c r="E18" s="1413">
        <f>D18</f>
        <v>0.04</v>
      </c>
      <c r="F18" s="1415">
        <f>E18</f>
        <v>0.04</v>
      </c>
    </row>
    <row r="19" spans="1:6" ht="18.75" thickBot="1"/>
    <row r="20" spans="1:6" ht="20.25" customHeight="1" thickBot="1">
      <c r="A20" s="3374" t="s">
        <v>703</v>
      </c>
      <c r="B20" s="3375"/>
      <c r="C20" s="3375"/>
      <c r="D20" s="3376"/>
      <c r="E20" s="1500">
        <v>0</v>
      </c>
    </row>
    <row r="21" spans="1:6" ht="18.75" thickBot="1"/>
    <row r="22" spans="1:6" ht="30" customHeight="1" thickBot="1">
      <c r="A22" s="734" t="str">
        <f>CONCATENATE("Tipos de  ",'Datos Básicos'!A28," detallados por familas de productos")</f>
        <v>Tipos de  IVA detallados por familas de productos</v>
      </c>
      <c r="B22" s="726"/>
      <c r="C22" s="726"/>
      <c r="D22" s="726"/>
      <c r="E22" s="726"/>
      <c r="F22" s="727"/>
    </row>
    <row r="23" spans="1:6" ht="30.75" thickBot="1">
      <c r="A23" s="391" t="s">
        <v>137</v>
      </c>
      <c r="B23" s="707"/>
      <c r="C23" s="707"/>
      <c r="D23" s="62"/>
      <c r="E23" s="16" t="str">
        <f>CONCATENATE("Tipo ",'Datos Básicos'!$A$28," Venta")</f>
        <v>Tipo IVA Venta</v>
      </c>
      <c r="F23" s="557" t="str">
        <f>CONCATENATE("Tipo ",'Datos Básicos'!$A$28," C.V.")</f>
        <v>Tipo IVA C.V.</v>
      </c>
    </row>
    <row r="24" spans="1:6">
      <c r="A24" s="3377" t="str">
        <f>IF('Precios-CV'!A7="","",'Precios-CV'!A7)</f>
        <v>producto o servicio</v>
      </c>
      <c r="B24" s="3378"/>
      <c r="C24" s="3378"/>
      <c r="D24" s="3379"/>
      <c r="E24" s="720">
        <f>'Datos Básicos'!C28</f>
        <v>0.21</v>
      </c>
      <c r="F24" s="720">
        <f>'Datos Básicos'!C29</f>
        <v>0.21</v>
      </c>
    </row>
    <row r="25" spans="1:6">
      <c r="A25" s="3377" t="str">
        <f>IF('Precios-CV'!A8="","",'Precios-CV'!A8)</f>
        <v/>
      </c>
      <c r="B25" s="3378"/>
      <c r="C25" s="3378"/>
      <c r="D25" s="3379"/>
      <c r="E25" s="721">
        <f t="shared" ref="E25:E31" si="0">$E$24</f>
        <v>0.21</v>
      </c>
      <c r="F25" s="721">
        <f t="shared" ref="F25:F31" si="1">$F$24</f>
        <v>0.21</v>
      </c>
    </row>
    <row r="26" spans="1:6">
      <c r="A26" s="3377" t="str">
        <f>IF('Precios-CV'!A9="","",'Precios-CV'!A9)</f>
        <v/>
      </c>
      <c r="B26" s="3378"/>
      <c r="C26" s="3378"/>
      <c r="D26" s="3379"/>
      <c r="E26" s="721">
        <f t="shared" si="0"/>
        <v>0.21</v>
      </c>
      <c r="F26" s="721">
        <f t="shared" si="1"/>
        <v>0.21</v>
      </c>
    </row>
    <row r="27" spans="1:6">
      <c r="A27" s="3377" t="str">
        <f>IF('Precios-CV'!A10="","",'Precios-CV'!A10)</f>
        <v/>
      </c>
      <c r="B27" s="3378"/>
      <c r="C27" s="3378"/>
      <c r="D27" s="3379"/>
      <c r="E27" s="721">
        <f t="shared" si="0"/>
        <v>0.21</v>
      </c>
      <c r="F27" s="721">
        <f t="shared" si="1"/>
        <v>0.21</v>
      </c>
    </row>
    <row r="28" spans="1:6">
      <c r="A28" s="3377" t="str">
        <f>IF('Precios-CV'!A11="","",'Precios-CV'!A11)</f>
        <v/>
      </c>
      <c r="B28" s="3378"/>
      <c r="C28" s="3378"/>
      <c r="D28" s="3379"/>
      <c r="E28" s="721">
        <f t="shared" si="0"/>
        <v>0.21</v>
      </c>
      <c r="F28" s="721">
        <f t="shared" si="1"/>
        <v>0.21</v>
      </c>
    </row>
    <row r="29" spans="1:6">
      <c r="A29" s="3377" t="str">
        <f>IF('Precios-CV'!A12="","",'Precios-CV'!A12)</f>
        <v/>
      </c>
      <c r="B29" s="3378"/>
      <c r="C29" s="3378"/>
      <c r="D29" s="3379"/>
      <c r="E29" s="721">
        <f t="shared" si="0"/>
        <v>0.21</v>
      </c>
      <c r="F29" s="721">
        <f t="shared" si="1"/>
        <v>0.21</v>
      </c>
    </row>
    <row r="30" spans="1:6">
      <c r="A30" s="3377" t="str">
        <f>IF('Precios-CV'!A13="","",'Precios-CV'!A13)</f>
        <v/>
      </c>
      <c r="B30" s="3378"/>
      <c r="C30" s="3378"/>
      <c r="D30" s="3379"/>
      <c r="E30" s="721">
        <f t="shared" si="0"/>
        <v>0.21</v>
      </c>
      <c r="F30" s="721">
        <f t="shared" si="1"/>
        <v>0.21</v>
      </c>
    </row>
    <row r="31" spans="1:6" ht="18.75" thickBot="1">
      <c r="A31" s="3380" t="str">
        <f>IF('Precios-CV'!A14="","",'Precios-CV'!A14)</f>
        <v/>
      </c>
      <c r="B31" s="3381"/>
      <c r="C31" s="3381"/>
      <c r="D31" s="3382"/>
      <c r="E31" s="722">
        <f t="shared" si="0"/>
        <v>0.21</v>
      </c>
      <c r="F31" s="722">
        <f t="shared" si="1"/>
        <v>0.21</v>
      </c>
    </row>
    <row r="32" spans="1:6">
      <c r="D32" s="35"/>
    </row>
    <row r="33" spans="1:7">
      <c r="E33" s="1151" t="str">
        <f>CONCATENATE("Tipo de ",'Datos Básicos'!A28," soportado de Gastos Fijos e Inversiones")</f>
        <v>Tipo de IVA soportado de Gastos Fijos e Inversiones</v>
      </c>
      <c r="F33" s="723">
        <f>'Datos Básicos'!C28</f>
        <v>0.21</v>
      </c>
    </row>
    <row r="36" spans="1:7" ht="18.75" thickBot="1">
      <c r="A36" s="658" t="s">
        <v>442</v>
      </c>
      <c r="B36" s="735"/>
      <c r="C36" s="735"/>
      <c r="D36" s="735"/>
      <c r="E36" s="735"/>
      <c r="F36" s="735"/>
    </row>
    <row r="37" spans="1:7" ht="30.75" customHeight="1">
      <c r="A37" s="736"/>
      <c r="B37" s="2106" t="s">
        <v>979</v>
      </c>
      <c r="C37" s="2106" t="str">
        <f t="array" ref="C37:G37">anni</f>
        <v>Año 0:  2026</v>
      </c>
      <c r="D37" s="2106" t="str">
        <v>Año 1:  2027</v>
      </c>
      <c r="E37" s="2328" t="str">
        <v>Año 2:  2028</v>
      </c>
      <c r="F37" s="2106" t="str">
        <v>Año 3:  2029</v>
      </c>
      <c r="G37" s="2329" t="str">
        <v>Año 4:  2030</v>
      </c>
    </row>
    <row r="38" spans="1:7" ht="22.5" customHeight="1" thickBot="1">
      <c r="A38" s="2337" t="s">
        <v>443</v>
      </c>
      <c r="B38" s="2338">
        <f>+'Bal. Inicial Previo'!D42/12</f>
        <v>4.333333333333333</v>
      </c>
      <c r="C38" s="2339">
        <v>3</v>
      </c>
      <c r="D38" s="2339">
        <f>C38</f>
        <v>3</v>
      </c>
      <c r="E38" s="2339">
        <f>D38</f>
        <v>3</v>
      </c>
      <c r="F38" s="2339">
        <f>E38</f>
        <v>3</v>
      </c>
      <c r="G38" s="2340">
        <f>F38</f>
        <v>3</v>
      </c>
    </row>
    <row r="39" spans="1:7" ht="18.75" thickBot="1"/>
    <row r="40" spans="1:7" ht="20.25" thickBot="1">
      <c r="A40" s="716" t="s">
        <v>296</v>
      </c>
      <c r="B40" s="717"/>
      <c r="C40" s="717"/>
      <c r="D40" s="717"/>
      <c r="E40" s="718"/>
      <c r="F40" s="718"/>
      <c r="G40" s="718"/>
    </row>
    <row r="41" spans="1:7" ht="36.75" customHeight="1">
      <c r="A41" s="731" t="s">
        <v>978</v>
      </c>
      <c r="B41" s="2106" t="s">
        <v>979</v>
      </c>
      <c r="C41" s="2106" t="str">
        <f t="array" ref="C41:G41">anni</f>
        <v>Año 0:  2026</v>
      </c>
      <c r="D41" s="2106" t="str">
        <v>Año 1:  2027</v>
      </c>
      <c r="E41" s="2328" t="str">
        <v>Año 2:  2028</v>
      </c>
      <c r="F41" s="2106" t="str">
        <v>Año 3:  2029</v>
      </c>
      <c r="G41" s="2329" t="str">
        <v>Año 4:  2030</v>
      </c>
    </row>
    <row r="42" spans="1:7" ht="15.75" customHeight="1">
      <c r="A42" s="1403" t="s">
        <v>110</v>
      </c>
      <c r="B42" s="2382">
        <v>1</v>
      </c>
      <c r="C42" s="1404">
        <v>1</v>
      </c>
      <c r="D42" s="1404">
        <f>C42</f>
        <v>1</v>
      </c>
      <c r="E42" s="1405">
        <f>D42</f>
        <v>1</v>
      </c>
      <c r="F42" s="1404">
        <f>E42</f>
        <v>1</v>
      </c>
      <c r="G42" s="1406">
        <f>F42</f>
        <v>1</v>
      </c>
    </row>
    <row r="43" spans="1:7" ht="15.75" customHeight="1" thickBot="1">
      <c r="A43" s="1407" t="s">
        <v>111</v>
      </c>
      <c r="B43" s="2381">
        <f t="array" ref="B43:G43">1-B42:G42</f>
        <v>0</v>
      </c>
      <c r="C43" s="1408">
        <v>0</v>
      </c>
      <c r="D43" s="1408">
        <v>0</v>
      </c>
      <c r="E43" s="1409">
        <v>0</v>
      </c>
      <c r="F43" s="1410">
        <v>0</v>
      </c>
      <c r="G43" s="1411">
        <v>0</v>
      </c>
    </row>
    <row r="45" spans="1:7" ht="18.75" thickBot="1"/>
    <row r="46" spans="1:7" ht="24" customHeight="1" thickBot="1">
      <c r="A46" s="887"/>
      <c r="B46" s="2431" t="s">
        <v>536</v>
      </c>
      <c r="C46" s="888">
        <f>IF(consolidacion=1,3,0)</f>
        <v>0</v>
      </c>
    </row>
    <row r="47" spans="1:7" ht="18.75" thickBot="1">
      <c r="F47" s="683"/>
      <c r="G47" s="683"/>
    </row>
    <row r="48" spans="1:7" ht="22.5" customHeight="1" thickBot="1">
      <c r="A48" s="887"/>
      <c r="B48" s="2431" t="s">
        <v>1073</v>
      </c>
      <c r="C48" s="888" t="s">
        <v>265</v>
      </c>
      <c r="D48" s="2734">
        <f>IF(C48="Sí",1,0)</f>
        <v>0</v>
      </c>
    </row>
    <row r="49" spans="1:14" ht="15">
      <c r="A49" s="706"/>
    </row>
    <row r="50" spans="1:14" ht="15">
      <c r="A50" s="706"/>
    </row>
    <row r="51" spans="1:14" ht="29.25" customHeight="1" thickBot="1">
      <c r="A51" s="2607" t="s">
        <v>1063</v>
      </c>
    </row>
    <row r="52" spans="1:14" ht="15.75" thickBot="1">
      <c r="A52" s="167" t="s">
        <v>1064</v>
      </c>
      <c r="B52" s="2610" t="str">
        <f t="array" ref="B52:M52">meses</f>
        <v>enero</v>
      </c>
      <c r="C52" s="2610" t="str">
        <v>febrero</v>
      </c>
      <c r="D52" s="2610" t="str">
        <v>marzo</v>
      </c>
      <c r="E52" s="2610" t="str">
        <v>abril</v>
      </c>
      <c r="F52" s="2610" t="str">
        <v>mayo</v>
      </c>
      <c r="G52" s="2610" t="str">
        <v>junio</v>
      </c>
      <c r="H52" s="2610" t="str">
        <v>julio</v>
      </c>
      <c r="I52" s="2610" t="str">
        <v>agosto</v>
      </c>
      <c r="J52" s="2610" t="str">
        <v>septiembre</v>
      </c>
      <c r="K52" s="2610" t="str">
        <v>octubre</v>
      </c>
      <c r="L52" s="2610" t="str">
        <v>noviembre</v>
      </c>
      <c r="M52" s="2610" t="str">
        <v>diciembre</v>
      </c>
    </row>
    <row r="53" spans="1:14" ht="15">
      <c r="A53" s="2605" t="str">
        <f>C37</f>
        <v>Año 0:  2026</v>
      </c>
      <c r="B53" s="2613">
        <f>IF(SUM(C53:M53)&gt;1,"ERROR",1-SUM(C53:M53))</f>
        <v>1</v>
      </c>
      <c r="C53" s="2611">
        <v>0</v>
      </c>
      <c r="D53" s="2611">
        <v>0</v>
      </c>
      <c r="E53" s="2611">
        <v>0</v>
      </c>
      <c r="F53" s="2611">
        <v>0</v>
      </c>
      <c r="G53" s="2611">
        <v>0</v>
      </c>
      <c r="H53" s="2611">
        <v>0</v>
      </c>
      <c r="I53" s="2611">
        <v>0</v>
      </c>
      <c r="J53" s="2611">
        <v>0</v>
      </c>
      <c r="K53" s="2611">
        <v>0</v>
      </c>
      <c r="L53" s="2611">
        <v>0</v>
      </c>
      <c r="M53" s="2612">
        <v>0</v>
      </c>
    </row>
    <row r="54" spans="1:14" ht="15">
      <c r="A54" s="2608" t="str">
        <f>+D37</f>
        <v>Año 1:  2027</v>
      </c>
      <c r="B54" s="2614">
        <f>IF(SUM(C54:M54)&gt;1,"ERROR",1-SUM(C54:M54))</f>
        <v>1</v>
      </c>
      <c r="C54" s="2615">
        <f t="shared" ref="C54:M57" si="2">C53</f>
        <v>0</v>
      </c>
      <c r="D54" s="2615">
        <f t="shared" si="2"/>
        <v>0</v>
      </c>
      <c r="E54" s="2615">
        <f t="shared" si="2"/>
        <v>0</v>
      </c>
      <c r="F54" s="2615">
        <f t="shared" si="2"/>
        <v>0</v>
      </c>
      <c r="G54" s="2615">
        <f t="shared" si="2"/>
        <v>0</v>
      </c>
      <c r="H54" s="2615">
        <f t="shared" si="2"/>
        <v>0</v>
      </c>
      <c r="I54" s="2615">
        <f t="shared" si="2"/>
        <v>0</v>
      </c>
      <c r="J54" s="2615">
        <f t="shared" si="2"/>
        <v>0</v>
      </c>
      <c r="K54" s="2615">
        <f t="shared" si="2"/>
        <v>0</v>
      </c>
      <c r="L54" s="2615">
        <f t="shared" si="2"/>
        <v>0</v>
      </c>
      <c r="M54" s="2616">
        <f t="shared" si="2"/>
        <v>0</v>
      </c>
    </row>
    <row r="55" spans="1:14" ht="15">
      <c r="A55" s="2608" t="str">
        <f>+E37</f>
        <v>Año 2:  2028</v>
      </c>
      <c r="B55" s="2614">
        <f>IF(SUM(C55:M55)&gt;1,"ERROR",1-SUM(C55:M55))</f>
        <v>1</v>
      </c>
      <c r="C55" s="2615">
        <f t="shared" si="2"/>
        <v>0</v>
      </c>
      <c r="D55" s="2615">
        <f t="shared" si="2"/>
        <v>0</v>
      </c>
      <c r="E55" s="2615">
        <f t="shared" si="2"/>
        <v>0</v>
      </c>
      <c r="F55" s="2615">
        <f t="shared" si="2"/>
        <v>0</v>
      </c>
      <c r="G55" s="2615">
        <f t="shared" si="2"/>
        <v>0</v>
      </c>
      <c r="H55" s="2615">
        <f t="shared" si="2"/>
        <v>0</v>
      </c>
      <c r="I55" s="2615">
        <f t="shared" si="2"/>
        <v>0</v>
      </c>
      <c r="J55" s="2615">
        <f t="shared" si="2"/>
        <v>0</v>
      </c>
      <c r="K55" s="2615">
        <f t="shared" si="2"/>
        <v>0</v>
      </c>
      <c r="L55" s="2615">
        <f t="shared" si="2"/>
        <v>0</v>
      </c>
      <c r="M55" s="2616">
        <f t="shared" si="2"/>
        <v>0</v>
      </c>
    </row>
    <row r="56" spans="1:14" ht="15">
      <c r="A56" s="2608" t="str">
        <f>+F37</f>
        <v>Año 3:  2029</v>
      </c>
      <c r="B56" s="2614">
        <f>IF(SUM(C56:M56)&gt;1,"ERROR",1-SUM(C56:M56))</f>
        <v>1</v>
      </c>
      <c r="C56" s="2615">
        <f t="shared" si="2"/>
        <v>0</v>
      </c>
      <c r="D56" s="2615">
        <f t="shared" si="2"/>
        <v>0</v>
      </c>
      <c r="E56" s="2615">
        <f t="shared" si="2"/>
        <v>0</v>
      </c>
      <c r="F56" s="2615">
        <f t="shared" si="2"/>
        <v>0</v>
      </c>
      <c r="G56" s="2615">
        <f t="shared" si="2"/>
        <v>0</v>
      </c>
      <c r="H56" s="2615">
        <f t="shared" si="2"/>
        <v>0</v>
      </c>
      <c r="I56" s="2615">
        <f t="shared" si="2"/>
        <v>0</v>
      </c>
      <c r="J56" s="2615">
        <f t="shared" si="2"/>
        <v>0</v>
      </c>
      <c r="K56" s="2615">
        <f t="shared" si="2"/>
        <v>0</v>
      </c>
      <c r="L56" s="2615">
        <f t="shared" si="2"/>
        <v>0</v>
      </c>
      <c r="M56" s="2616">
        <f t="shared" si="2"/>
        <v>0</v>
      </c>
    </row>
    <row r="57" spans="1:14" ht="15.75" thickBot="1">
      <c r="A57" s="2609" t="str">
        <f>+G37</f>
        <v>Año 4:  2030</v>
      </c>
      <c r="B57" s="2617">
        <f>IF(SUM(C57:M57)&gt;1,"ERROR",1-SUM(C57:M57))</f>
        <v>1</v>
      </c>
      <c r="C57" s="2618">
        <f t="shared" si="2"/>
        <v>0</v>
      </c>
      <c r="D57" s="2618">
        <f t="shared" si="2"/>
        <v>0</v>
      </c>
      <c r="E57" s="2618">
        <f t="shared" si="2"/>
        <v>0</v>
      </c>
      <c r="F57" s="2618">
        <f t="shared" si="2"/>
        <v>0</v>
      </c>
      <c r="G57" s="2618">
        <f t="shared" si="2"/>
        <v>0</v>
      </c>
      <c r="H57" s="2618">
        <f t="shared" si="2"/>
        <v>0</v>
      </c>
      <c r="I57" s="2618">
        <f t="shared" si="2"/>
        <v>0</v>
      </c>
      <c r="J57" s="2618">
        <f t="shared" si="2"/>
        <v>0</v>
      </c>
      <c r="K57" s="2618">
        <f t="shared" si="2"/>
        <v>0</v>
      </c>
      <c r="L57" s="2618">
        <f t="shared" si="2"/>
        <v>0</v>
      </c>
      <c r="M57" s="2619">
        <f t="shared" si="2"/>
        <v>0</v>
      </c>
    </row>
    <row r="58" spans="1:14" ht="15">
      <c r="A58" s="2606"/>
    </row>
    <row r="59" spans="1:14" ht="15">
      <c r="A59" s="706"/>
    </row>
    <row r="60" spans="1:14" s="3294" customFormat="1" ht="15">
      <c r="A60" s="3293"/>
      <c r="B60" s="3293"/>
      <c r="C60" s="3293"/>
      <c r="D60" s="3293"/>
      <c r="E60" s="3293"/>
      <c r="F60" s="3293"/>
      <c r="G60" s="3293"/>
      <c r="H60" s="3293"/>
      <c r="I60" s="3293"/>
      <c r="J60" s="3293"/>
      <c r="K60" s="3293"/>
      <c r="L60" s="3293"/>
      <c r="M60" s="3293"/>
      <c r="N60" s="3293"/>
    </row>
    <row r="61" spans="1:14" s="3294" customFormat="1">
      <c r="A61" s="3299">
        <f>DATE('Datos Básicos'!B15,'Datos Básicos'!B16,1)</f>
        <v>46023</v>
      </c>
      <c r="B61" s="3300" t="str">
        <f t="array" ref="B61:B72">TEXT(A61:A72,"mmmm")</f>
        <v>enero</v>
      </c>
      <c r="C61" s="3293"/>
      <c r="D61" s="3293" t="s">
        <v>1066</v>
      </c>
      <c r="E61" s="3293"/>
      <c r="F61" s="3293"/>
      <c r="G61" s="3293"/>
      <c r="H61" s="3293"/>
      <c r="I61" s="3293"/>
      <c r="J61" s="3293"/>
      <c r="K61" s="3293"/>
      <c r="L61" s="3293"/>
      <c r="M61" s="3293"/>
      <c r="N61" s="3293"/>
    </row>
    <row r="62" spans="1:14" s="3294" customFormat="1">
      <c r="A62" s="3299">
        <f>EOMONTH(A61,0)+1</f>
        <v>46054</v>
      </c>
      <c r="B62" s="3300" t="str">
        <v>febrero</v>
      </c>
      <c r="C62" s="3293"/>
      <c r="D62" s="3301" t="str">
        <f>'Datos Básicos'!B18</f>
        <v>Año 0</v>
      </c>
      <c r="E62" s="3301">
        <f>'Datos Básicos'!C18</f>
        <v>1</v>
      </c>
      <c r="F62" s="3301">
        <f>E62+1</f>
        <v>2</v>
      </c>
      <c r="G62" s="3301">
        <f>F62+1</f>
        <v>3</v>
      </c>
      <c r="H62" s="3301">
        <f>G62+1</f>
        <v>4</v>
      </c>
      <c r="I62" s="3301">
        <f>H62+1</f>
        <v>5</v>
      </c>
      <c r="J62" s="3293"/>
      <c r="K62" s="3293"/>
      <c r="L62" s="3293"/>
      <c r="M62" s="3293"/>
      <c r="N62" s="3293"/>
    </row>
    <row r="63" spans="1:14" s="3294" customFormat="1">
      <c r="A63" s="3299">
        <f t="shared" ref="A63:A72" si="3">EOMONTH(A62,0)+1</f>
        <v>46082</v>
      </c>
      <c r="B63" s="3300" t="str">
        <v>marzo</v>
      </c>
      <c r="C63" s="3293"/>
      <c r="D63" s="3302">
        <f>A61</f>
        <v>46023</v>
      </c>
      <c r="E63" s="3302">
        <f>DATE(YEAR(D63)+1,MONTH(D63),DAY(D63))</f>
        <v>46388</v>
      </c>
      <c r="F63" s="3302">
        <f>DATE(YEAR(E63)+1,MONTH(E63),DAY(E63))</f>
        <v>46753</v>
      </c>
      <c r="G63" s="3302">
        <f t="shared" ref="G63:I63" si="4">DATE(YEAR(F63)+1,MONTH(F63),DAY(F63))</f>
        <v>47119</v>
      </c>
      <c r="H63" s="3302">
        <f t="shared" si="4"/>
        <v>47484</v>
      </c>
      <c r="I63" s="3302">
        <f t="shared" si="4"/>
        <v>47849</v>
      </c>
      <c r="J63" s="3293"/>
      <c r="K63" s="3293"/>
      <c r="L63" s="3293"/>
      <c r="M63" s="3293"/>
      <c r="N63" s="3293"/>
    </row>
    <row r="64" spans="1:14" s="3294" customFormat="1">
      <c r="A64" s="3299">
        <f t="shared" si="3"/>
        <v>46113</v>
      </c>
      <c r="B64" s="3300" t="str">
        <v>abril</v>
      </c>
      <c r="C64" s="3293"/>
      <c r="D64" s="3302">
        <f>A72</f>
        <v>46357</v>
      </c>
      <c r="E64" s="3302">
        <f>DATE(YEAR(D64)+1,MONTH(D64),DAY(D64))</f>
        <v>46722</v>
      </c>
      <c r="F64" s="3302">
        <f t="shared" ref="F64:I64" si="5">DATE(YEAR(E64)+1,MONTH(E64),DAY(E64))</f>
        <v>47088</v>
      </c>
      <c r="G64" s="3302">
        <f t="shared" si="5"/>
        <v>47453</v>
      </c>
      <c r="H64" s="3302">
        <f t="shared" si="5"/>
        <v>47818</v>
      </c>
      <c r="I64" s="3302">
        <f t="shared" si="5"/>
        <v>48183</v>
      </c>
      <c r="J64" s="3293"/>
      <c r="K64" s="3293"/>
      <c r="L64" s="3293"/>
      <c r="M64" s="3293"/>
      <c r="N64" s="3293"/>
    </row>
    <row r="65" spans="1:14" s="3294" customFormat="1">
      <c r="A65" s="3299">
        <f t="shared" si="3"/>
        <v>46143</v>
      </c>
      <c r="B65" s="3300" t="str">
        <v>mayo</v>
      </c>
      <c r="C65" s="3293"/>
      <c r="D65" s="2281" t="str">
        <f>IF('Datos Básicos'!$B$16=1,TEXT(D64,aa&amp;aa),CONCATENATE(TEXT($A$61,aa&amp;aa&amp;"-"),TEXT($A$72,aa)))</f>
        <v>2026</v>
      </c>
      <c r="E65" s="2281" t="str">
        <f t="array" ref="E65:I65">IF('Datos Básicos'!$B$16=1,TEXT(E63:I63,aa&amp;aa),CONCATENATE(TEXT(E63:I63,aa&amp;aa&amp;"-"),TEXT(E64:I64,aa)))</f>
        <v>2027</v>
      </c>
      <c r="F65" s="2281" t="str">
        <v>2028</v>
      </c>
      <c r="G65" s="2281" t="str">
        <v>2029</v>
      </c>
      <c r="H65" s="2281" t="str">
        <v>2030</v>
      </c>
      <c r="I65" s="2281" t="str">
        <v>2031</v>
      </c>
      <c r="J65" s="3293"/>
      <c r="K65" s="3293"/>
      <c r="L65" s="3293"/>
      <c r="M65" s="3293"/>
      <c r="N65" s="3293"/>
    </row>
    <row r="66" spans="1:14" s="3294" customFormat="1">
      <c r="A66" s="3299">
        <f t="shared" si="3"/>
        <v>46174</v>
      </c>
      <c r="B66" s="3300" t="str">
        <v>junio</v>
      </c>
      <c r="C66" s="3293"/>
      <c r="D66" s="2281" t="str">
        <f>IF('Datos Básicos'!$B$16=1,TEXT(D64-365,aa&amp;aa),CONCATENATE(TEXT($A$61-365,aa&amp;aa&amp;"-"),TEXT($A$72-365,aa)))</f>
        <v>2025</v>
      </c>
      <c r="E66" s="3293"/>
      <c r="F66" s="3293"/>
      <c r="G66" s="3293"/>
      <c r="H66" s="3293"/>
      <c r="I66" s="3293"/>
      <c r="J66" s="3293"/>
      <c r="K66" s="3293"/>
      <c r="L66" s="3293"/>
      <c r="M66" s="3293"/>
      <c r="N66" s="3293"/>
    </row>
    <row r="67" spans="1:14" s="3294" customFormat="1">
      <c r="A67" s="3299">
        <f t="shared" si="3"/>
        <v>46204</v>
      </c>
      <c r="B67" s="3300" t="str">
        <v>julio</v>
      </c>
      <c r="C67" s="3293"/>
      <c r="D67" s="3293"/>
      <c r="E67" s="3293"/>
      <c r="F67" s="3303"/>
      <c r="G67" s="3293"/>
      <c r="H67" s="3293"/>
      <c r="I67" s="3293"/>
      <c r="J67" s="3293"/>
      <c r="K67" s="3293"/>
      <c r="L67" s="3293"/>
      <c r="M67" s="3293"/>
      <c r="N67" s="3293"/>
    </row>
    <row r="68" spans="1:14" s="3294" customFormat="1">
      <c r="A68" s="3299">
        <f t="shared" si="3"/>
        <v>46235</v>
      </c>
      <c r="B68" s="3300" t="str">
        <v>agosto</v>
      </c>
      <c r="C68" s="3293"/>
      <c r="D68" s="3293"/>
      <c r="E68" s="3293"/>
      <c r="F68" s="3293"/>
      <c r="G68" s="3293"/>
      <c r="H68" s="3293"/>
      <c r="I68" s="3293"/>
      <c r="J68" s="3293"/>
      <c r="K68" s="3293"/>
      <c r="L68" s="3293"/>
      <c r="M68" s="3293"/>
      <c r="N68" s="3293"/>
    </row>
    <row r="69" spans="1:14" s="3294" customFormat="1">
      <c r="A69" s="3299">
        <f t="shared" si="3"/>
        <v>46266</v>
      </c>
      <c r="B69" s="3300" t="str">
        <v>septiembre</v>
      </c>
      <c r="C69" s="3293"/>
      <c r="D69" s="3293"/>
      <c r="E69" s="3293"/>
      <c r="F69" s="3293"/>
      <c r="G69" s="3293"/>
      <c r="H69" s="3293"/>
      <c r="I69" s="3293"/>
      <c r="J69" s="3293"/>
      <c r="K69" s="3293"/>
      <c r="L69" s="3293"/>
      <c r="M69" s="3293"/>
      <c r="N69" s="3293"/>
    </row>
    <row r="70" spans="1:14" s="3294" customFormat="1">
      <c r="A70" s="3299">
        <f t="shared" si="3"/>
        <v>46296</v>
      </c>
      <c r="B70" s="3300" t="str">
        <v>octubre</v>
      </c>
      <c r="C70" s="3293"/>
      <c r="D70" s="3293"/>
      <c r="E70" s="3293"/>
      <c r="F70" s="3293"/>
      <c r="G70" s="3293"/>
      <c r="H70" s="3293"/>
      <c r="I70" s="3293"/>
      <c r="J70" s="3293"/>
      <c r="K70" s="3293"/>
      <c r="L70" s="3293"/>
      <c r="M70" s="3293"/>
      <c r="N70" s="3293"/>
    </row>
    <row r="71" spans="1:14" s="3294" customFormat="1">
      <c r="A71" s="3299">
        <f t="shared" si="3"/>
        <v>46327</v>
      </c>
      <c r="B71" s="3300" t="str">
        <v>noviembre</v>
      </c>
      <c r="C71" s="3293"/>
      <c r="D71" s="3293"/>
      <c r="E71" s="3293"/>
      <c r="F71" s="3293"/>
      <c r="G71" s="3293"/>
      <c r="H71" s="3293"/>
      <c r="I71" s="3293"/>
      <c r="J71" s="3293"/>
      <c r="K71" s="3293"/>
      <c r="L71" s="3293"/>
      <c r="M71" s="3293"/>
      <c r="N71" s="3293"/>
    </row>
    <row r="72" spans="1:14" s="3294" customFormat="1">
      <c r="A72" s="3299">
        <f t="shared" si="3"/>
        <v>46357</v>
      </c>
      <c r="B72" s="3300" t="str">
        <v>diciembre</v>
      </c>
      <c r="C72" s="3293"/>
      <c r="D72" s="3293"/>
      <c r="E72" s="3293"/>
      <c r="F72" s="3293"/>
      <c r="G72" s="3293"/>
      <c r="H72" s="3293"/>
      <c r="I72" s="3293"/>
      <c r="J72" s="3293"/>
      <c r="K72" s="3293"/>
      <c r="L72" s="3293"/>
      <c r="M72" s="3293"/>
      <c r="N72" s="3293"/>
    </row>
    <row r="73" spans="1:14" s="3294" customFormat="1">
      <c r="A73" s="3300"/>
      <c r="B73" s="3300"/>
      <c r="C73" s="3300"/>
      <c r="D73" s="3300"/>
      <c r="E73" s="3300"/>
      <c r="F73" s="3300"/>
      <c r="G73" s="3300"/>
      <c r="H73" s="3300"/>
      <c r="I73" s="3300"/>
      <c r="J73" s="3300"/>
      <c r="K73" s="3300"/>
      <c r="L73" s="3300"/>
      <c r="M73" s="3300"/>
      <c r="N73" s="3293"/>
    </row>
    <row r="74" spans="1:14" s="3294" customFormat="1">
      <c r="A74" s="3300"/>
      <c r="B74" s="3300" t="s">
        <v>421</v>
      </c>
      <c r="C74" s="3300"/>
      <c r="D74" s="3300"/>
      <c r="E74" s="3300"/>
      <c r="F74" s="3300"/>
      <c r="G74" s="3300"/>
      <c r="H74" s="3300"/>
      <c r="I74" s="3300"/>
      <c r="J74" s="3300"/>
      <c r="K74" s="3300"/>
      <c r="L74" s="3300"/>
      <c r="M74" s="3300"/>
      <c r="N74" s="3293"/>
    </row>
    <row r="75" spans="1:14" s="3294" customFormat="1">
      <c r="A75" s="3300"/>
      <c r="B75" s="3300" t="str">
        <f>B61</f>
        <v>enero</v>
      </c>
      <c r="C75" s="3304" t="str">
        <f>B62</f>
        <v>febrero</v>
      </c>
      <c r="D75" s="3304" t="str">
        <f>B63</f>
        <v>marzo</v>
      </c>
      <c r="E75" s="3304" t="str">
        <f>B64</f>
        <v>abril</v>
      </c>
      <c r="F75" s="3304" t="str">
        <f>B65</f>
        <v>mayo</v>
      </c>
      <c r="G75" s="3304" t="str">
        <f>B66</f>
        <v>junio</v>
      </c>
      <c r="H75" s="3304" t="str">
        <f>B67</f>
        <v>julio</v>
      </c>
      <c r="I75" s="3304" t="str">
        <f>B68</f>
        <v>agosto</v>
      </c>
      <c r="J75" s="3304" t="str">
        <f>B69</f>
        <v>septiembre</v>
      </c>
      <c r="K75" s="3304" t="str">
        <f>B70</f>
        <v>octubre</v>
      </c>
      <c r="L75" s="3304" t="str">
        <f>B71</f>
        <v>noviembre</v>
      </c>
      <c r="M75" s="3304" t="str">
        <f>B72</f>
        <v>diciembre</v>
      </c>
      <c r="N75" s="3293"/>
    </row>
    <row r="76" spans="1:14" s="3294" customFormat="1">
      <c r="A76" s="3300"/>
      <c r="B76" s="3305" t="str">
        <f>TEXT(A61,aa&amp;aa)</f>
        <v>2026</v>
      </c>
      <c r="C76" s="3305" t="str">
        <f>TEXT($A62,aa&amp;aa)</f>
        <v>2026</v>
      </c>
      <c r="D76" s="3305" t="str">
        <f>TEXT($A63,aa&amp;aa)</f>
        <v>2026</v>
      </c>
      <c r="E76" s="3305" t="str">
        <f>TEXT($A64,aa&amp;aa)</f>
        <v>2026</v>
      </c>
      <c r="F76" s="3305" t="str">
        <f>TEXT($A65,aa&amp;aa)</f>
        <v>2026</v>
      </c>
      <c r="G76" s="3305" t="str">
        <f>TEXT($A66,aa&amp;aa)</f>
        <v>2026</v>
      </c>
      <c r="H76" s="3305" t="str">
        <f>TEXT($A67,aa&amp;aa)</f>
        <v>2026</v>
      </c>
      <c r="I76" s="3305" t="str">
        <f>TEXT($A68,aa&amp;aa)</f>
        <v>2026</v>
      </c>
      <c r="J76" s="3305" t="str">
        <f>TEXT($A69,aa&amp;aa)</f>
        <v>2026</v>
      </c>
      <c r="K76" s="3305" t="str">
        <f>TEXT($A70,aa&amp;aa)</f>
        <v>2026</v>
      </c>
      <c r="L76" s="3305" t="str">
        <f>TEXT($A71,aa&amp;aa)</f>
        <v>2026</v>
      </c>
      <c r="M76" s="3305" t="str">
        <f>TEXT($A72,aa&amp;aa)</f>
        <v>2026</v>
      </c>
      <c r="N76" s="3293"/>
    </row>
    <row r="77" spans="1:14" s="3294" customFormat="1" ht="32.25" customHeight="1">
      <c r="A77" s="3306" t="s">
        <v>931</v>
      </c>
      <c r="B77" s="3307" t="str">
        <f>CONCATENATE('Datos Básicos'!B18,":  ",D65)</f>
        <v>Año 0:  2026</v>
      </c>
      <c r="C77" s="3307" t="str">
        <f t="array" ref="C77:F77">CONCATENATE("Año ",'Datos Básicos'!C18:F18,":  ",E65:H65)</f>
        <v>Año 1:  2027</v>
      </c>
      <c r="D77" s="3307" t="str">
        <v>Año 2:  2028</v>
      </c>
      <c r="E77" s="3307" t="str">
        <v>Año 3:  2029</v>
      </c>
      <c r="F77" s="3307" t="str">
        <v>Año 4:  2030</v>
      </c>
      <c r="G77" s="3307" t="str">
        <f>IF('Datos Básicos'!$B$16=1,CONCATENATE("Año 5 :   ",I65),
                          CONCATENATE("Año 5:  
",I65))</f>
        <v>Año 5 :   2031</v>
      </c>
      <c r="H77" s="3304"/>
      <c r="I77" s="3304"/>
      <c r="J77" s="3304"/>
      <c r="K77" s="3304"/>
      <c r="L77" s="3304"/>
      <c r="M77" s="3304"/>
      <c r="N77" s="3293"/>
    </row>
    <row r="78" spans="1:14" s="3294" customFormat="1">
      <c r="A78" s="3300"/>
      <c r="B78" s="3300" t="str">
        <f>+C77</f>
        <v>Año 1:  2027</v>
      </c>
      <c r="C78" s="3304"/>
      <c r="D78" s="3304"/>
      <c r="E78" s="3304"/>
      <c r="F78" s="3304"/>
      <c r="G78" s="3304"/>
      <c r="H78" s="3304"/>
      <c r="I78" s="3304"/>
      <c r="J78" s="3304"/>
      <c r="K78" s="3304"/>
      <c r="L78" s="3304"/>
      <c r="M78" s="3304"/>
      <c r="N78" s="3293"/>
    </row>
    <row r="79" spans="1:14" s="3294" customFormat="1">
      <c r="A79" s="3300"/>
      <c r="B79" s="3300" t="str">
        <f>+D77</f>
        <v>Año 2:  2028</v>
      </c>
      <c r="C79" s="3304"/>
      <c r="D79" s="3304"/>
      <c r="E79" s="3304"/>
      <c r="F79" s="3304"/>
      <c r="G79" s="3304"/>
      <c r="H79" s="3304"/>
      <c r="I79" s="3304"/>
      <c r="J79" s="3304"/>
      <c r="K79" s="3304"/>
      <c r="L79" s="3304"/>
      <c r="M79" s="3304"/>
      <c r="N79" s="3293"/>
    </row>
    <row r="80" spans="1:14" s="3294" customFormat="1">
      <c r="A80" s="3300"/>
      <c r="B80" s="3300" t="str">
        <f>+E77</f>
        <v>Año 3:  2029</v>
      </c>
      <c r="C80" s="3304"/>
      <c r="D80" s="3304"/>
      <c r="E80" s="3304"/>
      <c r="F80" s="3304"/>
      <c r="G80" s="3304"/>
      <c r="H80" s="3304"/>
      <c r="I80" s="3304"/>
      <c r="J80" s="3304"/>
      <c r="K80" s="3304"/>
      <c r="L80" s="3304"/>
      <c r="M80" s="3304"/>
      <c r="N80" s="3293"/>
    </row>
    <row r="81" spans="1:14" s="3294" customFormat="1">
      <c r="A81" s="3300"/>
      <c r="B81" s="3300" t="str">
        <f>+F77</f>
        <v>Año 4:  2030</v>
      </c>
      <c r="C81" s="3304"/>
      <c r="D81" s="3304"/>
      <c r="E81" s="3304"/>
      <c r="F81" s="3304"/>
      <c r="G81" s="3304"/>
      <c r="H81" s="3304"/>
      <c r="I81" s="3304"/>
      <c r="J81" s="3304"/>
      <c r="K81" s="3304"/>
      <c r="L81" s="3304"/>
      <c r="M81" s="3304"/>
      <c r="N81" s="3293"/>
    </row>
    <row r="82" spans="1:14" s="3294" customFormat="1">
      <c r="A82" s="3300"/>
      <c r="B82" s="3300"/>
      <c r="C82" s="3304"/>
      <c r="D82" s="3304"/>
      <c r="E82" s="3304"/>
      <c r="F82" s="3304"/>
      <c r="G82" s="3304"/>
      <c r="H82" s="3304"/>
      <c r="I82" s="3304"/>
      <c r="J82" s="3304"/>
      <c r="K82" s="3304"/>
      <c r="L82" s="3304"/>
      <c r="M82" s="3304"/>
      <c r="N82" s="3293"/>
    </row>
    <row r="83" spans="1:14" s="3294" customFormat="1">
      <c r="A83" s="3300"/>
      <c r="B83" s="3300"/>
      <c r="C83" s="3304"/>
      <c r="D83" s="3304"/>
      <c r="E83" s="3304"/>
      <c r="F83" s="3304"/>
      <c r="G83" s="3304"/>
      <c r="H83" s="3304"/>
      <c r="I83" s="3304"/>
      <c r="J83" s="3304"/>
      <c r="K83" s="3304"/>
      <c r="L83" s="3304"/>
      <c r="M83" s="3304"/>
      <c r="N83" s="3293"/>
    </row>
    <row r="84" spans="1:14" s="3294" customFormat="1" ht="15">
      <c r="A84" s="3308" t="s">
        <v>699</v>
      </c>
      <c r="B84" s="3293"/>
      <c r="C84" s="3293"/>
      <c r="D84" s="3293"/>
      <c r="E84" s="3293"/>
      <c r="F84" s="3293"/>
      <c r="G84" s="3293"/>
      <c r="H84" s="3293"/>
      <c r="I84" s="3293"/>
      <c r="J84" s="3293"/>
      <c r="K84" s="3293"/>
      <c r="L84" s="3293"/>
      <c r="M84" s="3293"/>
      <c r="N84" s="3293"/>
    </row>
    <row r="85" spans="1:14" s="3294" customFormat="1" ht="15">
      <c r="A85" s="3309" t="s">
        <v>701</v>
      </c>
      <c r="B85" s="2281">
        <f>1-$E$20/2</f>
        <v>1</v>
      </c>
      <c r="C85" s="3293"/>
      <c r="D85" s="3293"/>
      <c r="E85" s="3293"/>
      <c r="F85" s="3293"/>
      <c r="G85" s="3293"/>
      <c r="H85" s="3293"/>
      <c r="I85" s="3293"/>
      <c r="J85" s="3293"/>
      <c r="K85" s="3293"/>
      <c r="L85" s="3293"/>
      <c r="M85" s="3293"/>
      <c r="N85" s="3293"/>
    </row>
    <row r="86" spans="1:14" s="3294" customFormat="1" ht="15">
      <c r="A86" s="3309" t="s">
        <v>700</v>
      </c>
      <c r="B86" s="2281">
        <f>1+$E$20/2</f>
        <v>1</v>
      </c>
      <c r="C86" s="3293"/>
      <c r="D86" s="3293"/>
      <c r="E86" s="3293"/>
      <c r="F86" s="3293"/>
      <c r="G86" s="3293"/>
      <c r="H86" s="3293"/>
      <c r="I86" s="3293"/>
      <c r="J86" s="3293"/>
      <c r="K86" s="3293"/>
      <c r="L86" s="3293"/>
      <c r="M86" s="3293"/>
      <c r="N86" s="3293"/>
    </row>
    <row r="87" spans="1:14" s="3294" customFormat="1" ht="15">
      <c r="A87" s="3309"/>
      <c r="B87" s="2281"/>
      <c r="C87" s="3293"/>
      <c r="D87" s="3293"/>
      <c r="E87" s="3293"/>
      <c r="F87" s="3293"/>
      <c r="G87" s="3293"/>
      <c r="H87" s="3293"/>
      <c r="I87" s="3293"/>
      <c r="J87" s="3293"/>
      <c r="K87" s="3293"/>
      <c r="L87" s="3293"/>
      <c r="M87" s="3293"/>
      <c r="N87" s="3293"/>
    </row>
    <row r="88" spans="1:14" s="3295" customFormat="1" ht="25.5">
      <c r="A88" s="3310" t="s">
        <v>702</v>
      </c>
      <c r="B88" s="3311">
        <f t="shared" ref="B88:M88" ca="1" si="6">+$B$86+RAND()*($B$85-$B$86)</f>
        <v>1</v>
      </c>
      <c r="C88" s="3311">
        <f t="shared" ca="1" si="6"/>
        <v>1</v>
      </c>
      <c r="D88" s="3311">
        <f t="shared" ca="1" si="6"/>
        <v>1</v>
      </c>
      <c r="E88" s="3311">
        <f t="shared" ca="1" si="6"/>
        <v>1</v>
      </c>
      <c r="F88" s="3311">
        <f t="shared" ca="1" si="6"/>
        <v>1</v>
      </c>
      <c r="G88" s="3311">
        <f t="shared" ca="1" si="6"/>
        <v>1</v>
      </c>
      <c r="H88" s="3311">
        <f t="shared" ca="1" si="6"/>
        <v>1</v>
      </c>
      <c r="I88" s="3311">
        <f t="shared" ca="1" si="6"/>
        <v>1</v>
      </c>
      <c r="J88" s="3311">
        <f t="shared" ca="1" si="6"/>
        <v>1</v>
      </c>
      <c r="K88" s="3311">
        <f t="shared" ca="1" si="6"/>
        <v>1</v>
      </c>
      <c r="L88" s="3311">
        <f t="shared" ca="1" si="6"/>
        <v>1</v>
      </c>
      <c r="M88" s="3311">
        <f t="shared" ca="1" si="6"/>
        <v>1</v>
      </c>
      <c r="N88" s="3312"/>
    </row>
    <row r="89" spans="1:14" s="3294" customFormat="1">
      <c r="A89" s="3313"/>
      <c r="B89" s="3293"/>
      <c r="C89" s="3293"/>
      <c r="D89" s="3293"/>
      <c r="E89" s="3293"/>
      <c r="F89" s="3293"/>
      <c r="G89" s="3293"/>
      <c r="H89" s="3293"/>
      <c r="I89" s="3293"/>
      <c r="J89" s="3293"/>
      <c r="K89" s="3293"/>
      <c r="L89" s="3293"/>
      <c r="M89" s="3293"/>
      <c r="N89" s="3293"/>
    </row>
    <row r="90" spans="1:14" s="3294" customFormat="1">
      <c r="A90" s="3313"/>
      <c r="F90" s="3293"/>
      <c r="G90" s="3293"/>
      <c r="H90" s="3293"/>
      <c r="I90" s="3293"/>
      <c r="J90" s="3293"/>
      <c r="K90" s="3293"/>
      <c r="L90" s="3293"/>
      <c r="M90" s="3293"/>
      <c r="N90" s="3293"/>
    </row>
    <row r="91" spans="1:14" s="3294" customFormat="1">
      <c r="A91" s="3313"/>
      <c r="B91" s="3300" t="s">
        <v>698</v>
      </c>
      <c r="C91" s="3293"/>
      <c r="D91" s="3293"/>
      <c r="E91" s="3293"/>
      <c r="F91" s="3293"/>
      <c r="G91" s="3293"/>
      <c r="H91" s="3293"/>
      <c r="I91" s="3293"/>
      <c r="J91" s="3293"/>
      <c r="K91" s="3293"/>
      <c r="L91" s="3293"/>
      <c r="M91" s="3293"/>
      <c r="N91" s="3293"/>
    </row>
    <row r="92" spans="1:14" s="3294" customFormat="1">
      <c r="A92" s="3313"/>
      <c r="B92" s="3314"/>
      <c r="C92" s="3315" t="str">
        <f>" "&amp;Parametros!H11&amp;"/"</f>
        <v xml:space="preserve"> €/</v>
      </c>
      <c r="D92" s="3293"/>
      <c r="E92" s="3293"/>
      <c r="F92" s="3293"/>
      <c r="G92" s="3293"/>
      <c r="H92" s="3293"/>
      <c r="I92" s="3293"/>
      <c r="J92" s="3293"/>
      <c r="K92" s="3293"/>
      <c r="L92" s="3293"/>
      <c r="M92" s="3293"/>
      <c r="N92" s="3293"/>
    </row>
    <row r="93" spans="1:14" s="3294" customFormat="1">
      <c r="A93" s="3313"/>
      <c r="B93" s="3315">
        <v>1</v>
      </c>
      <c r="C93" s="3315" t="str">
        <f>$C$92&amp;"año"</f>
        <v xml:space="preserve"> €/año</v>
      </c>
      <c r="D93" s="3293"/>
      <c r="E93" s="3293"/>
      <c r="F93" s="3293"/>
      <c r="G93" s="3293"/>
      <c r="H93" s="3293"/>
      <c r="I93" s="3293"/>
      <c r="J93" s="3293"/>
      <c r="K93" s="3293"/>
      <c r="L93" s="3293"/>
      <c r="M93" s="3293"/>
      <c r="N93" s="3293"/>
    </row>
    <row r="94" spans="1:14" s="3294" customFormat="1">
      <c r="A94" s="3313"/>
      <c r="B94" s="3315">
        <v>2</v>
      </c>
      <c r="C94" s="3315" t="str">
        <f>$C$92&amp;12/B94&amp;" meses"</f>
        <v xml:space="preserve"> €/6 meses</v>
      </c>
      <c r="D94" s="3293"/>
      <c r="E94" s="3293"/>
      <c r="F94" s="3293"/>
      <c r="G94" s="3293"/>
      <c r="H94" s="3293"/>
      <c r="I94" s="3293"/>
      <c r="J94" s="3293"/>
      <c r="K94" s="3293"/>
      <c r="L94" s="3293"/>
      <c r="M94" s="3293"/>
      <c r="N94" s="3293"/>
    </row>
    <row r="95" spans="1:14" s="3294" customFormat="1">
      <c r="A95" s="3313"/>
      <c r="B95" s="3315">
        <v>3</v>
      </c>
      <c r="C95" s="3315" t="str">
        <f>$C$92&amp;12/B95&amp;" meses"</f>
        <v xml:space="preserve"> €/4 meses</v>
      </c>
      <c r="D95" s="3293"/>
      <c r="E95" s="3293"/>
      <c r="F95" s="3293"/>
      <c r="G95" s="3293"/>
      <c r="H95" s="3293"/>
      <c r="I95" s="3293"/>
      <c r="J95" s="3293"/>
      <c r="K95" s="3293"/>
      <c r="L95" s="3293"/>
      <c r="M95" s="3293"/>
      <c r="N95" s="3293"/>
    </row>
    <row r="96" spans="1:14" s="3294" customFormat="1">
      <c r="A96" s="3313"/>
      <c r="B96" s="3314">
        <v>4</v>
      </c>
      <c r="C96" s="3314" t="str">
        <f>$C$92&amp;12/B96&amp;" meses"</f>
        <v xml:space="preserve"> €/3 meses</v>
      </c>
      <c r="D96" s="3293"/>
      <c r="E96" s="3293"/>
      <c r="F96" s="3293"/>
      <c r="G96" s="3293"/>
      <c r="H96" s="3293"/>
      <c r="I96" s="3293"/>
      <c r="J96" s="3293"/>
      <c r="K96" s="3293"/>
      <c r="L96" s="3293"/>
      <c r="M96" s="3293"/>
      <c r="N96" s="3293"/>
    </row>
    <row r="97" spans="1:14" s="3294" customFormat="1">
      <c r="A97" s="3313"/>
      <c r="B97" s="3314">
        <v>6</v>
      </c>
      <c r="C97" s="3314" t="str">
        <f>$C$92&amp;12/B97&amp;" meses"</f>
        <v xml:space="preserve"> €/2 meses</v>
      </c>
      <c r="D97" s="3293"/>
      <c r="E97" s="3293"/>
      <c r="F97" s="3293"/>
      <c r="G97" s="3293"/>
      <c r="H97" s="3293"/>
      <c r="I97" s="3293"/>
      <c r="J97" s="3293"/>
      <c r="K97" s="3293"/>
      <c r="L97" s="3293"/>
      <c r="M97" s="3293"/>
      <c r="N97" s="3293"/>
    </row>
    <row r="98" spans="1:14" s="3294" customFormat="1">
      <c r="A98" s="3313"/>
      <c r="B98" s="3314">
        <v>12</v>
      </c>
      <c r="C98" s="3314" t="str">
        <f>$C$92&amp;"mes"</f>
        <v xml:space="preserve"> €/mes</v>
      </c>
      <c r="D98" s="3293"/>
      <c r="E98" s="3293"/>
      <c r="F98" s="3293"/>
      <c r="G98" s="3293"/>
      <c r="H98" s="3293"/>
      <c r="I98" s="3293"/>
      <c r="J98" s="3293"/>
      <c r="K98" s="3293"/>
      <c r="L98" s="3293"/>
      <c r="M98" s="3293"/>
      <c r="N98" s="3293"/>
    </row>
    <row r="99" spans="1:14" s="3294" customFormat="1">
      <c r="A99" s="3313"/>
      <c r="B99" s="3316"/>
      <c r="C99" s="3293"/>
      <c r="D99" s="3293"/>
      <c r="E99" s="3293"/>
      <c r="F99" s="3293"/>
      <c r="G99" s="3293"/>
      <c r="H99" s="3293"/>
      <c r="I99" s="3293"/>
      <c r="J99" s="3293"/>
      <c r="K99" s="3293"/>
      <c r="L99" s="3293"/>
      <c r="M99" s="3293"/>
      <c r="N99" s="3293"/>
    </row>
    <row r="100" spans="1:14" s="3294" customFormat="1">
      <c r="A100" s="3313"/>
      <c r="B100" s="3293"/>
      <c r="C100" s="3293"/>
      <c r="D100" s="3293"/>
      <c r="E100" s="3293"/>
      <c r="F100" s="3293"/>
      <c r="G100" s="3293"/>
      <c r="H100" s="3293"/>
      <c r="I100" s="3293"/>
      <c r="J100" s="3293"/>
      <c r="K100" s="3293"/>
      <c r="L100" s="3293"/>
      <c r="M100" s="3293"/>
      <c r="N100" s="3293"/>
    </row>
    <row r="101" spans="1:14" s="3294" customFormat="1">
      <c r="A101" s="3313" t="s">
        <v>930</v>
      </c>
      <c r="B101" s="3293"/>
      <c r="C101" s="3293"/>
      <c r="D101" s="3293"/>
      <c r="E101" s="3293"/>
      <c r="F101" s="3293"/>
      <c r="G101" s="3293"/>
      <c r="H101" s="3293"/>
      <c r="I101" s="3293"/>
      <c r="J101" s="3293"/>
      <c r="K101" s="3293"/>
      <c r="L101" s="3293"/>
      <c r="M101" s="3293"/>
      <c r="N101" s="3293"/>
    </row>
    <row r="102" spans="1:14" s="3294" customFormat="1">
      <c r="A102" s="3317">
        <f>'Datos Básicos'!B50</f>
        <v>0.21</v>
      </c>
      <c r="B102" s="3293"/>
      <c r="C102" s="3293"/>
      <c r="D102" s="3293"/>
      <c r="E102" s="3293"/>
      <c r="F102" s="3293"/>
      <c r="G102" s="3293"/>
      <c r="H102" s="3293"/>
      <c r="I102" s="3293"/>
      <c r="J102" s="3293"/>
      <c r="K102" s="3293"/>
      <c r="L102" s="3293"/>
      <c r="M102" s="3293"/>
      <c r="N102" s="3293"/>
    </row>
    <row r="103" spans="1:14" s="3294" customFormat="1">
      <c r="A103" s="3317">
        <v>0</v>
      </c>
      <c r="B103" s="3293"/>
      <c r="C103" s="3293"/>
      <c r="D103" s="3293"/>
      <c r="E103" s="3293"/>
      <c r="F103" s="3293"/>
      <c r="G103" s="3293"/>
      <c r="H103" s="3293"/>
      <c r="I103" s="3293"/>
      <c r="J103" s="3293"/>
      <c r="K103" s="3293"/>
      <c r="L103" s="3293"/>
      <c r="M103" s="3293"/>
      <c r="N103" s="3293"/>
    </row>
    <row r="104" spans="1:14" s="3294" customFormat="1">
      <c r="A104" s="3313"/>
      <c r="B104" s="3293"/>
      <c r="C104" s="3293"/>
      <c r="D104" s="3293"/>
      <c r="E104" s="3293"/>
      <c r="F104" s="3293"/>
      <c r="G104" s="3293"/>
      <c r="H104" s="3293"/>
      <c r="I104" s="3293"/>
      <c r="J104" s="3293"/>
      <c r="K104" s="3293"/>
      <c r="L104" s="3293"/>
      <c r="M104" s="3293"/>
      <c r="N104" s="3293"/>
    </row>
    <row r="105" spans="1:14" s="3294" customFormat="1">
      <c r="A105" s="3313"/>
      <c r="B105" s="3293"/>
      <c r="C105" s="3293"/>
      <c r="D105" s="3293"/>
      <c r="E105" s="3293"/>
      <c r="F105" s="3293"/>
      <c r="G105" s="3293"/>
      <c r="H105" s="3293"/>
      <c r="I105" s="3293"/>
      <c r="J105" s="3293"/>
      <c r="K105" s="3293"/>
      <c r="L105" s="3293"/>
      <c r="M105" s="3293"/>
      <c r="N105" s="3293"/>
    </row>
    <row r="106" spans="1:14" s="3294" customFormat="1">
      <c r="A106" s="3313" t="str">
        <f>'Datos Básicos'!A50</f>
        <v>Tipo normal</v>
      </c>
      <c r="B106" s="3296">
        <f>'Datos Básicos'!B50</f>
        <v>0.21</v>
      </c>
      <c r="C106" s="3293"/>
      <c r="D106" s="3293"/>
      <c r="E106" s="3293"/>
      <c r="F106" s="3293"/>
      <c r="G106" s="3293"/>
      <c r="H106" s="3293"/>
      <c r="I106" s="3293"/>
      <c r="J106" s="3293"/>
      <c r="K106" s="3293"/>
      <c r="L106" s="3293"/>
      <c r="M106" s="3293"/>
      <c r="N106" s="3293"/>
    </row>
    <row r="107" spans="1:14" s="3294" customFormat="1">
      <c r="A107" s="3313" t="str">
        <f>'Datos Básicos'!A51</f>
        <v>Tipo reducido</v>
      </c>
      <c r="B107" s="3296">
        <f>'Datos Básicos'!B51</f>
        <v>0.1</v>
      </c>
      <c r="C107" s="3293"/>
      <c r="D107" s="3293"/>
      <c r="E107" s="3293"/>
      <c r="F107" s="3293"/>
      <c r="G107" s="3293"/>
      <c r="H107" s="3293"/>
      <c r="I107" s="3293"/>
      <c r="J107" s="3293"/>
      <c r="K107" s="3293"/>
      <c r="L107" s="3293"/>
      <c r="M107" s="3293"/>
      <c r="N107" s="3293"/>
    </row>
    <row r="108" spans="1:14" s="3294" customFormat="1">
      <c r="A108" s="3313" t="str">
        <f>'Datos Básicos'!A52</f>
        <v>Tipo superreducido</v>
      </c>
      <c r="B108" s="3296">
        <f>'Datos Básicos'!B52</f>
        <v>0.04</v>
      </c>
      <c r="C108" s="3293"/>
      <c r="D108" s="3293"/>
      <c r="E108" s="3293"/>
      <c r="F108" s="3293"/>
      <c r="G108" s="3293"/>
      <c r="H108" s="3293"/>
      <c r="I108" s="3293"/>
      <c r="J108" s="3293"/>
      <c r="K108" s="3293"/>
      <c r="L108" s="3293"/>
      <c r="M108" s="3293"/>
      <c r="N108" s="3293"/>
    </row>
    <row r="109" spans="1:14" s="3294" customFormat="1">
      <c r="A109" s="3313" t="str">
        <f>'Datos Básicos'!A53</f>
        <v>Tipo especial</v>
      </c>
      <c r="B109" s="3296">
        <f>'Datos Básicos'!B53</f>
        <v>0</v>
      </c>
      <c r="C109" s="3293"/>
      <c r="D109" s="3293"/>
      <c r="E109" s="3293"/>
      <c r="F109" s="3293"/>
      <c r="G109" s="3293"/>
      <c r="H109" s="3293"/>
      <c r="I109" s="3293"/>
      <c r="J109" s="3293"/>
      <c r="K109" s="3293"/>
      <c r="L109" s="3293"/>
      <c r="M109" s="3293"/>
      <c r="N109" s="3293"/>
    </row>
    <row r="110" spans="1:14" s="3294" customFormat="1">
      <c r="A110" s="3313"/>
      <c r="B110" s="3318"/>
      <c r="C110" s="3293"/>
      <c r="D110" s="3293"/>
      <c r="E110" s="3293"/>
      <c r="F110" s="3293"/>
      <c r="G110" s="3293"/>
      <c r="H110" s="3293"/>
      <c r="I110" s="3293"/>
      <c r="J110" s="3293"/>
      <c r="K110" s="3293"/>
      <c r="L110" s="3293"/>
      <c r="M110" s="3293"/>
      <c r="N110" s="3293"/>
    </row>
    <row r="111" spans="1:14" s="3294" customFormat="1">
      <c r="A111" s="3313"/>
      <c r="B111" s="2281"/>
      <c r="C111" s="3293"/>
      <c r="D111" s="3293"/>
      <c r="E111" s="3293"/>
      <c r="F111" s="3293"/>
      <c r="G111" s="3293"/>
      <c r="H111" s="3293"/>
      <c r="I111" s="3293"/>
      <c r="J111" s="3293"/>
      <c r="K111" s="3293"/>
      <c r="L111" s="3293"/>
      <c r="M111" s="3293"/>
      <c r="N111" s="3293"/>
    </row>
    <row r="112" spans="1:14" s="3294" customFormat="1">
      <c r="A112" s="3313"/>
      <c r="B112" s="3293"/>
      <c r="C112" s="3293"/>
      <c r="D112" s="3293"/>
      <c r="E112" s="3293"/>
      <c r="F112" s="3293"/>
      <c r="G112" s="3293"/>
      <c r="H112" s="3293"/>
      <c r="I112" s="3293"/>
      <c r="J112" s="3293"/>
      <c r="K112" s="3293"/>
      <c r="L112" s="3293"/>
      <c r="M112" s="3293"/>
      <c r="N112" s="3293"/>
    </row>
    <row r="113" spans="1:14" s="3294" customFormat="1">
      <c r="A113" s="3319" t="str">
        <f>'Datos Básicos'!B18</f>
        <v>Año 0</v>
      </c>
      <c r="B113" s="3320">
        <f>DATE('Datos Básicos'!B15,'Datos Básicos'!B16,1)</f>
        <v>46023</v>
      </c>
      <c r="C113" s="3320">
        <f>EOMONTH(B113,0)+1</f>
        <v>46054</v>
      </c>
      <c r="D113" s="3320">
        <f t="shared" ref="D113:J113" si="7">EOMONTH(C113,0)+1</f>
        <v>46082</v>
      </c>
      <c r="E113" s="3320">
        <f t="shared" si="7"/>
        <v>46113</v>
      </c>
      <c r="F113" s="3320">
        <f t="shared" si="7"/>
        <v>46143</v>
      </c>
      <c r="G113" s="3320">
        <f t="shared" si="7"/>
        <v>46174</v>
      </c>
      <c r="H113" s="3320">
        <f t="shared" si="7"/>
        <v>46204</v>
      </c>
      <c r="I113" s="3320">
        <f t="shared" si="7"/>
        <v>46235</v>
      </c>
      <c r="J113" s="3320">
        <f t="shared" si="7"/>
        <v>46266</v>
      </c>
      <c r="K113" s="3320">
        <f>EOMONTH(J113,0)+1</f>
        <v>46296</v>
      </c>
      <c r="L113" s="3320">
        <f>EOMONTH(K113,0)+1</f>
        <v>46327</v>
      </c>
      <c r="M113" s="3320">
        <f t="shared" ref="M113" si="8">EOMONTH(L113,0)+1</f>
        <v>46357</v>
      </c>
      <c r="N113" s="3320" t="s">
        <v>1215</v>
      </c>
    </row>
    <row r="114" spans="1:14" s="3294" customFormat="1" ht="15">
      <c r="A114" s="2281" t="s">
        <v>1213</v>
      </c>
      <c r="B114" s="2281">
        <f>DAY(EOMONTH(B113,0))</f>
        <v>31</v>
      </c>
      <c r="C114" s="2281">
        <f t="shared" ref="C114:M114" si="9">DAY(EOMONTH(C113,0))</f>
        <v>28</v>
      </c>
      <c r="D114" s="2281">
        <f t="shared" si="9"/>
        <v>31</v>
      </c>
      <c r="E114" s="2281">
        <f t="shared" si="9"/>
        <v>30</v>
      </c>
      <c r="F114" s="2281">
        <f t="shared" si="9"/>
        <v>31</v>
      </c>
      <c r="G114" s="2281">
        <f t="shared" si="9"/>
        <v>30</v>
      </c>
      <c r="H114" s="2281">
        <f t="shared" si="9"/>
        <v>31</v>
      </c>
      <c r="I114" s="2281">
        <f t="shared" si="9"/>
        <v>31</v>
      </c>
      <c r="J114" s="2281">
        <f t="shared" si="9"/>
        <v>30</v>
      </c>
      <c r="K114" s="2281">
        <f t="shared" si="9"/>
        <v>31</v>
      </c>
      <c r="L114" s="2281">
        <f t="shared" si="9"/>
        <v>30</v>
      </c>
      <c r="M114" s="2281">
        <f t="shared" si="9"/>
        <v>31</v>
      </c>
      <c r="N114" s="2281">
        <f t="shared" ref="N114:N116" si="10">SUM(B114:M114)</f>
        <v>365</v>
      </c>
    </row>
    <row r="115" spans="1:14" s="3294" customFormat="1" ht="15">
      <c r="A115" s="2281" t="s">
        <v>1214</v>
      </c>
      <c r="B115" s="2281">
        <f ca="1">NETWORKDAYS(B113,EOMONTH(B113,0),OFFSET($C$145,1,MATCH(YEAR(B113),$C$145:$H$145,0)-1,14,1))</f>
        <v>20</v>
      </c>
      <c r="C115" s="2281">
        <f t="shared" ref="C115:M115" ca="1" si="11">NETWORKDAYS(C113,EOMONTH(C113,0),OFFSET($C$145,1,MATCH(YEAR(C113),$C$145:$H$145,0)-1,14,1))</f>
        <v>20</v>
      </c>
      <c r="D115" s="2281">
        <f t="shared" ca="1" si="11"/>
        <v>22</v>
      </c>
      <c r="E115" s="2281">
        <f t="shared" ca="1" si="11"/>
        <v>20</v>
      </c>
      <c r="F115" s="2281">
        <f t="shared" ca="1" si="11"/>
        <v>20</v>
      </c>
      <c r="G115" s="2281">
        <f t="shared" ca="1" si="11"/>
        <v>22</v>
      </c>
      <c r="H115" s="2281">
        <f t="shared" ca="1" si="11"/>
        <v>23</v>
      </c>
      <c r="I115" s="2281">
        <f t="shared" ca="1" si="11"/>
        <v>21</v>
      </c>
      <c r="J115" s="2281">
        <f t="shared" ca="1" si="11"/>
        <v>22</v>
      </c>
      <c r="K115" s="2281">
        <f t="shared" ca="1" si="11"/>
        <v>21</v>
      </c>
      <c r="L115" s="2281">
        <f t="shared" ca="1" si="11"/>
        <v>20</v>
      </c>
      <c r="M115" s="2281">
        <f t="shared" ca="1" si="11"/>
        <v>20</v>
      </c>
      <c r="N115" s="2281">
        <f t="shared" ca="1" si="10"/>
        <v>251</v>
      </c>
    </row>
    <row r="116" spans="1:14" s="3294" customFormat="1" ht="15">
      <c r="A116" s="2281" t="s">
        <v>1216</v>
      </c>
      <c r="B116" s="2281">
        <f ca="1">B114-B115</f>
        <v>11</v>
      </c>
      <c r="C116" s="2281">
        <f t="shared" ref="C116:M116" ca="1" si="12">C114-C115</f>
        <v>8</v>
      </c>
      <c r="D116" s="2281">
        <f t="shared" ca="1" si="12"/>
        <v>9</v>
      </c>
      <c r="E116" s="2281">
        <f t="shared" ca="1" si="12"/>
        <v>10</v>
      </c>
      <c r="F116" s="2281">
        <f t="shared" ca="1" si="12"/>
        <v>11</v>
      </c>
      <c r="G116" s="2281">
        <f t="shared" ca="1" si="12"/>
        <v>8</v>
      </c>
      <c r="H116" s="2281">
        <f t="shared" ca="1" si="12"/>
        <v>8</v>
      </c>
      <c r="I116" s="2281">
        <f t="shared" ca="1" si="12"/>
        <v>10</v>
      </c>
      <c r="J116" s="2281">
        <f t="shared" ca="1" si="12"/>
        <v>8</v>
      </c>
      <c r="K116" s="2281">
        <f t="shared" ca="1" si="12"/>
        <v>10</v>
      </c>
      <c r="L116" s="2281">
        <f t="shared" ca="1" si="12"/>
        <v>10</v>
      </c>
      <c r="M116" s="2281">
        <f t="shared" ca="1" si="12"/>
        <v>11</v>
      </c>
      <c r="N116" s="2281">
        <f t="shared" ca="1" si="10"/>
        <v>114</v>
      </c>
    </row>
    <row r="117" spans="1:14" s="3294" customFormat="1" ht="15">
      <c r="A117" s="2281"/>
      <c r="B117" s="3293"/>
      <c r="C117" s="3293"/>
      <c r="D117" s="3293"/>
      <c r="E117" s="3293"/>
      <c r="F117" s="3293"/>
      <c r="G117" s="3293"/>
      <c r="H117" s="3293"/>
      <c r="I117" s="3293"/>
      <c r="J117" s="3293"/>
      <c r="K117" s="3293"/>
      <c r="L117" s="3293"/>
      <c r="M117" s="3293"/>
      <c r="N117" s="3293"/>
    </row>
    <row r="118" spans="1:14" s="3294" customFormat="1">
      <c r="A118" s="3321">
        <f>'Datos Básicos'!C18</f>
        <v>1</v>
      </c>
      <c r="B118" s="3320">
        <f>DATE(YEAR(B113)+1,MONTH(B113),1)</f>
        <v>46388</v>
      </c>
      <c r="C118" s="3320">
        <f>EOMONTH(B118,0)+1</f>
        <v>46419</v>
      </c>
      <c r="D118" s="3320">
        <f t="shared" ref="D118:J118" si="13">EOMONTH(C118,0)+1</f>
        <v>46447</v>
      </c>
      <c r="E118" s="3320">
        <f t="shared" si="13"/>
        <v>46478</v>
      </c>
      <c r="F118" s="3320">
        <f t="shared" si="13"/>
        <v>46508</v>
      </c>
      <c r="G118" s="3320">
        <f t="shared" si="13"/>
        <v>46539</v>
      </c>
      <c r="H118" s="3320">
        <f t="shared" si="13"/>
        <v>46569</v>
      </c>
      <c r="I118" s="3320">
        <f t="shared" si="13"/>
        <v>46600</v>
      </c>
      <c r="J118" s="3320">
        <f t="shared" si="13"/>
        <v>46631</v>
      </c>
      <c r="K118" s="3320">
        <f>EOMONTH(J118,0)+1</f>
        <v>46661</v>
      </c>
      <c r="L118" s="3320">
        <f>EOMONTH(K118,0)+1</f>
        <v>46692</v>
      </c>
      <c r="M118" s="3320">
        <f t="shared" ref="M118" si="14">EOMONTH(L118,0)+1</f>
        <v>46722</v>
      </c>
      <c r="N118" s="3320" t="s">
        <v>1215</v>
      </c>
    </row>
    <row r="119" spans="1:14" s="3294" customFormat="1" ht="15">
      <c r="A119" s="2281" t="s">
        <v>1213</v>
      </c>
      <c r="B119" s="2281">
        <f>DAY(EOMONTH(B118,0))</f>
        <v>31</v>
      </c>
      <c r="C119" s="2281">
        <f t="shared" ref="C119" si="15">DAY(EOMONTH(C118,0))</f>
        <v>28</v>
      </c>
      <c r="D119" s="2281">
        <f t="shared" ref="D119" si="16">DAY(EOMONTH(D118,0))</f>
        <v>31</v>
      </c>
      <c r="E119" s="2281">
        <f t="shared" ref="E119" si="17">DAY(EOMONTH(E118,0))</f>
        <v>30</v>
      </c>
      <c r="F119" s="2281">
        <f t="shared" ref="F119" si="18">DAY(EOMONTH(F118,0))</f>
        <v>31</v>
      </c>
      <c r="G119" s="2281">
        <f t="shared" ref="G119" si="19">DAY(EOMONTH(G118,0))</f>
        <v>30</v>
      </c>
      <c r="H119" s="2281">
        <f t="shared" ref="H119" si="20">DAY(EOMONTH(H118,0))</f>
        <v>31</v>
      </c>
      <c r="I119" s="2281">
        <f t="shared" ref="I119" si="21">DAY(EOMONTH(I118,0))</f>
        <v>31</v>
      </c>
      <c r="J119" s="2281">
        <f t="shared" ref="J119" si="22">DAY(EOMONTH(J118,0))</f>
        <v>30</v>
      </c>
      <c r="K119" s="2281">
        <f t="shared" ref="K119" si="23">DAY(EOMONTH(K118,0))</f>
        <v>31</v>
      </c>
      <c r="L119" s="2281">
        <f t="shared" ref="L119" si="24">DAY(EOMONTH(L118,0))</f>
        <v>30</v>
      </c>
      <c r="M119" s="2281">
        <f t="shared" ref="M119" si="25">DAY(EOMONTH(M118,0))</f>
        <v>31</v>
      </c>
      <c r="N119" s="2281">
        <f t="shared" ref="N119:N121" si="26">SUM(B119:M119)</f>
        <v>365</v>
      </c>
    </row>
    <row r="120" spans="1:14" s="3294" customFormat="1" ht="15">
      <c r="A120" s="2281" t="s">
        <v>1214</v>
      </c>
      <c r="B120" s="2281">
        <f ca="1">NETWORKDAYS(B118,EOMONTH(B118,0),OFFSET($C$145,1,MATCH(YEAR(B118),$C$145:$H$145,0)-1,14,1))</f>
        <v>19</v>
      </c>
      <c r="C120" s="2281">
        <f t="shared" ref="C120:M120" ca="1" si="27">NETWORKDAYS(C118,EOMONTH(C118,0),OFFSET($C$145,1,MATCH(YEAR(C118),$C$145:$H$145,0)-1,14,1))</f>
        <v>20</v>
      </c>
      <c r="D120" s="2281">
        <f t="shared" ca="1" si="27"/>
        <v>20</v>
      </c>
      <c r="E120" s="2281">
        <f t="shared" ca="1" si="27"/>
        <v>22</v>
      </c>
      <c r="F120" s="2281">
        <f t="shared" ca="1" si="27"/>
        <v>20</v>
      </c>
      <c r="G120" s="2281">
        <f t="shared" ca="1" si="27"/>
        <v>22</v>
      </c>
      <c r="H120" s="2281">
        <f t="shared" ca="1" si="27"/>
        <v>22</v>
      </c>
      <c r="I120" s="2281">
        <f t="shared" ca="1" si="27"/>
        <v>21</v>
      </c>
      <c r="J120" s="2281">
        <f t="shared" ca="1" si="27"/>
        <v>22</v>
      </c>
      <c r="K120" s="2281">
        <f t="shared" ca="1" si="27"/>
        <v>20</v>
      </c>
      <c r="L120" s="2281">
        <f t="shared" ca="1" si="27"/>
        <v>21</v>
      </c>
      <c r="M120" s="2281">
        <f t="shared" ca="1" si="27"/>
        <v>21</v>
      </c>
      <c r="N120" s="2281">
        <f t="shared" ca="1" si="26"/>
        <v>250</v>
      </c>
    </row>
    <row r="121" spans="1:14" s="3294" customFormat="1" ht="15">
      <c r="A121" s="2281" t="s">
        <v>1216</v>
      </c>
      <c r="B121" s="2281">
        <f t="shared" ref="B121" ca="1" si="28">B119-B120</f>
        <v>12</v>
      </c>
      <c r="C121" s="2281">
        <f t="shared" ref="C121" ca="1" si="29">C119-C120</f>
        <v>8</v>
      </c>
      <c r="D121" s="2281">
        <f t="shared" ref="D121" ca="1" si="30">D119-D120</f>
        <v>11</v>
      </c>
      <c r="E121" s="2281">
        <f t="shared" ref="E121" ca="1" si="31">E119-E120</f>
        <v>8</v>
      </c>
      <c r="F121" s="2281">
        <f t="shared" ref="F121" ca="1" si="32">F119-F120</f>
        <v>11</v>
      </c>
      <c r="G121" s="2281">
        <f t="shared" ref="G121" ca="1" si="33">G119-G120</f>
        <v>8</v>
      </c>
      <c r="H121" s="2281">
        <f t="shared" ref="H121" ca="1" si="34">H119-H120</f>
        <v>9</v>
      </c>
      <c r="I121" s="2281">
        <f t="shared" ref="I121" ca="1" si="35">I119-I120</f>
        <v>10</v>
      </c>
      <c r="J121" s="2281">
        <f t="shared" ref="J121" ca="1" si="36">J119-J120</f>
        <v>8</v>
      </c>
      <c r="K121" s="2281">
        <f t="shared" ref="K121" ca="1" si="37">K119-K120</f>
        <v>11</v>
      </c>
      <c r="L121" s="2281">
        <f t="shared" ref="L121" ca="1" si="38">L119-L120</f>
        <v>9</v>
      </c>
      <c r="M121" s="2281">
        <f t="shared" ref="M121" ca="1" si="39">M119-M120</f>
        <v>10</v>
      </c>
      <c r="N121" s="2281">
        <f t="shared" ca="1" si="26"/>
        <v>115</v>
      </c>
    </row>
    <row r="122" spans="1:14" s="3294" customFormat="1">
      <c r="A122" s="3313"/>
      <c r="B122" s="3293"/>
      <c r="C122" s="3293"/>
      <c r="D122" s="3293"/>
      <c r="E122" s="3293"/>
      <c r="F122" s="3293"/>
      <c r="G122" s="3293"/>
      <c r="H122" s="3293"/>
      <c r="I122" s="3293"/>
      <c r="J122" s="3293"/>
      <c r="K122" s="3293"/>
      <c r="L122" s="3293"/>
      <c r="M122" s="3293"/>
      <c r="N122" s="3293"/>
    </row>
    <row r="123" spans="1:14" s="3294" customFormat="1">
      <c r="A123" s="3321">
        <f>'Datos Básicos'!D18</f>
        <v>2</v>
      </c>
      <c r="B123" s="3320">
        <f>DATE(YEAR(B118)+1,MONTH(B118),1)</f>
        <v>46753</v>
      </c>
      <c r="C123" s="3320">
        <f>EOMONTH(B123,0)+1</f>
        <v>46784</v>
      </c>
      <c r="D123" s="3320">
        <f t="shared" ref="D123:J123" si="40">EOMONTH(C123,0)+1</f>
        <v>46813</v>
      </c>
      <c r="E123" s="3320">
        <f t="shared" si="40"/>
        <v>46844</v>
      </c>
      <c r="F123" s="3320">
        <f t="shared" si="40"/>
        <v>46874</v>
      </c>
      <c r="G123" s="3320">
        <f t="shared" si="40"/>
        <v>46905</v>
      </c>
      <c r="H123" s="3320">
        <f t="shared" si="40"/>
        <v>46935</v>
      </c>
      <c r="I123" s="3320">
        <f t="shared" si="40"/>
        <v>46966</v>
      </c>
      <c r="J123" s="3320">
        <f t="shared" si="40"/>
        <v>46997</v>
      </c>
      <c r="K123" s="3320">
        <f>EOMONTH(J123,0)+1</f>
        <v>47027</v>
      </c>
      <c r="L123" s="3320">
        <f>EOMONTH(K123,0)+1</f>
        <v>47058</v>
      </c>
      <c r="M123" s="3320">
        <f t="shared" ref="M123" si="41">EOMONTH(L123,0)+1</f>
        <v>47088</v>
      </c>
      <c r="N123" s="3320" t="s">
        <v>1215</v>
      </c>
    </row>
    <row r="124" spans="1:14" s="3294" customFormat="1" ht="15">
      <c r="A124" s="2281" t="s">
        <v>1213</v>
      </c>
      <c r="B124" s="2281">
        <f>DAY(EOMONTH(B123,0))</f>
        <v>31</v>
      </c>
      <c r="C124" s="2281">
        <f t="shared" ref="C124" si="42">DAY(EOMONTH(C123,0))</f>
        <v>29</v>
      </c>
      <c r="D124" s="2281">
        <f t="shared" ref="D124" si="43">DAY(EOMONTH(D123,0))</f>
        <v>31</v>
      </c>
      <c r="E124" s="2281">
        <f t="shared" ref="E124" si="44">DAY(EOMONTH(E123,0))</f>
        <v>30</v>
      </c>
      <c r="F124" s="2281">
        <f t="shared" ref="F124" si="45">DAY(EOMONTH(F123,0))</f>
        <v>31</v>
      </c>
      <c r="G124" s="2281">
        <f t="shared" ref="G124" si="46">DAY(EOMONTH(G123,0))</f>
        <v>30</v>
      </c>
      <c r="H124" s="2281">
        <f t="shared" ref="H124" si="47">DAY(EOMONTH(H123,0))</f>
        <v>31</v>
      </c>
      <c r="I124" s="2281">
        <f t="shared" ref="I124" si="48">DAY(EOMONTH(I123,0))</f>
        <v>31</v>
      </c>
      <c r="J124" s="2281">
        <f t="shared" ref="J124" si="49">DAY(EOMONTH(J123,0))</f>
        <v>30</v>
      </c>
      <c r="K124" s="2281">
        <f t="shared" ref="K124" si="50">DAY(EOMONTH(K123,0))</f>
        <v>31</v>
      </c>
      <c r="L124" s="2281">
        <f t="shared" ref="L124" si="51">DAY(EOMONTH(L123,0))</f>
        <v>30</v>
      </c>
      <c r="M124" s="2281">
        <f t="shared" ref="M124" si="52">DAY(EOMONTH(M123,0))</f>
        <v>31</v>
      </c>
      <c r="N124" s="2281">
        <f t="shared" ref="N124:N126" si="53">SUM(B124:M124)</f>
        <v>366</v>
      </c>
    </row>
    <row r="125" spans="1:14" s="3294" customFormat="1" ht="15">
      <c r="A125" s="2281" t="s">
        <v>1214</v>
      </c>
      <c r="B125" s="2281">
        <f ca="1">NETWORKDAYS(B123,EOMONTH(B123,0),OFFSET($C$145,1,MATCH(YEAR(B123),$C$145:$H$145,0)-1,14,1))</f>
        <v>20</v>
      </c>
      <c r="C125" s="2281">
        <f t="shared" ref="C125:M125" ca="1" si="54">NETWORKDAYS(C123,EOMONTH(C123,0),OFFSET($C$145,1,MATCH(YEAR(C123),$C$145:$H$145,0)-1,14,1))</f>
        <v>20</v>
      </c>
      <c r="D125" s="2281">
        <f t="shared" ca="1" si="54"/>
        <v>23</v>
      </c>
      <c r="E125" s="2281">
        <f t="shared" ca="1" si="54"/>
        <v>18</v>
      </c>
      <c r="F125" s="2281">
        <f t="shared" ca="1" si="54"/>
        <v>21</v>
      </c>
      <c r="G125" s="2281">
        <f t="shared" ca="1" si="54"/>
        <v>22</v>
      </c>
      <c r="H125" s="2281">
        <f t="shared" ca="1" si="54"/>
        <v>21</v>
      </c>
      <c r="I125" s="2281">
        <f t="shared" ca="1" si="54"/>
        <v>22</v>
      </c>
      <c r="J125" s="2281">
        <f t="shared" ca="1" si="54"/>
        <v>21</v>
      </c>
      <c r="K125" s="2281">
        <f t="shared" ca="1" si="54"/>
        <v>21</v>
      </c>
      <c r="L125" s="2281">
        <f t="shared" ca="1" si="54"/>
        <v>21</v>
      </c>
      <c r="M125" s="2281">
        <f t="shared" ca="1" si="54"/>
        <v>18</v>
      </c>
      <c r="N125" s="2281">
        <f t="shared" ca="1" si="53"/>
        <v>248</v>
      </c>
    </row>
    <row r="126" spans="1:14" s="3294" customFormat="1" ht="15">
      <c r="A126" s="2281" t="s">
        <v>1216</v>
      </c>
      <c r="B126" s="2281">
        <f t="shared" ref="B126" ca="1" si="55">B124-B125</f>
        <v>11</v>
      </c>
      <c r="C126" s="2281">
        <f t="shared" ref="C126" ca="1" si="56">C124-C125</f>
        <v>9</v>
      </c>
      <c r="D126" s="2281">
        <f t="shared" ref="D126" ca="1" si="57">D124-D125</f>
        <v>8</v>
      </c>
      <c r="E126" s="2281">
        <f t="shared" ref="E126" ca="1" si="58">E124-E125</f>
        <v>12</v>
      </c>
      <c r="F126" s="2281">
        <f t="shared" ref="F126" ca="1" si="59">F124-F125</f>
        <v>10</v>
      </c>
      <c r="G126" s="2281">
        <f t="shared" ref="G126" ca="1" si="60">G124-G125</f>
        <v>8</v>
      </c>
      <c r="H126" s="2281">
        <f t="shared" ref="H126" ca="1" si="61">H124-H125</f>
        <v>10</v>
      </c>
      <c r="I126" s="2281">
        <f t="shared" ref="I126" ca="1" si="62">I124-I125</f>
        <v>9</v>
      </c>
      <c r="J126" s="2281">
        <f t="shared" ref="J126" ca="1" si="63">J124-J125</f>
        <v>9</v>
      </c>
      <c r="K126" s="2281">
        <f t="shared" ref="K126" ca="1" si="64">K124-K125</f>
        <v>10</v>
      </c>
      <c r="L126" s="2281">
        <f t="shared" ref="L126" ca="1" si="65">L124-L125</f>
        <v>9</v>
      </c>
      <c r="M126" s="2281">
        <f t="shared" ref="M126" ca="1" si="66">M124-M125</f>
        <v>13</v>
      </c>
      <c r="N126" s="2281">
        <f t="shared" ca="1" si="53"/>
        <v>118</v>
      </c>
    </row>
    <row r="127" spans="1:14" s="3294" customFormat="1">
      <c r="A127" s="3313"/>
      <c r="B127" s="3293"/>
      <c r="C127" s="3293"/>
      <c r="D127" s="3293"/>
      <c r="E127" s="3293"/>
      <c r="F127" s="3293"/>
      <c r="G127" s="3293"/>
      <c r="H127" s="3293"/>
      <c r="I127" s="3293"/>
      <c r="J127" s="3293"/>
      <c r="K127" s="3293"/>
      <c r="L127" s="3293"/>
      <c r="M127" s="3293"/>
      <c r="N127" s="3293"/>
    </row>
    <row r="128" spans="1:14" s="3294" customFormat="1">
      <c r="A128" s="3321">
        <f>'Datos Básicos'!E18</f>
        <v>3</v>
      </c>
      <c r="B128" s="3320">
        <f>DATE(YEAR(B123)+1,MONTH(B123),1)</f>
        <v>47119</v>
      </c>
      <c r="C128" s="3320">
        <f>EOMONTH(B128,0)+1</f>
        <v>47150</v>
      </c>
      <c r="D128" s="3320">
        <f t="shared" ref="D128:J128" si="67">EOMONTH(C128,0)+1</f>
        <v>47178</v>
      </c>
      <c r="E128" s="3320">
        <f t="shared" si="67"/>
        <v>47209</v>
      </c>
      <c r="F128" s="3320">
        <f t="shared" si="67"/>
        <v>47239</v>
      </c>
      <c r="G128" s="3320">
        <f t="shared" si="67"/>
        <v>47270</v>
      </c>
      <c r="H128" s="3320">
        <f t="shared" si="67"/>
        <v>47300</v>
      </c>
      <c r="I128" s="3320">
        <f t="shared" si="67"/>
        <v>47331</v>
      </c>
      <c r="J128" s="3320">
        <f t="shared" si="67"/>
        <v>47362</v>
      </c>
      <c r="K128" s="3320">
        <f>EOMONTH(J128,0)+1</f>
        <v>47392</v>
      </c>
      <c r="L128" s="3320">
        <f>EOMONTH(K128,0)+1</f>
        <v>47423</v>
      </c>
      <c r="M128" s="3320">
        <f t="shared" ref="M128" si="68">EOMONTH(L128,0)+1</f>
        <v>47453</v>
      </c>
      <c r="N128" s="3320" t="s">
        <v>1215</v>
      </c>
    </row>
    <row r="129" spans="1:14" s="3294" customFormat="1" ht="15">
      <c r="A129" s="2281" t="s">
        <v>1213</v>
      </c>
      <c r="B129" s="2281">
        <f>DAY(EOMONTH(B128,0))</f>
        <v>31</v>
      </c>
      <c r="C129" s="2281">
        <f t="shared" ref="C129" si="69">DAY(EOMONTH(C128,0))</f>
        <v>28</v>
      </c>
      <c r="D129" s="2281">
        <f t="shared" ref="D129" si="70">DAY(EOMONTH(D128,0))</f>
        <v>31</v>
      </c>
      <c r="E129" s="2281">
        <f t="shared" ref="E129" si="71">DAY(EOMONTH(E128,0))</f>
        <v>30</v>
      </c>
      <c r="F129" s="2281">
        <f t="shared" ref="F129" si="72">DAY(EOMONTH(F128,0))</f>
        <v>31</v>
      </c>
      <c r="G129" s="2281">
        <f t="shared" ref="G129" si="73">DAY(EOMONTH(G128,0))</f>
        <v>30</v>
      </c>
      <c r="H129" s="2281">
        <f t="shared" ref="H129" si="74">DAY(EOMONTH(H128,0))</f>
        <v>31</v>
      </c>
      <c r="I129" s="2281">
        <f t="shared" ref="I129" si="75">DAY(EOMONTH(I128,0))</f>
        <v>31</v>
      </c>
      <c r="J129" s="2281">
        <f t="shared" ref="J129" si="76">DAY(EOMONTH(J128,0))</f>
        <v>30</v>
      </c>
      <c r="K129" s="2281">
        <f t="shared" ref="K129" si="77">DAY(EOMONTH(K128,0))</f>
        <v>31</v>
      </c>
      <c r="L129" s="2281">
        <f t="shared" ref="L129" si="78">DAY(EOMONTH(L128,0))</f>
        <v>30</v>
      </c>
      <c r="M129" s="2281">
        <f t="shared" ref="M129" si="79">DAY(EOMONTH(M128,0))</f>
        <v>31</v>
      </c>
      <c r="N129" s="2281">
        <f t="shared" ref="N129:N131" si="80">SUM(B129:M129)</f>
        <v>365</v>
      </c>
    </row>
    <row r="130" spans="1:14" s="3294" customFormat="1" ht="15">
      <c r="A130" s="2281" t="s">
        <v>1214</v>
      </c>
      <c r="B130" s="2281">
        <f ca="1">NETWORKDAYS(B128,EOMONTH(B128,0),OFFSET($C$145,1,MATCH(YEAR(B128),$C$145:$H$145,0)-1,14,1))</f>
        <v>22</v>
      </c>
      <c r="C130" s="2281">
        <f t="shared" ref="C130:M130" ca="1" si="81">NETWORKDAYS(C128,EOMONTH(C128,0),OFFSET($C$145,1,MATCH(YEAR(C128),$C$145:$H$145,0)-1,14,1))</f>
        <v>19</v>
      </c>
      <c r="D130" s="2281">
        <f t="shared" ca="1" si="81"/>
        <v>20</v>
      </c>
      <c r="E130" s="2281">
        <f t="shared" ca="1" si="81"/>
        <v>21</v>
      </c>
      <c r="F130" s="2281">
        <f t="shared" ca="1" si="81"/>
        <v>21</v>
      </c>
      <c r="G130" s="2281">
        <f t="shared" ca="1" si="81"/>
        <v>21</v>
      </c>
      <c r="H130" s="2281">
        <f t="shared" ca="1" si="81"/>
        <v>22</v>
      </c>
      <c r="I130" s="2281">
        <f t="shared" ca="1" si="81"/>
        <v>22</v>
      </c>
      <c r="J130" s="2281">
        <f t="shared" ca="1" si="81"/>
        <v>20</v>
      </c>
      <c r="K130" s="2281">
        <f t="shared" ca="1" si="81"/>
        <v>22</v>
      </c>
      <c r="L130" s="2281">
        <f t="shared" ca="1" si="81"/>
        <v>21</v>
      </c>
      <c r="M130" s="2281">
        <f t="shared" ca="1" si="81"/>
        <v>19</v>
      </c>
      <c r="N130" s="2281">
        <f t="shared" ca="1" si="80"/>
        <v>250</v>
      </c>
    </row>
    <row r="131" spans="1:14" s="3294" customFormat="1" ht="15">
      <c r="A131" s="2281" t="s">
        <v>1216</v>
      </c>
      <c r="B131" s="2281">
        <f t="shared" ref="B131" ca="1" si="82">B129-B130</f>
        <v>9</v>
      </c>
      <c r="C131" s="2281">
        <f t="shared" ref="C131" ca="1" si="83">C129-C130</f>
        <v>9</v>
      </c>
      <c r="D131" s="2281">
        <f t="shared" ref="D131" ca="1" si="84">D129-D130</f>
        <v>11</v>
      </c>
      <c r="E131" s="2281">
        <f t="shared" ref="E131" ca="1" si="85">E129-E130</f>
        <v>9</v>
      </c>
      <c r="F131" s="2281">
        <f t="shared" ref="F131" ca="1" si="86">F129-F130</f>
        <v>10</v>
      </c>
      <c r="G131" s="2281">
        <f t="shared" ref="G131" ca="1" si="87">G129-G130</f>
        <v>9</v>
      </c>
      <c r="H131" s="2281">
        <f t="shared" ref="H131" ca="1" si="88">H129-H130</f>
        <v>9</v>
      </c>
      <c r="I131" s="2281">
        <f t="shared" ref="I131" ca="1" si="89">I129-I130</f>
        <v>9</v>
      </c>
      <c r="J131" s="2281">
        <f t="shared" ref="J131" ca="1" si="90">J129-J130</f>
        <v>10</v>
      </c>
      <c r="K131" s="2281">
        <f t="shared" ref="K131" ca="1" si="91">K129-K130</f>
        <v>9</v>
      </c>
      <c r="L131" s="2281">
        <f t="shared" ref="L131" ca="1" si="92">L129-L130</f>
        <v>9</v>
      </c>
      <c r="M131" s="2281">
        <f t="shared" ref="M131" ca="1" si="93">M129-M130</f>
        <v>12</v>
      </c>
      <c r="N131" s="2281">
        <f t="shared" ca="1" si="80"/>
        <v>115</v>
      </c>
    </row>
    <row r="132" spans="1:14" s="3294" customFormat="1">
      <c r="A132" s="3313"/>
      <c r="B132" s="3293"/>
      <c r="C132" s="3293"/>
      <c r="D132" s="3293"/>
      <c r="E132" s="3293"/>
      <c r="F132" s="3293"/>
      <c r="G132" s="3293"/>
      <c r="H132" s="3293"/>
      <c r="I132" s="3293"/>
      <c r="J132" s="3293"/>
      <c r="K132" s="3293"/>
      <c r="L132" s="3293"/>
      <c r="M132" s="3293"/>
      <c r="N132" s="3293"/>
    </row>
    <row r="133" spans="1:14" s="3294" customFormat="1">
      <c r="A133" s="3321">
        <f>'Datos Básicos'!F18</f>
        <v>4</v>
      </c>
      <c r="B133" s="3320">
        <f>DATE(YEAR(B128)+1,MONTH(B128),1)</f>
        <v>47484</v>
      </c>
      <c r="C133" s="3320">
        <f>EOMONTH(B133,0)+1</f>
        <v>47515</v>
      </c>
      <c r="D133" s="3320">
        <f t="shared" ref="D133:J133" si="94">EOMONTH(C133,0)+1</f>
        <v>47543</v>
      </c>
      <c r="E133" s="3320">
        <f t="shared" si="94"/>
        <v>47574</v>
      </c>
      <c r="F133" s="3320">
        <f t="shared" si="94"/>
        <v>47604</v>
      </c>
      <c r="G133" s="3320">
        <f t="shared" si="94"/>
        <v>47635</v>
      </c>
      <c r="H133" s="3320">
        <f t="shared" si="94"/>
        <v>47665</v>
      </c>
      <c r="I133" s="3320">
        <f t="shared" si="94"/>
        <v>47696</v>
      </c>
      <c r="J133" s="3320">
        <f t="shared" si="94"/>
        <v>47727</v>
      </c>
      <c r="K133" s="3320">
        <f>EOMONTH(J133,0)+1</f>
        <v>47757</v>
      </c>
      <c r="L133" s="3320">
        <f>EOMONTH(K133,0)+1</f>
        <v>47788</v>
      </c>
      <c r="M133" s="3320">
        <f t="shared" ref="M133" si="95">EOMONTH(L133,0)+1</f>
        <v>47818</v>
      </c>
      <c r="N133" s="3320" t="s">
        <v>1215</v>
      </c>
    </row>
    <row r="134" spans="1:14" s="3294" customFormat="1" ht="15">
      <c r="A134" s="2281" t="s">
        <v>1213</v>
      </c>
      <c r="B134" s="2281">
        <f>DAY(EOMONTH(B133,0))</f>
        <v>31</v>
      </c>
      <c r="C134" s="2281">
        <f t="shared" ref="C134" si="96">DAY(EOMONTH(C133,0))</f>
        <v>28</v>
      </c>
      <c r="D134" s="2281">
        <f t="shared" ref="D134" si="97">DAY(EOMONTH(D133,0))</f>
        <v>31</v>
      </c>
      <c r="E134" s="2281">
        <f t="shared" ref="E134" si="98">DAY(EOMONTH(E133,0))</f>
        <v>30</v>
      </c>
      <c r="F134" s="2281">
        <f t="shared" ref="F134" si="99">DAY(EOMONTH(F133,0))</f>
        <v>31</v>
      </c>
      <c r="G134" s="2281">
        <f t="shared" ref="G134" si="100">DAY(EOMONTH(G133,0))</f>
        <v>30</v>
      </c>
      <c r="H134" s="2281">
        <f t="shared" ref="H134" si="101">DAY(EOMONTH(H133,0))</f>
        <v>31</v>
      </c>
      <c r="I134" s="2281">
        <f t="shared" ref="I134" si="102">DAY(EOMONTH(I133,0))</f>
        <v>31</v>
      </c>
      <c r="J134" s="2281">
        <f t="shared" ref="J134" si="103">DAY(EOMONTH(J133,0))</f>
        <v>30</v>
      </c>
      <c r="K134" s="2281">
        <f t="shared" ref="K134" si="104">DAY(EOMONTH(K133,0))</f>
        <v>31</v>
      </c>
      <c r="L134" s="2281">
        <f t="shared" ref="L134" si="105">DAY(EOMONTH(L133,0))</f>
        <v>30</v>
      </c>
      <c r="M134" s="2281">
        <f t="shared" ref="M134" si="106">DAY(EOMONTH(M133,0))</f>
        <v>31</v>
      </c>
      <c r="N134" s="2281">
        <f t="shared" ref="N134:N136" si="107">SUM(B134:M134)</f>
        <v>365</v>
      </c>
    </row>
    <row r="135" spans="1:14" s="3294" customFormat="1" ht="15">
      <c r="A135" s="2281" t="s">
        <v>1214</v>
      </c>
      <c r="B135" s="2281">
        <f ca="1">NETWORKDAYS(B133,EOMONTH(B133,0),OFFSET($C$145,1,MATCH(YEAR(B133),$C$145:$H$145,0)-1,14,1))</f>
        <v>21</v>
      </c>
      <c r="C135" s="2281">
        <f t="shared" ref="C135:M135" ca="1" si="108">NETWORKDAYS(C133,EOMONTH(C133,0),OFFSET($C$145,1,MATCH(YEAR(C133),$C$145:$H$145,0)-1,14,1))</f>
        <v>19</v>
      </c>
      <c r="D135" s="2281">
        <f t="shared" ca="1" si="108"/>
        <v>21</v>
      </c>
      <c r="E135" s="2281">
        <f t="shared" ca="1" si="108"/>
        <v>20</v>
      </c>
      <c r="F135" s="2281">
        <f t="shared" ca="1" si="108"/>
        <v>21</v>
      </c>
      <c r="G135" s="2281">
        <f t="shared" ca="1" si="108"/>
        <v>20</v>
      </c>
      <c r="H135" s="2281">
        <f t="shared" ca="1" si="108"/>
        <v>23</v>
      </c>
      <c r="I135" s="2281">
        <f t="shared" ca="1" si="108"/>
        <v>21</v>
      </c>
      <c r="J135" s="2281">
        <f t="shared" ca="1" si="108"/>
        <v>21</v>
      </c>
      <c r="K135" s="2281">
        <f t="shared" ca="1" si="108"/>
        <v>23</v>
      </c>
      <c r="L135" s="2281">
        <f t="shared" ca="1" si="108"/>
        <v>20</v>
      </c>
      <c r="M135" s="2281">
        <f t="shared" ca="1" si="108"/>
        <v>19</v>
      </c>
      <c r="N135" s="2281">
        <f t="shared" ca="1" si="107"/>
        <v>249</v>
      </c>
    </row>
    <row r="136" spans="1:14" s="3294" customFormat="1" ht="15">
      <c r="A136" s="2281" t="s">
        <v>1216</v>
      </c>
      <c r="B136" s="2281">
        <f t="shared" ref="B136" ca="1" si="109">B134-B135</f>
        <v>10</v>
      </c>
      <c r="C136" s="2281">
        <f t="shared" ref="C136" ca="1" si="110">C134-C135</f>
        <v>9</v>
      </c>
      <c r="D136" s="2281">
        <f t="shared" ref="D136" ca="1" si="111">D134-D135</f>
        <v>10</v>
      </c>
      <c r="E136" s="2281">
        <f t="shared" ref="E136" ca="1" si="112">E134-E135</f>
        <v>10</v>
      </c>
      <c r="F136" s="2281">
        <f t="shared" ref="F136" ca="1" si="113">F134-F135</f>
        <v>10</v>
      </c>
      <c r="G136" s="2281">
        <f t="shared" ref="G136" ca="1" si="114">G134-G135</f>
        <v>10</v>
      </c>
      <c r="H136" s="2281">
        <f t="shared" ref="H136" ca="1" si="115">H134-H135</f>
        <v>8</v>
      </c>
      <c r="I136" s="2281">
        <f t="shared" ref="I136" ca="1" si="116">I134-I135</f>
        <v>10</v>
      </c>
      <c r="J136" s="2281">
        <f t="shared" ref="J136" ca="1" si="117">J134-J135</f>
        <v>9</v>
      </c>
      <c r="K136" s="2281">
        <f t="shared" ref="K136" ca="1" si="118">K134-K135</f>
        <v>8</v>
      </c>
      <c r="L136" s="2281">
        <f t="shared" ref="L136" ca="1" si="119">L134-L135</f>
        <v>10</v>
      </c>
      <c r="M136" s="2281">
        <f t="shared" ref="M136" ca="1" si="120">M134-M135</f>
        <v>12</v>
      </c>
      <c r="N136" s="2281">
        <f t="shared" ca="1" si="107"/>
        <v>116</v>
      </c>
    </row>
    <row r="137" spans="1:14" s="3294" customFormat="1">
      <c r="A137" s="3313"/>
      <c r="B137" s="3293"/>
      <c r="C137" s="3293"/>
      <c r="D137" s="3293"/>
      <c r="E137" s="3293"/>
      <c r="F137" s="3293"/>
      <c r="G137" s="3293"/>
      <c r="H137" s="3293"/>
      <c r="I137" s="3293"/>
      <c r="J137" s="3293"/>
      <c r="K137" s="3293"/>
      <c r="L137" s="3293"/>
      <c r="M137" s="3293"/>
      <c r="N137" s="3293"/>
    </row>
    <row r="138" spans="1:14" s="3294" customFormat="1">
      <c r="A138" s="3321">
        <f>'Datos Básicos'!F18+1</f>
        <v>5</v>
      </c>
      <c r="B138" s="3320">
        <f>DATE(YEAR(B133)+1,MONTH(B133),1)</f>
        <v>47849</v>
      </c>
      <c r="C138" s="3320">
        <f>EOMONTH(B138,0)+1</f>
        <v>47880</v>
      </c>
      <c r="D138" s="3320">
        <f t="shared" ref="D138:J138" si="121">EOMONTH(C138,0)+1</f>
        <v>47908</v>
      </c>
      <c r="E138" s="3320">
        <f t="shared" si="121"/>
        <v>47939</v>
      </c>
      <c r="F138" s="3320">
        <f t="shared" si="121"/>
        <v>47969</v>
      </c>
      <c r="G138" s="3320">
        <f t="shared" si="121"/>
        <v>48000</v>
      </c>
      <c r="H138" s="3320">
        <f t="shared" si="121"/>
        <v>48030</v>
      </c>
      <c r="I138" s="3320">
        <f t="shared" si="121"/>
        <v>48061</v>
      </c>
      <c r="J138" s="3320">
        <f t="shared" si="121"/>
        <v>48092</v>
      </c>
      <c r="K138" s="3320">
        <f>EOMONTH(J138,0)+1</f>
        <v>48122</v>
      </c>
      <c r="L138" s="3320">
        <f>EOMONTH(K138,0)+1</f>
        <v>48153</v>
      </c>
      <c r="M138" s="3320">
        <f t="shared" ref="M138" si="122">EOMONTH(L138,0)+1</f>
        <v>48183</v>
      </c>
      <c r="N138" s="3320" t="s">
        <v>1215</v>
      </c>
    </row>
    <row r="139" spans="1:14" s="3294" customFormat="1" ht="15">
      <c r="A139" s="2281" t="s">
        <v>1213</v>
      </c>
      <c r="B139" s="2281">
        <f>DAY(EOMONTH(B138,0))</f>
        <v>31</v>
      </c>
      <c r="C139" s="2281">
        <f t="shared" ref="C139" si="123">DAY(EOMONTH(C138,0))</f>
        <v>28</v>
      </c>
      <c r="D139" s="2281">
        <f t="shared" ref="D139" si="124">DAY(EOMONTH(D138,0))</f>
        <v>31</v>
      </c>
      <c r="E139" s="2281">
        <f t="shared" ref="E139" si="125">DAY(EOMONTH(E138,0))</f>
        <v>30</v>
      </c>
      <c r="F139" s="2281">
        <f t="shared" ref="F139" si="126">DAY(EOMONTH(F138,0))</f>
        <v>31</v>
      </c>
      <c r="G139" s="2281">
        <f t="shared" ref="G139" si="127">DAY(EOMONTH(G138,0))</f>
        <v>30</v>
      </c>
      <c r="H139" s="2281">
        <f t="shared" ref="H139" si="128">DAY(EOMONTH(H138,0))</f>
        <v>31</v>
      </c>
      <c r="I139" s="2281">
        <f t="shared" ref="I139" si="129">DAY(EOMONTH(I138,0))</f>
        <v>31</v>
      </c>
      <c r="J139" s="2281">
        <f t="shared" ref="J139" si="130">DAY(EOMONTH(J138,0))</f>
        <v>30</v>
      </c>
      <c r="K139" s="2281">
        <f t="shared" ref="K139" si="131">DAY(EOMONTH(K138,0))</f>
        <v>31</v>
      </c>
      <c r="L139" s="2281">
        <f t="shared" ref="L139" si="132">DAY(EOMONTH(L138,0))</f>
        <v>30</v>
      </c>
      <c r="M139" s="2281">
        <f t="shared" ref="M139" si="133">DAY(EOMONTH(M138,0))</f>
        <v>31</v>
      </c>
      <c r="N139" s="2281">
        <f t="shared" ref="N139:N141" si="134">SUM(B139:M139)</f>
        <v>365</v>
      </c>
    </row>
    <row r="140" spans="1:14" s="3294" customFormat="1" ht="15">
      <c r="A140" s="2281" t="s">
        <v>1214</v>
      </c>
      <c r="B140" s="2281">
        <f ca="1">NETWORKDAYS(B138,EOMONTH(B138,0),IFERROR(OFFSET($C$145,1,MATCH(YEAR(B138),$C$145:$H$145,0)-1,14,1),))</f>
        <v>23</v>
      </c>
      <c r="C140" s="2281">
        <f t="shared" ref="C140:M140" ca="1" si="135">NETWORKDAYS(C138,EOMONTH(C138,0),IFERROR(OFFSET($C$145,1,MATCH(YEAR(C138),$C$145:$H$145,0)-1,14,1),))</f>
        <v>20</v>
      </c>
      <c r="D140" s="2281">
        <f t="shared" ca="1" si="135"/>
        <v>21</v>
      </c>
      <c r="E140" s="2281">
        <f t="shared" ca="1" si="135"/>
        <v>22</v>
      </c>
      <c r="F140" s="2281">
        <f t="shared" ca="1" si="135"/>
        <v>22</v>
      </c>
      <c r="G140" s="2281">
        <f t="shared" ca="1" si="135"/>
        <v>21</v>
      </c>
      <c r="H140" s="2281">
        <f t="shared" ca="1" si="135"/>
        <v>23</v>
      </c>
      <c r="I140" s="2281">
        <f t="shared" ca="1" si="135"/>
        <v>21</v>
      </c>
      <c r="J140" s="2281">
        <f t="shared" ca="1" si="135"/>
        <v>22</v>
      </c>
      <c r="K140" s="2281">
        <f t="shared" ca="1" si="135"/>
        <v>23</v>
      </c>
      <c r="L140" s="2281">
        <f t="shared" ca="1" si="135"/>
        <v>20</v>
      </c>
      <c r="M140" s="2281">
        <f t="shared" ca="1" si="135"/>
        <v>23</v>
      </c>
      <c r="N140" s="2281">
        <f t="shared" ca="1" si="134"/>
        <v>261</v>
      </c>
    </row>
    <row r="141" spans="1:14" s="3294" customFormat="1" ht="15">
      <c r="A141" s="2281" t="s">
        <v>1216</v>
      </c>
      <c r="B141" s="2281">
        <f t="shared" ref="B141" ca="1" si="136">B139-B140</f>
        <v>8</v>
      </c>
      <c r="C141" s="2281">
        <f t="shared" ref="C141" ca="1" si="137">C139-C140</f>
        <v>8</v>
      </c>
      <c r="D141" s="2281">
        <f t="shared" ref="D141" ca="1" si="138">D139-D140</f>
        <v>10</v>
      </c>
      <c r="E141" s="2281">
        <f t="shared" ref="E141" ca="1" si="139">E139-E140</f>
        <v>8</v>
      </c>
      <c r="F141" s="2281">
        <f t="shared" ref="F141" ca="1" si="140">F139-F140</f>
        <v>9</v>
      </c>
      <c r="G141" s="2281">
        <f t="shared" ref="G141" ca="1" si="141">G139-G140</f>
        <v>9</v>
      </c>
      <c r="H141" s="2281">
        <f t="shared" ref="H141" ca="1" si="142">H139-H140</f>
        <v>8</v>
      </c>
      <c r="I141" s="2281">
        <f t="shared" ref="I141" ca="1" si="143">I139-I140</f>
        <v>10</v>
      </c>
      <c r="J141" s="2281">
        <f t="shared" ref="J141" ca="1" si="144">J139-J140</f>
        <v>8</v>
      </c>
      <c r="K141" s="2281">
        <f t="shared" ref="K141" ca="1" si="145">K139-K140</f>
        <v>8</v>
      </c>
      <c r="L141" s="2281">
        <f t="shared" ref="L141" ca="1" si="146">L139-L140</f>
        <v>10</v>
      </c>
      <c r="M141" s="2281">
        <f t="shared" ref="M141" ca="1" si="147">M139-M140</f>
        <v>8</v>
      </c>
      <c r="N141" s="2281">
        <f t="shared" ca="1" si="134"/>
        <v>104</v>
      </c>
    </row>
    <row r="142" spans="1:14" s="3294" customFormat="1">
      <c r="A142" s="3313"/>
      <c r="B142" s="3293"/>
      <c r="C142" s="3293"/>
      <c r="D142" s="3293"/>
      <c r="E142" s="3293"/>
      <c r="F142" s="3293"/>
      <c r="G142" s="3293"/>
      <c r="H142" s="3293"/>
      <c r="I142" s="3293"/>
      <c r="J142" s="3293"/>
      <c r="K142" s="3293"/>
      <c r="L142" s="3293"/>
      <c r="M142" s="3293"/>
      <c r="N142" s="3293"/>
    </row>
    <row r="143" spans="1:14" s="3294" customFormat="1">
      <c r="A143" s="3313"/>
      <c r="B143" s="3293"/>
      <c r="C143" s="3293"/>
      <c r="D143" s="3293"/>
      <c r="E143" s="3293"/>
      <c r="F143" s="3293"/>
      <c r="G143" s="3293"/>
      <c r="H143" s="3293"/>
      <c r="I143" s="3293"/>
      <c r="J143" s="3293"/>
      <c r="K143" s="3293"/>
      <c r="L143" s="3293"/>
      <c r="M143" s="3293"/>
      <c r="N143" s="3293"/>
    </row>
    <row r="144" spans="1:14" s="3294" customFormat="1">
      <c r="A144" s="3313"/>
      <c r="B144" s="3293"/>
      <c r="C144" s="3322" t="s">
        <v>1233</v>
      </c>
      <c r="D144" s="3322" t="s">
        <v>1233</v>
      </c>
      <c r="E144" s="3322" t="s">
        <v>1233</v>
      </c>
      <c r="F144" s="3322" t="s">
        <v>1233</v>
      </c>
      <c r="G144" s="3322" t="s">
        <v>1233</v>
      </c>
      <c r="H144" s="3322" t="s">
        <v>1233</v>
      </c>
      <c r="I144" s="3293"/>
      <c r="J144" s="3293"/>
      <c r="K144" s="3293"/>
      <c r="L144" s="3293"/>
      <c r="M144" s="3293"/>
      <c r="N144" s="3293"/>
    </row>
    <row r="145" spans="1:14" s="3294" customFormat="1" ht="15">
      <c r="A145" s="3322" t="s">
        <v>1217</v>
      </c>
      <c r="B145" s="3322" t="s">
        <v>1218</v>
      </c>
      <c r="C145" s="3318">
        <f>'Datos Básicos'!$B$15</f>
        <v>2026</v>
      </c>
      <c r="D145" s="3318">
        <f>+C145+1</f>
        <v>2027</v>
      </c>
      <c r="E145" s="3318">
        <f t="shared" ref="E145:H145" si="148">+D145+1</f>
        <v>2028</v>
      </c>
      <c r="F145" s="3318">
        <f t="shared" si="148"/>
        <v>2029</v>
      </c>
      <c r="G145" s="3318">
        <f t="shared" si="148"/>
        <v>2030</v>
      </c>
      <c r="H145" s="3318">
        <f t="shared" si="148"/>
        <v>2031</v>
      </c>
      <c r="I145" s="3293"/>
      <c r="J145" s="3293"/>
      <c r="K145" s="3293"/>
      <c r="L145" s="3293"/>
      <c r="M145" s="3293"/>
      <c r="N145" s="3293"/>
    </row>
    <row r="146" spans="1:14" s="3294" customFormat="1" ht="15">
      <c r="A146" s="3122" t="s">
        <v>1219</v>
      </c>
      <c r="B146" s="3123" t="s">
        <v>1220</v>
      </c>
      <c r="C146" s="3124">
        <f>IF(WEEKDAY(DATE(C$145,1,1),2)=7,DATE(C$145,1,1)+1,DATE(C$145,1,1))</f>
        <v>46023</v>
      </c>
      <c r="D146" s="3124">
        <f t="shared" ref="D146:H146" si="149">IF(WEEKDAY(DATE(D$145,1,1),2)=7,DATE(D$145,1,1)+1,DATE(D$145,1,1))</f>
        <v>46388</v>
      </c>
      <c r="E146" s="3124">
        <f t="shared" si="149"/>
        <v>46753</v>
      </c>
      <c r="F146" s="3124">
        <f t="shared" si="149"/>
        <v>47119</v>
      </c>
      <c r="G146" s="3124">
        <f t="shared" si="149"/>
        <v>47484</v>
      </c>
      <c r="H146" s="3124">
        <f t="shared" si="149"/>
        <v>47849</v>
      </c>
      <c r="I146" s="3293"/>
      <c r="J146" s="3293"/>
      <c r="K146" s="3293"/>
      <c r="L146" s="3293"/>
      <c r="M146" s="3293"/>
      <c r="N146" s="3293"/>
    </row>
    <row r="147" spans="1:14" s="3294" customFormat="1" ht="15">
      <c r="A147" s="3239" t="s">
        <v>1221</v>
      </c>
      <c r="B147" s="3123" t="s">
        <v>1222</v>
      </c>
      <c r="C147" s="3124">
        <f>IF(WEEKDAY(DATE(C$145,1,6),2)=7,DATE(C$145,1,6)+1,DATE(C$145,1,6))</f>
        <v>46028</v>
      </c>
      <c r="D147" s="3124">
        <f t="shared" ref="D147:H147" si="150">IF(WEEKDAY(DATE(D$145,1,6),2)=7,DATE(D$145,1,6)+1,DATE(D$145,1,6))</f>
        <v>46393</v>
      </c>
      <c r="E147" s="3124">
        <f t="shared" si="150"/>
        <v>46758</v>
      </c>
      <c r="F147" s="3124">
        <f t="shared" si="150"/>
        <v>47124</v>
      </c>
      <c r="G147" s="3124">
        <f t="shared" si="150"/>
        <v>47490</v>
      </c>
      <c r="H147" s="3124">
        <f t="shared" si="150"/>
        <v>47854</v>
      </c>
      <c r="I147" s="3293"/>
      <c r="J147" s="3293"/>
      <c r="K147" s="3293"/>
      <c r="L147" s="3293"/>
      <c r="M147" s="3293"/>
      <c r="N147" s="3293"/>
    </row>
    <row r="148" spans="1:14" s="3294" customFormat="1" ht="15">
      <c r="A148" s="3239" t="s">
        <v>1221</v>
      </c>
      <c r="B148" s="3123" t="s">
        <v>1223</v>
      </c>
      <c r="C148" s="3124">
        <f>IF(WEEKDAY(DATE(C$145,2,28),2)=7,DATE(C$145,2,28)+1,DATE(C$145,2,28))</f>
        <v>46081</v>
      </c>
      <c r="D148" s="3124">
        <f t="shared" ref="D148:H148" si="151">IF(WEEKDAY(DATE(D$145,2,28),2)=7,DATE(D$145,2,28)+1,DATE(D$145,2,28))</f>
        <v>46447</v>
      </c>
      <c r="E148" s="3124">
        <f t="shared" si="151"/>
        <v>46811</v>
      </c>
      <c r="F148" s="3124">
        <f t="shared" si="151"/>
        <v>47177</v>
      </c>
      <c r="G148" s="3124">
        <f t="shared" si="151"/>
        <v>47542</v>
      </c>
      <c r="H148" s="3124">
        <f t="shared" si="151"/>
        <v>47907</v>
      </c>
      <c r="I148" s="3293"/>
      <c r="J148" s="3293"/>
      <c r="K148" s="3293"/>
      <c r="L148" s="3293"/>
      <c r="M148" s="3293"/>
      <c r="N148" s="3293"/>
    </row>
    <row r="149" spans="1:14" s="3294" customFormat="1" ht="15">
      <c r="A149" s="3122" t="s">
        <v>1219</v>
      </c>
      <c r="B149" s="3123" t="s">
        <v>1224</v>
      </c>
      <c r="C149" s="3124">
        <f>IF(WEEKDAY(DATE(C$145,5,1),2)=7,DATE(C$145,5,1)+1,DATE(C$145,5,1))</f>
        <v>46143</v>
      </c>
      <c r="D149" s="3124">
        <f t="shared" ref="D149:H149" si="152">IF(WEEKDAY(DATE(D$145,5,1),2)=7,DATE(D$145,5,1)+1,DATE(D$145,5,1))</f>
        <v>46508</v>
      </c>
      <c r="E149" s="3124">
        <f t="shared" si="152"/>
        <v>46874</v>
      </c>
      <c r="F149" s="3124">
        <f t="shared" si="152"/>
        <v>47239</v>
      </c>
      <c r="G149" s="3124">
        <f t="shared" si="152"/>
        <v>47604</v>
      </c>
      <c r="H149" s="3124">
        <f t="shared" si="152"/>
        <v>47969</v>
      </c>
      <c r="I149" s="3293"/>
      <c r="J149" s="3293"/>
      <c r="K149" s="3293"/>
      <c r="L149" s="3293"/>
      <c r="M149" s="3293"/>
      <c r="N149" s="3293"/>
    </row>
    <row r="150" spans="1:14" s="3294" customFormat="1" ht="15">
      <c r="A150" s="3122" t="s">
        <v>1219</v>
      </c>
      <c r="B150" s="3123" t="s">
        <v>1225</v>
      </c>
      <c r="C150" s="3124">
        <f>IF(WEEKDAY(DATE(C$145,8,15),2)=7,DATE(C$145,8,15)+1,DATE(C$145,8,15))</f>
        <v>46249</v>
      </c>
      <c r="D150" s="3124">
        <f t="shared" ref="D150:H150" si="153">IF(WEEKDAY(DATE(D$145,8,15),2)=7,DATE(D$145,8,15)+1,DATE(D$145,8,15))</f>
        <v>46615</v>
      </c>
      <c r="E150" s="3124">
        <f t="shared" si="153"/>
        <v>46980</v>
      </c>
      <c r="F150" s="3124">
        <f t="shared" si="153"/>
        <v>47345</v>
      </c>
      <c r="G150" s="3124">
        <f t="shared" si="153"/>
        <v>47710</v>
      </c>
      <c r="H150" s="3124">
        <f t="shared" si="153"/>
        <v>48075</v>
      </c>
      <c r="I150" s="3293"/>
      <c r="J150" s="3293"/>
      <c r="K150" s="3293"/>
      <c r="L150" s="3293"/>
      <c r="M150" s="3293"/>
      <c r="N150" s="3293"/>
    </row>
    <row r="151" spans="1:14" s="3294" customFormat="1" ht="15">
      <c r="A151" s="3122" t="s">
        <v>1219</v>
      </c>
      <c r="B151" s="3123" t="s">
        <v>1226</v>
      </c>
      <c r="C151" s="3124">
        <f t="shared" ref="C151:H151" si="154">IF(WEEKDAY(DATE(C$145,10,12),2)=7,DATE(C$145,10,12)+1,DATE(C$145,10,12))</f>
        <v>46307</v>
      </c>
      <c r="D151" s="3124">
        <f t="shared" si="154"/>
        <v>46672</v>
      </c>
      <c r="E151" s="3124">
        <f t="shared" si="154"/>
        <v>47038</v>
      </c>
      <c r="F151" s="3124">
        <f t="shared" si="154"/>
        <v>47403</v>
      </c>
      <c r="G151" s="3124">
        <f t="shared" si="154"/>
        <v>47768</v>
      </c>
      <c r="H151" s="3124">
        <f t="shared" si="154"/>
        <v>48134</v>
      </c>
      <c r="I151" s="3293"/>
      <c r="J151" s="3293"/>
      <c r="K151" s="3293"/>
      <c r="L151" s="3293"/>
      <c r="M151" s="3293"/>
      <c r="N151" s="3293"/>
    </row>
    <row r="152" spans="1:14" ht="15">
      <c r="A152" s="3122" t="s">
        <v>1219</v>
      </c>
      <c r="B152" s="3123" t="s">
        <v>1227</v>
      </c>
      <c r="C152" s="3124">
        <f t="shared" ref="C152:H152" si="155">IF(WEEKDAY(DATE(C$145,11,1),2)=7,DATE(C$145,11,1)+1,DATE(C$145,11,1))</f>
        <v>46328</v>
      </c>
      <c r="D152" s="3124">
        <f t="shared" si="155"/>
        <v>46692</v>
      </c>
      <c r="E152" s="3124">
        <f t="shared" si="155"/>
        <v>47058</v>
      </c>
      <c r="F152" s="3124">
        <f t="shared" si="155"/>
        <v>47423</v>
      </c>
      <c r="G152" s="3124">
        <f t="shared" si="155"/>
        <v>47788</v>
      </c>
      <c r="H152" s="3124">
        <f t="shared" si="155"/>
        <v>48153</v>
      </c>
    </row>
    <row r="153" spans="1:14" ht="15">
      <c r="A153" s="3239" t="s">
        <v>1219</v>
      </c>
      <c r="B153" s="3123" t="s">
        <v>1228</v>
      </c>
      <c r="C153" s="3124">
        <f t="shared" ref="C153:H153" si="156">IF(WEEKDAY(DATE(C$145,12,6),2)=7,DATE(C$145,12,6)+1,DATE(C$145,12,6))</f>
        <v>46363</v>
      </c>
      <c r="D153" s="3124">
        <f t="shared" si="156"/>
        <v>46727</v>
      </c>
      <c r="E153" s="3124">
        <f t="shared" si="156"/>
        <v>47093</v>
      </c>
      <c r="F153" s="3124">
        <f t="shared" si="156"/>
        <v>47458</v>
      </c>
      <c r="G153" s="3124">
        <f t="shared" si="156"/>
        <v>47823</v>
      </c>
      <c r="H153" s="3124">
        <f t="shared" si="156"/>
        <v>48188</v>
      </c>
    </row>
    <row r="154" spans="1:14" ht="15">
      <c r="A154" s="3239" t="s">
        <v>1219</v>
      </c>
      <c r="B154" s="3123" t="s">
        <v>1229</v>
      </c>
      <c r="C154" s="3124">
        <f t="shared" ref="C154:H154" si="157">IF(WEEKDAY(DATE(C$145,12,8),2)=7,DATE(C$145,12,8)+1,DATE(C$145,12,8))</f>
        <v>46364</v>
      </c>
      <c r="D154" s="3124">
        <f t="shared" si="157"/>
        <v>46729</v>
      </c>
      <c r="E154" s="3124">
        <f t="shared" si="157"/>
        <v>47095</v>
      </c>
      <c r="F154" s="3124">
        <f t="shared" si="157"/>
        <v>47460</v>
      </c>
      <c r="G154" s="3124">
        <f t="shared" si="157"/>
        <v>47826</v>
      </c>
      <c r="H154" s="3124">
        <f t="shared" si="157"/>
        <v>48190</v>
      </c>
    </row>
    <row r="155" spans="1:14" ht="15">
      <c r="A155" s="3122" t="s">
        <v>1219</v>
      </c>
      <c r="B155" s="3123" t="s">
        <v>1230</v>
      </c>
      <c r="C155" s="3124">
        <f t="shared" ref="C155:H155" si="158">IF(WEEKDAY(DATE(C$145,12,25),2)=7,DATE(C$145,12,25)+1,DATE(C$145,12,25))</f>
        <v>46381</v>
      </c>
      <c r="D155" s="3124">
        <f t="shared" si="158"/>
        <v>46746</v>
      </c>
      <c r="E155" s="3124">
        <f t="shared" si="158"/>
        <v>47112</v>
      </c>
      <c r="F155" s="3124">
        <f t="shared" si="158"/>
        <v>47477</v>
      </c>
      <c r="G155" s="3124">
        <f t="shared" si="158"/>
        <v>47842</v>
      </c>
      <c r="H155" s="3124">
        <f t="shared" si="158"/>
        <v>48207</v>
      </c>
    </row>
    <row r="156" spans="1:14" ht="15">
      <c r="A156" s="3239" t="s">
        <v>1221</v>
      </c>
      <c r="B156" s="3123" t="s">
        <v>1231</v>
      </c>
      <c r="C156" s="3124">
        <f>DOLLAR((DAY(MINUTE(C$145/38)/2+55)&amp;"-4-" &amp; C$145)/7,)*7-6-7+4</f>
        <v>46114</v>
      </c>
      <c r="D156" s="3124">
        <f t="shared" ref="D156:H156" si="159">DOLLAR((DAY(MINUTE(D$145/38)/2+55)&amp;"-4-" &amp; D$145)/7,)*7-6-7+4</f>
        <v>46471</v>
      </c>
      <c r="E156" s="3124">
        <f t="shared" si="159"/>
        <v>46856</v>
      </c>
      <c r="F156" s="3124">
        <f t="shared" si="159"/>
        <v>47206</v>
      </c>
      <c r="G156" s="3124">
        <f t="shared" si="159"/>
        <v>47591</v>
      </c>
      <c r="H156" s="3124">
        <f t="shared" si="159"/>
        <v>47948</v>
      </c>
    </row>
    <row r="157" spans="1:14" ht="15">
      <c r="A157" s="3122" t="s">
        <v>1219</v>
      </c>
      <c r="B157" s="3123" t="s">
        <v>1232</v>
      </c>
      <c r="C157" s="3124">
        <f t="shared" ref="C157:H157" si="160">C156+1</f>
        <v>46115</v>
      </c>
      <c r="D157" s="3124">
        <f t="shared" si="160"/>
        <v>46472</v>
      </c>
      <c r="E157" s="3124">
        <f t="shared" si="160"/>
        <v>46857</v>
      </c>
      <c r="F157" s="3124">
        <f t="shared" si="160"/>
        <v>47207</v>
      </c>
      <c r="G157" s="3124">
        <f t="shared" si="160"/>
        <v>47592</v>
      </c>
      <c r="H157" s="3124">
        <f t="shared" si="160"/>
        <v>47949</v>
      </c>
    </row>
    <row r="158" spans="1:14" ht="15">
      <c r="A158" s="3125" t="s">
        <v>1234</v>
      </c>
      <c r="B158" s="3125" t="s">
        <v>1235</v>
      </c>
      <c r="C158" s="3124">
        <f>IF(WEEKDAY(DATE(C$145,5,2),2)=7,DATE(C$145,5,2)+1,DATE(C$145,5,2))</f>
        <v>46144</v>
      </c>
      <c r="D158" s="3124">
        <f t="shared" ref="D158:H158" si="161">IF(WEEKDAY(DATE(D$145,5,2),2)=7,DATE(D$145,5,2)+1,DATE(D$145,5,2))</f>
        <v>46510</v>
      </c>
      <c r="E158" s="3124">
        <f t="shared" si="161"/>
        <v>46875</v>
      </c>
      <c r="F158" s="3124">
        <f t="shared" si="161"/>
        <v>47240</v>
      </c>
      <c r="G158" s="3124">
        <f t="shared" si="161"/>
        <v>47605</v>
      </c>
      <c r="H158" s="3124">
        <f t="shared" si="161"/>
        <v>47970</v>
      </c>
    </row>
    <row r="159" spans="1:14" ht="15">
      <c r="A159" s="3122"/>
      <c r="B159" s="3123"/>
      <c r="C159" s="3124"/>
      <c r="D159" s="3124"/>
      <c r="E159" s="3124"/>
      <c r="F159" s="3124"/>
      <c r="G159" s="3124"/>
      <c r="H159" s="3124"/>
    </row>
    <row r="160" spans="1:14" ht="15">
      <c r="A160" s="3122"/>
      <c r="B160" s="3123"/>
      <c r="C160" s="3126"/>
      <c r="D160" s="3126"/>
      <c r="E160" s="3124"/>
      <c r="F160" s="3124"/>
      <c r="G160" s="3124"/>
      <c r="H160" s="3124"/>
    </row>
    <row r="161" spans="1:8" ht="15">
      <c r="A161" s="3122"/>
      <c r="B161" s="3123"/>
      <c r="C161" s="3124"/>
      <c r="D161" s="3124"/>
      <c r="E161" s="3124"/>
      <c r="F161" s="3124"/>
      <c r="G161" s="3124"/>
      <c r="H161" s="3124"/>
    </row>
  </sheetData>
  <sheetProtection sheet="1" objects="1" scenarios="1"/>
  <dataConsolidate/>
  <mergeCells count="9">
    <mergeCell ref="A20:D20"/>
    <mergeCell ref="A30:D30"/>
    <mergeCell ref="A31:D31"/>
    <mergeCell ref="A29:D29"/>
    <mergeCell ref="A24:D24"/>
    <mergeCell ref="A26:D26"/>
    <mergeCell ref="A27:D27"/>
    <mergeCell ref="A28:D28"/>
    <mergeCell ref="A25:D25"/>
  </mergeCells>
  <phoneticPr fontId="6" type="noConversion"/>
  <conditionalFormatting sqref="B52:M52">
    <cfRule type="cellIs" dxfId="46" priority="1" stopIfTrue="1" operator="equal">
      <formula>"ERROR"</formula>
    </cfRule>
  </conditionalFormatting>
  <dataValidations xWindow="360" yWindow="451" count="14">
    <dataValidation type="decimal" allowBlank="1" showInputMessage="1" showErrorMessage="1" error="Como máximo un 10% de morosidad" sqref="I6" xr:uid="{00000000-0002-0000-0300-000000000000}">
      <formula1>0</formula1>
      <formula2>0.1</formula2>
    </dataValidation>
    <dataValidation type="decimal" allowBlank="1" showInputMessage="1" showErrorMessage="1" sqref="H8:I8 C53:H57 J53:M57" xr:uid="{00000000-0002-0000-0300-000001000000}">
      <formula1>0</formula1>
      <formula2>1</formula2>
    </dataValidation>
    <dataValidation type="whole" allowBlank="1" showInputMessage="1" showErrorMessage="1" sqref="C38" xr:uid="{00000000-0002-0000-0300-000002000000}">
      <formula1>3</formula1>
      <formula2>20</formula2>
    </dataValidation>
    <dataValidation type="decimal" allowBlank="1" showInputMessage="1" showErrorMessage="1" error="Es obligatorio destinar un mínimo del 10% de los beneficios a reservas." sqref="C42:G42" xr:uid="{00000000-0002-0000-0300-000003000000}">
      <formula1>0.1</formula1>
      <formula2>1</formula2>
    </dataValidation>
    <dataValidation type="whole" operator="greaterThanOrEqual" allowBlank="1" showInputMessage="1" showErrorMessage="1" sqref="C46" xr:uid="{00000000-0002-0000-0300-000004000000}">
      <formula1>0</formula1>
    </dataValidation>
    <dataValidation allowBlank="1" showInputMessage="1" showErrorMessage="1" prompt="Los nombres de las familias de productos o servicios se introducen en la hoja de &lt;Precios-C.V.&gt;" sqref="A24:D31" xr:uid="{00000000-0002-0000-0300-000005000000}"/>
    <dataValidation type="list" allowBlank="1" showInputMessage="1" showErrorMessage="1" prompt="Normalmente será el 21%, excepto que se esté exento, en recargo de equivalencia o IVA en módulos._x000a_En estos casos se debe incluir el IVA dentro de los precios de coste y de venta como._x000a_O bien que se quiera realizar la simulación sin tener en cuenta el IVA." sqref="F33" xr:uid="{00000000-0002-0000-0300-000006000000}">
      <formula1>$A$102:$A$103</formula1>
    </dataValidation>
    <dataValidation type="list" allowBlank="1" showInputMessage="1" showErrorMessage="1" prompt="Tipo de IVA: 21%, 10%, 4% o bien 0% en el caso de productos o actividades exentas, recargo de equivalencia o IVA en módulos." sqref="E24:F31" xr:uid="{00000000-0002-0000-0300-000007000000}">
      <formula1>$B$106:$B$109</formula1>
    </dataValidation>
    <dataValidation type="decimal" allowBlank="1" showInputMessage="1" showErrorMessage="1" prompt="Tipo de IPC o inflacción anual prevista (entre el 0% y el 8%)" sqref="C18:F18" xr:uid="{00000000-0002-0000-0300-000008000000}">
      <formula1>0</formula1>
      <formula2>1</formula2>
    </dataValidation>
    <dataValidation type="whole" operator="greaterThanOrEqual" allowBlank="1" showInputMessage="1" showErrorMessage="1" sqref="D38:G38" xr:uid="{00000000-0002-0000-0300-000009000000}">
      <formula1>1</formula1>
    </dataValidation>
    <dataValidation type="decimal" allowBlank="1" showInputMessage="1" showErrorMessage="1" sqref="H7 H14" xr:uid="{00000000-0002-0000-0300-00000A000000}">
      <formula1>0</formula1>
      <formula2>0.5</formula2>
    </dataValidation>
    <dataValidation type="list" allowBlank="1" showInputMessage="1" showErrorMessage="1" sqref="B14:C14" xr:uid="{00000000-0002-0000-0300-00000B000000}">
      <formula1>"1,2,3,4,5,6,7,8,9,10,11,12"</formula1>
    </dataValidation>
    <dataValidation type="list" operator="greaterThanOrEqual" allowBlank="1" showInputMessage="1" showErrorMessage="1" sqref="C48" xr:uid="{00000000-0002-0000-0300-00000C000000}">
      <formula1>"Sí,No"</formula1>
    </dataValidation>
    <dataValidation type="list" allowBlank="1" showInputMessage="1" showErrorMessage="1" sqref="G11" xr:uid="{00000000-0002-0000-0300-00000D000000}">
      <formula1>$L$8:$L$14</formula1>
    </dataValidation>
  </dataValidations>
  <printOptions horizontalCentered="1"/>
  <pageMargins left="0.59055118110236227" right="0.59055118110236227" top="0.78740157480314965" bottom="0.94488188976377963" header="0" footer="0.19685039370078741"/>
  <pageSetup paperSize="9" scale="78" orientation="portrait" horizontalDpi="300" verticalDpi="300" r:id="rId1"/>
  <headerFooter alignWithMargins="0">
    <oddFooter>&amp;C&amp;"Tahoma,Normal"&amp;10&amp;A</oddFooter>
  </headerFooter>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4">
    <tabColor indexed="61"/>
    <pageSetUpPr fitToPage="1"/>
  </sheetPr>
  <dimension ref="A1:N33"/>
  <sheetViews>
    <sheetView workbookViewId="0"/>
  </sheetViews>
  <sheetFormatPr baseColWidth="10" defaultColWidth="11" defaultRowHeight="12.75"/>
  <cols>
    <col min="1" max="1" width="30" style="61" customWidth="1"/>
    <col min="2" max="13" width="10.875" style="61" customWidth="1"/>
    <col min="14" max="14" width="12.25" style="232" customWidth="1"/>
    <col min="15" max="16384" width="11" style="61"/>
  </cols>
  <sheetData>
    <row r="1" spans="1:14" ht="22.5">
      <c r="A1" s="325" t="str">
        <f>'PyG 0'!A1</f>
        <v>Cuenta de Resultados, o de Pérdidas y Ganancias por meses</v>
      </c>
      <c r="E1" s="232"/>
      <c r="F1" s="232"/>
      <c r="I1" s="234" t="str">
        <f>Parametros!F$77</f>
        <v>Año 4:  2030</v>
      </c>
      <c r="L1" s="407"/>
    </row>
    <row r="2" spans="1:14" s="408" customFormat="1" ht="22.5">
      <c r="A2" s="67" t="str">
        <f>'Datos Básicos'!B9</f>
        <v>nombre empresa</v>
      </c>
      <c r="C2" s="409"/>
      <c r="D2" s="277"/>
      <c r="N2" s="410"/>
    </row>
    <row r="3" spans="1:14" s="408" customFormat="1" ht="26.25" thickBot="1">
      <c r="A3" s="59"/>
      <c r="B3" s="2327">
        <v>1</v>
      </c>
      <c r="C3" s="2327">
        <v>2</v>
      </c>
      <c r="D3" s="2327">
        <v>3</v>
      </c>
      <c r="E3" s="2327">
        <v>4</v>
      </c>
      <c r="F3" s="2327">
        <v>5</v>
      </c>
      <c r="G3" s="2327">
        <v>6</v>
      </c>
      <c r="H3" s="2327">
        <v>7</v>
      </c>
      <c r="I3" s="2327">
        <v>8</v>
      </c>
      <c r="J3" s="2327">
        <v>9</v>
      </c>
      <c r="K3" s="2327">
        <v>10</v>
      </c>
      <c r="L3" s="2327">
        <v>11</v>
      </c>
      <c r="M3" s="2327">
        <v>12</v>
      </c>
      <c r="N3" s="410"/>
    </row>
    <row r="4" spans="1:14" s="411" customFormat="1" ht="21.75" customHeight="1" thickBot="1">
      <c r="A4" s="414" t="str">
        <f t="array" ref="A4:A7">'PPyGG anuales'!A4:A7</f>
        <v>Conceptos</v>
      </c>
      <c r="B4" s="415" t="str">
        <f t="array" ref="B4:M4">meses</f>
        <v>enero</v>
      </c>
      <c r="C4" s="415" t="str">
        <v>febrero</v>
      </c>
      <c r="D4" s="415" t="str">
        <v>marzo</v>
      </c>
      <c r="E4" s="415" t="str">
        <v>abril</v>
      </c>
      <c r="F4" s="415" t="str">
        <v>mayo</v>
      </c>
      <c r="G4" s="415" t="str">
        <v>junio</v>
      </c>
      <c r="H4" s="415" t="str">
        <v>julio</v>
      </c>
      <c r="I4" s="415" t="str">
        <v>agosto</v>
      </c>
      <c r="J4" s="415" t="str">
        <v>septiembre</v>
      </c>
      <c r="K4" s="415" t="str">
        <v>octubre</v>
      </c>
      <c r="L4" s="415" t="str">
        <v>noviembre</v>
      </c>
      <c r="M4" s="415" t="str">
        <v>diciembre</v>
      </c>
      <c r="N4" s="415" t="s">
        <v>11</v>
      </c>
    </row>
    <row r="5" spans="1:14" s="410" customFormat="1" ht="16.149999999999999" customHeight="1">
      <c r="A5" s="416" t="str">
        <v>Ingresos por ventas</v>
      </c>
      <c r="B5" s="605">
        <f t="array" aca="1" ref="B5:M5" ca="1">'Prev.Ventas 4'!B25:M25</f>
        <v>3059.6356000000001</v>
      </c>
      <c r="C5" s="605">
        <f ca="1"/>
        <v>3824.5445000000004</v>
      </c>
      <c r="D5" s="605">
        <f ca="1"/>
        <v>4206.9989500000001</v>
      </c>
      <c r="E5" s="605">
        <f ca="1"/>
        <v>4015.7717249999996</v>
      </c>
      <c r="F5" s="605">
        <f ca="1"/>
        <v>3442.0900500000002</v>
      </c>
      <c r="G5" s="605">
        <f ca="1"/>
        <v>3250.8628250000002</v>
      </c>
      <c r="H5" s="605">
        <f ca="1"/>
        <v>3059.6356000000001</v>
      </c>
      <c r="I5" s="605">
        <f ca="1"/>
        <v>2294.7267000000002</v>
      </c>
      <c r="J5" s="605">
        <f ca="1"/>
        <v>3059.6356000000001</v>
      </c>
      <c r="K5" s="605">
        <f ca="1"/>
        <v>3633.3172750000003</v>
      </c>
      <c r="L5" s="605">
        <f ca="1"/>
        <v>3824.5445000000004</v>
      </c>
      <c r="M5" s="605">
        <f ca="1"/>
        <v>4589.4534000000003</v>
      </c>
      <c r="N5" s="606">
        <f ca="1">SUM(B5:M5)</f>
        <v>42261.216725000006</v>
      </c>
    </row>
    <row r="6" spans="1:14" s="410" customFormat="1" ht="16.149999999999999" customHeight="1">
      <c r="A6" s="1596" t="str">
        <v>Imputación de subvenciones</v>
      </c>
      <c r="B6" s="609">
        <f>IF(B$3+48&gt;mes0+Parametros!$B$38*12-1,0,Financiación!$C$19/Parametros!$B$38/12)
+IF(Parametros!$C$38&gt;4,Financiación!$D$19/Parametros!$C$38/12,0)
+IF(Parametros!$D$38&gt;3,Financiación!$E$19/Parametros!$D$38/12,0)
+IF(Parametros!$E$38&gt;2,Financiación!$F$19/Parametros!$E$38/12,0)
+Financiación!$G$19/Parametros!$F$38/12
+Financiación!$H$19/Parametros!$G$38/12</f>
        <v>0</v>
      </c>
      <c r="C6" s="609">
        <f>IF(C$3+48&gt;mes0+Parametros!$B$38*12-1,0,Financiación!$C$19/Parametros!$B$38/12)
+IF(Parametros!$C$38&gt;4,Financiación!$D$19/Parametros!$C$38/12,0)
+IF(Parametros!$D$38&gt;3,Financiación!$E$19/Parametros!$D$38/12,0)
+IF(Parametros!$E$38&gt;2,Financiación!$F$19/Parametros!$E$38/12,0)
+Financiación!$G$19/Parametros!$F$38/12
+Financiación!$H$19/Parametros!$G$38/12</f>
        <v>0</v>
      </c>
      <c r="D6" s="609">
        <f>IF(D$3+48&gt;mes0+Parametros!$B$38*12-1,0,Financiación!$C$19/Parametros!$B$38/12)
+IF(Parametros!$C$38&gt;4,Financiación!$D$19/Parametros!$C$38/12,0)
+IF(Parametros!$D$38&gt;3,Financiación!$E$19/Parametros!$D$38/12,0)
+IF(Parametros!$E$38&gt;2,Financiación!$F$19/Parametros!$E$38/12,0)
+Financiación!$G$19/Parametros!$F$38/12
+Financiación!$H$19/Parametros!$G$38/12</f>
        <v>0</v>
      </c>
      <c r="E6" s="609">
        <f>IF(E$3+48&gt;mes0+Parametros!$B$38*12-1,0,Financiación!$C$19/Parametros!$B$38/12)
+IF(Parametros!$C$38&gt;4,Financiación!$D$19/Parametros!$C$38/12,0)
+IF(Parametros!$D$38&gt;3,Financiación!$E$19/Parametros!$D$38/12,0)
+IF(Parametros!$E$38&gt;2,Financiación!$F$19/Parametros!$E$38/12,0)
+Financiación!$G$19/Parametros!$F$38/12
+Financiación!$H$19/Parametros!$G$38/12</f>
        <v>0</v>
      </c>
      <c r="F6" s="609">
        <f>IF(F$3+48&gt;mes0+Parametros!$B$38*12-1,0,Financiación!$C$19/Parametros!$B$38/12)
+IF(Parametros!$C$38&gt;4,Financiación!$D$19/Parametros!$C$38/12,0)
+IF(Parametros!$D$38&gt;3,Financiación!$E$19/Parametros!$D$38/12,0)
+IF(Parametros!$E$38&gt;2,Financiación!$F$19/Parametros!$E$38/12,0)
+Financiación!$G$19/Parametros!$F$38/12
+Financiación!$H$19/Parametros!$G$38/12</f>
        <v>0</v>
      </c>
      <c r="G6" s="609">
        <f>IF(G$3+48&gt;mes0+Parametros!$B$38*12-1,0,Financiación!$C$19/Parametros!$B$38/12)
+IF(Parametros!$C$38&gt;4,Financiación!$D$19/Parametros!$C$38/12,0)
+IF(Parametros!$D$38&gt;3,Financiación!$E$19/Parametros!$D$38/12,0)
+IF(Parametros!$E$38&gt;2,Financiación!$F$19/Parametros!$E$38/12,0)
+Financiación!$G$19/Parametros!$F$38/12
+Financiación!$H$19/Parametros!$G$38/12</f>
        <v>0</v>
      </c>
      <c r="H6" s="609">
        <f>IF(H$3+48&gt;mes0+Parametros!$B$38*12-1,0,Financiación!$C$19/Parametros!$B$38/12)
+IF(Parametros!$C$38&gt;4,Financiación!$D$19/Parametros!$C$38/12,0)
+IF(Parametros!$D$38&gt;3,Financiación!$E$19/Parametros!$D$38/12,0)
+IF(Parametros!$E$38&gt;2,Financiación!$F$19/Parametros!$E$38/12,0)
+Financiación!$G$19/Parametros!$F$38/12
+Financiación!$H$19/Parametros!$G$38/12</f>
        <v>0</v>
      </c>
      <c r="I6" s="609">
        <f>IF(I$3+48&gt;mes0+Parametros!$B$38*12-1,0,Financiación!$C$19/Parametros!$B$38/12)
+IF(Parametros!$C$38&gt;4,Financiación!$D$19/Parametros!$C$38/12,0)
+IF(Parametros!$D$38&gt;3,Financiación!$E$19/Parametros!$D$38/12,0)
+IF(Parametros!$E$38&gt;2,Financiación!$F$19/Parametros!$E$38/12,0)
+Financiación!$G$19/Parametros!$F$38/12
+Financiación!$H$19/Parametros!$G$38/12</f>
        <v>0</v>
      </c>
      <c r="J6" s="609">
        <f>IF(J$3+48&gt;mes0+Parametros!$B$38*12-1,0,Financiación!$C$19/Parametros!$B$38/12)
+IF(Parametros!$C$38&gt;4,Financiación!$D$19/Parametros!$C$38/12,0)
+IF(Parametros!$D$38&gt;3,Financiación!$E$19/Parametros!$D$38/12,0)
+IF(Parametros!$E$38&gt;2,Financiación!$F$19/Parametros!$E$38/12,0)
+Financiación!$G$19/Parametros!$F$38/12
+Financiación!$H$19/Parametros!$G$38/12</f>
        <v>0</v>
      </c>
      <c r="K6" s="609">
        <f>IF(K$3+48&gt;mes0+Parametros!$B$38*12-1,0,Financiación!$C$19/Parametros!$B$38/12)
+IF(Parametros!$C$38&gt;4,Financiación!$D$19/Parametros!$C$38/12,0)
+IF(Parametros!$D$38&gt;3,Financiación!$E$19/Parametros!$D$38/12,0)
+IF(Parametros!$E$38&gt;2,Financiación!$F$19/Parametros!$E$38/12,0)
+Financiación!$G$19/Parametros!$F$38/12
+Financiación!$H$19/Parametros!$G$38/12</f>
        <v>0</v>
      </c>
      <c r="L6" s="609">
        <f>IF(L$3+48&gt;mes0+Parametros!$B$38*12-1,0,Financiación!$C$19/Parametros!$B$38/12)
+IF(Parametros!$C$38&gt;4,Financiación!$D$19/Parametros!$C$38/12,0)
+IF(Parametros!$D$38&gt;3,Financiación!$E$19/Parametros!$D$38/12,0)
+IF(Parametros!$E$38&gt;2,Financiación!$F$19/Parametros!$E$38/12,0)
+Financiación!$G$19/Parametros!$F$38/12
+Financiación!$H$19/Parametros!$G$38/12</f>
        <v>0</v>
      </c>
      <c r="M6" s="609">
        <f>IF(M$3+48&gt;mes0+Parametros!$B$38*12-1,0,Financiación!$C$19/Parametros!$B$38/12)
+IF(Parametros!$C$38&gt;4,Financiación!$D$19/Parametros!$C$38/12,0)
+IF(Parametros!$D$38&gt;3,Financiación!$E$19/Parametros!$D$38/12,0)
+IF(Parametros!$E$38&gt;2,Financiación!$F$19/Parametros!$E$38/12,0)
+Financiación!$G$19/Parametros!$F$38/12
+Financiación!$H$19/Parametros!$G$38/12</f>
        <v>0</v>
      </c>
      <c r="N6" s="608">
        <f>SUM(B6:M6)</f>
        <v>0</v>
      </c>
    </row>
    <row r="7" spans="1:14" s="410" customFormat="1" ht="16.149999999999999" customHeight="1">
      <c r="A7" s="1597" t="str">
        <v>Total Ingresos de Explotación</v>
      </c>
      <c r="B7" s="1598">
        <f t="array" aca="1" ref="B7:M7" ca="1">B5:M5+B6:M6</f>
        <v>3059.6356000000001</v>
      </c>
      <c r="C7" s="1598">
        <f ca="1"/>
        <v>3824.5445000000004</v>
      </c>
      <c r="D7" s="1598">
        <f ca="1"/>
        <v>4206.9989500000001</v>
      </c>
      <c r="E7" s="1598">
        <f ca="1"/>
        <v>4015.7717249999996</v>
      </c>
      <c r="F7" s="1598">
        <f ca="1"/>
        <v>3442.0900500000002</v>
      </c>
      <c r="G7" s="1598">
        <f ca="1"/>
        <v>3250.8628250000002</v>
      </c>
      <c r="H7" s="1598">
        <f ca="1"/>
        <v>3059.6356000000001</v>
      </c>
      <c r="I7" s="1598">
        <f ca="1"/>
        <v>2294.7267000000002</v>
      </c>
      <c r="J7" s="1598">
        <f ca="1"/>
        <v>3059.6356000000001</v>
      </c>
      <c r="K7" s="1598">
        <f ca="1"/>
        <v>3633.3172750000003</v>
      </c>
      <c r="L7" s="1598">
        <f ca="1"/>
        <v>3824.5445000000004</v>
      </c>
      <c r="M7" s="1598">
        <f ca="1"/>
        <v>4589.4534000000003</v>
      </c>
      <c r="N7" s="608">
        <f ca="1">SUM(B7:M7)</f>
        <v>42261.216725000006</v>
      </c>
    </row>
    <row r="8" spans="1:14" s="410" customFormat="1" ht="16.149999999999999" customHeight="1">
      <c r="A8" s="1596"/>
      <c r="B8" s="609"/>
      <c r="C8" s="609"/>
      <c r="D8" s="609"/>
      <c r="E8" s="609"/>
      <c r="F8" s="609"/>
      <c r="G8" s="609"/>
      <c r="H8" s="609"/>
      <c r="I8" s="609"/>
      <c r="J8" s="609"/>
      <c r="K8" s="609"/>
      <c r="L8" s="609"/>
      <c r="M8" s="609"/>
      <c r="N8" s="608"/>
    </row>
    <row r="9" spans="1:14" s="408" customFormat="1" ht="16.149999999999999" customHeight="1">
      <c r="A9" s="417" t="str">
        <f t="array" ref="A9:A11">'PPyGG anuales'!A9:A11</f>
        <v>Costes variables / Directos</v>
      </c>
      <c r="B9" s="605">
        <f t="array" aca="1" ref="B9:M9" ca="1">'Distr CV 4'!B28:M28</f>
        <v>305.96356000000003</v>
      </c>
      <c r="C9" s="605">
        <f ca="1"/>
        <v>382.45445000000007</v>
      </c>
      <c r="D9" s="605">
        <f ca="1"/>
        <v>420.69989500000008</v>
      </c>
      <c r="E9" s="605">
        <f ca="1"/>
        <v>401.57717249999996</v>
      </c>
      <c r="F9" s="605">
        <f ca="1"/>
        <v>344.20900500000005</v>
      </c>
      <c r="G9" s="605">
        <f ca="1"/>
        <v>325.08628250000004</v>
      </c>
      <c r="H9" s="605">
        <f ca="1"/>
        <v>305.96356000000003</v>
      </c>
      <c r="I9" s="605">
        <f ca="1"/>
        <v>229.47267000000002</v>
      </c>
      <c r="J9" s="605">
        <f ca="1"/>
        <v>305.96356000000003</v>
      </c>
      <c r="K9" s="605">
        <f ca="1"/>
        <v>363.33172750000006</v>
      </c>
      <c r="L9" s="605">
        <f ca="1"/>
        <v>382.45445000000007</v>
      </c>
      <c r="M9" s="605">
        <f ca="1"/>
        <v>458.94534000000004</v>
      </c>
      <c r="N9" s="606">
        <f ca="1">SUM(B9:M9)</f>
        <v>4226.1216725000004</v>
      </c>
    </row>
    <row r="10" spans="1:14" s="408" customFormat="1" ht="16.149999999999999" customHeight="1">
      <c r="A10" s="417" t="str">
        <v>Impagados / Cobros fallidos</v>
      </c>
      <c r="B10" s="609">
        <f ca="1">-(1-recmorosos)*'Cobros y pagos 3'!B27</f>
        <v>0</v>
      </c>
      <c r="C10" s="609">
        <f ca="1">-(1-recmorosos)*'Cobros y pagos 3'!C27</f>
        <v>0</v>
      </c>
      <c r="D10" s="609">
        <f ca="1">-(1-recmorosos)*'Cobros y pagos 3'!D27</f>
        <v>0</v>
      </c>
      <c r="E10" s="609">
        <f ca="1">-(1-recmorosos)*'Cobros y pagos 3'!E27</f>
        <v>0</v>
      </c>
      <c r="F10" s="609">
        <f ca="1">-(1-recmorosos)*'Cobros y pagos 3'!F27</f>
        <v>0</v>
      </c>
      <c r="G10" s="609">
        <f ca="1">-(1-recmorosos)*'Cobros y pagos 3'!G27</f>
        <v>0</v>
      </c>
      <c r="H10" s="609">
        <f ca="1">-(1-recmorosos)*'Cobros y pagos 3'!H27</f>
        <v>0</v>
      </c>
      <c r="I10" s="609">
        <f ca="1">-(1-recmorosos)*'Cobros y pagos 3'!I27</f>
        <v>0</v>
      </c>
      <c r="J10" s="609">
        <f ca="1">-(1-recmorosos)*'Cobros y pagos 3'!J27</f>
        <v>0</v>
      </c>
      <c r="K10" s="609">
        <f ca="1">-(1-recmorosos)*'Cobros y pagos 3'!K27</f>
        <v>0</v>
      </c>
      <c r="L10" s="609">
        <f ca="1">-(1-recmorosos)*'Cobros y pagos 3'!L27</f>
        <v>0</v>
      </c>
      <c r="M10" s="609">
        <f ca="1">-(1-recmorosos)*'Cobros y pagos 3'!M27+'IVA 4'!O15</f>
        <v>0</v>
      </c>
      <c r="N10" s="608">
        <f ca="1">SUM(B10:M10)</f>
        <v>0</v>
      </c>
    </row>
    <row r="11" spans="1:14" s="408" customFormat="1" ht="16.149999999999999" customHeight="1">
      <c r="A11" s="1602" t="str">
        <v>Costes Directos y Comerciales</v>
      </c>
      <c r="B11" s="1598">
        <f t="array" ref="B11:M11" ca="1">B9:M9+B10:M10</f>
        <v>305.96356000000003</v>
      </c>
      <c r="C11" s="1598">
        <f ca="1"/>
        <v>382.45445000000007</v>
      </c>
      <c r="D11" s="1598">
        <f ca="1"/>
        <v>420.69989500000008</v>
      </c>
      <c r="E11" s="1598">
        <f ca="1"/>
        <v>401.57717249999996</v>
      </c>
      <c r="F11" s="1598">
        <f ca="1"/>
        <v>344.20900500000005</v>
      </c>
      <c r="G11" s="1598">
        <f ca="1"/>
        <v>325.08628250000004</v>
      </c>
      <c r="H11" s="1598">
        <f ca="1"/>
        <v>305.96356000000003</v>
      </c>
      <c r="I11" s="1598">
        <f ca="1"/>
        <v>229.47267000000002</v>
      </c>
      <c r="J11" s="1598">
        <f ca="1"/>
        <v>305.96356000000003</v>
      </c>
      <c r="K11" s="1598">
        <f ca="1"/>
        <v>363.33172750000006</v>
      </c>
      <c r="L11" s="1598">
        <f ca="1"/>
        <v>382.45445000000007</v>
      </c>
      <c r="M11" s="1598">
        <f ca="1"/>
        <v>458.94534000000004</v>
      </c>
      <c r="N11" s="608">
        <f ca="1">SUM(B11:M11)</f>
        <v>4226.1216725000004</v>
      </c>
    </row>
    <row r="12" spans="1:14" s="408" customFormat="1" ht="16.149999999999999" customHeight="1">
      <c r="A12" s="940"/>
      <c r="B12" s="609"/>
      <c r="C12" s="609"/>
      <c r="D12" s="609"/>
      <c r="E12" s="609"/>
      <c r="F12" s="609"/>
      <c r="G12" s="609"/>
      <c r="H12" s="609"/>
      <c r="I12" s="609"/>
      <c r="J12" s="609"/>
      <c r="K12" s="609"/>
      <c r="L12" s="609"/>
      <c r="M12" s="609"/>
      <c r="N12" s="608"/>
    </row>
    <row r="13" spans="1:14" s="410" customFormat="1" ht="16.149999999999999" customHeight="1">
      <c r="A13" s="418" t="str">
        <f>'PPyGG anuales'!A13</f>
        <v>Margen Bruto s/Ventas</v>
      </c>
      <c r="B13" s="604">
        <f t="array" ref="B13:M13" ca="1">B7:M7-B11:M11</f>
        <v>2753.6720399999999</v>
      </c>
      <c r="C13" s="604">
        <f ca="1"/>
        <v>3442.0900500000002</v>
      </c>
      <c r="D13" s="604">
        <f ca="1"/>
        <v>3786.299055</v>
      </c>
      <c r="E13" s="604">
        <f ca="1"/>
        <v>3614.1945524999996</v>
      </c>
      <c r="F13" s="604">
        <f ca="1"/>
        <v>3097.8810450000001</v>
      </c>
      <c r="G13" s="604">
        <f ca="1"/>
        <v>2925.7765425000002</v>
      </c>
      <c r="H13" s="604">
        <f ca="1"/>
        <v>2753.6720399999999</v>
      </c>
      <c r="I13" s="604">
        <f ca="1"/>
        <v>2065.2540300000001</v>
      </c>
      <c r="J13" s="604">
        <f ca="1"/>
        <v>2753.6720399999999</v>
      </c>
      <c r="K13" s="604">
        <f ca="1"/>
        <v>3269.9855475000004</v>
      </c>
      <c r="L13" s="604">
        <f ca="1"/>
        <v>3442.0900500000002</v>
      </c>
      <c r="M13" s="604">
        <f ca="1"/>
        <v>4130.5080600000001</v>
      </c>
      <c r="N13" s="606">
        <f ca="1">SUM(B13:M13)</f>
        <v>38035.095052500001</v>
      </c>
    </row>
    <row r="14" spans="1:14" s="410" customFormat="1" ht="16.149999999999999" customHeight="1">
      <c r="A14" s="418"/>
      <c r="B14" s="412"/>
      <c r="C14" s="412"/>
      <c r="D14" s="412"/>
      <c r="E14" s="412"/>
      <c r="F14" s="412"/>
      <c r="G14" s="412"/>
      <c r="H14" s="412"/>
      <c r="I14" s="412"/>
      <c r="J14" s="412"/>
      <c r="K14" s="412"/>
      <c r="L14" s="412"/>
      <c r="M14" s="412"/>
      <c r="N14" s="1606"/>
    </row>
    <row r="15" spans="1:14" s="408" customFormat="1" ht="16.149999999999999" customHeight="1">
      <c r="A15" s="940" t="str">
        <f t="array" ref="A15:A18">'PPyGG anuales'!A15:A18</f>
        <v>Gastos de Personal</v>
      </c>
      <c r="B15" s="605">
        <f t="array" ref="B15:M15" ca="1">'G.F. 4'!B27:M27-'G.F. 4'!B20:M20</f>
        <v>1754.78784</v>
      </c>
      <c r="C15" s="605">
        <f ca="1"/>
        <v>1754.78784</v>
      </c>
      <c r="D15" s="605">
        <f ca="1"/>
        <v>1754.78784</v>
      </c>
      <c r="E15" s="605">
        <f ca="1"/>
        <v>1754.78784</v>
      </c>
      <c r="F15" s="605">
        <f ca="1"/>
        <v>1754.78784</v>
      </c>
      <c r="G15" s="605">
        <f ca="1"/>
        <v>1754.78784</v>
      </c>
      <c r="H15" s="605">
        <f ca="1"/>
        <v>1754.78784</v>
      </c>
      <c r="I15" s="605">
        <f ca="1"/>
        <v>1754.78784</v>
      </c>
      <c r="J15" s="605">
        <f ca="1"/>
        <v>1754.78784</v>
      </c>
      <c r="K15" s="605">
        <f ca="1"/>
        <v>1754.78784</v>
      </c>
      <c r="L15" s="605">
        <f ca="1"/>
        <v>1754.78784</v>
      </c>
      <c r="M15" s="605">
        <f ca="1"/>
        <v>1754.78784</v>
      </c>
      <c r="N15" s="606">
        <f ca="1">SUM(B15:M15)</f>
        <v>21057.454080000007</v>
      </c>
    </row>
    <row r="16" spans="1:14" s="408" customFormat="1" ht="16.149999999999999" customHeight="1">
      <c r="A16" s="940" t="str">
        <v>Gastos de Seguridad Social</v>
      </c>
      <c r="B16" s="605">
        <f t="array" ref="B16:M16" ca="1">+'G.F. 4'!B20:M20</f>
        <v>390</v>
      </c>
      <c r="C16" s="605">
        <f ca="1"/>
        <v>390</v>
      </c>
      <c r="D16" s="605">
        <f ca="1"/>
        <v>390</v>
      </c>
      <c r="E16" s="605">
        <f ca="1"/>
        <v>390</v>
      </c>
      <c r="F16" s="605">
        <f ca="1"/>
        <v>390</v>
      </c>
      <c r="G16" s="605">
        <f ca="1"/>
        <v>390</v>
      </c>
      <c r="H16" s="605">
        <f ca="1"/>
        <v>390</v>
      </c>
      <c r="I16" s="605">
        <f ca="1"/>
        <v>390</v>
      </c>
      <c r="J16" s="605">
        <f ca="1"/>
        <v>390</v>
      </c>
      <c r="K16" s="605">
        <f ca="1"/>
        <v>390</v>
      </c>
      <c r="L16" s="605">
        <f ca="1"/>
        <v>390</v>
      </c>
      <c r="M16" s="605">
        <f ca="1"/>
        <v>390</v>
      </c>
      <c r="N16" s="606">
        <f ca="1">SUM(B16:M16)</f>
        <v>4680</v>
      </c>
    </row>
    <row r="17" spans="1:14" s="408" customFormat="1" ht="16.149999999999999" customHeight="1">
      <c r="A17" s="940" t="str">
        <v>Otros Gastos Fijos</v>
      </c>
      <c r="B17" s="605">
        <f t="array" aca="1" ref="B17:M17" ca="1">'G.F. 4'!B55:M55+'IVA 4'!C13:N13</f>
        <v>151.587778959697</v>
      </c>
      <c r="C17" s="605">
        <f ca="1"/>
        <v>151.587778959697</v>
      </c>
      <c r="D17" s="605">
        <f ca="1"/>
        <v>151.587778959697</v>
      </c>
      <c r="E17" s="605">
        <f ca="1"/>
        <v>151.587778959697</v>
      </c>
      <c r="F17" s="605">
        <f ca="1"/>
        <v>151.587778959697</v>
      </c>
      <c r="G17" s="605">
        <f ca="1"/>
        <v>151.587778959697</v>
      </c>
      <c r="H17" s="605">
        <f ca="1"/>
        <v>151.587778959697</v>
      </c>
      <c r="I17" s="605">
        <f ca="1"/>
        <v>151.587778959697</v>
      </c>
      <c r="J17" s="605">
        <f ca="1"/>
        <v>151.587778959697</v>
      </c>
      <c r="K17" s="605">
        <f ca="1"/>
        <v>151.587778959697</v>
      </c>
      <c r="L17" s="605">
        <f ca="1"/>
        <v>151.587778959697</v>
      </c>
      <c r="M17" s="605">
        <f ca="1"/>
        <v>151.587778959697</v>
      </c>
      <c r="N17" s="606">
        <f ca="1">SUM(B17:M17)</f>
        <v>1819.0533475163645</v>
      </c>
    </row>
    <row r="18" spans="1:14" s="410" customFormat="1" ht="16.149999999999999" customHeight="1">
      <c r="A18" s="418" t="str">
        <v>Gastos Explotación</v>
      </c>
      <c r="B18" s="604">
        <f t="shared" ref="B18:M18" ca="1" si="0">SUM(B15:B17)</f>
        <v>2296.375618959697</v>
      </c>
      <c r="C18" s="604">
        <f t="shared" ca="1" si="0"/>
        <v>2296.375618959697</v>
      </c>
      <c r="D18" s="604">
        <f t="shared" ca="1" si="0"/>
        <v>2296.375618959697</v>
      </c>
      <c r="E18" s="604">
        <f t="shared" ca="1" si="0"/>
        <v>2296.375618959697</v>
      </c>
      <c r="F18" s="604">
        <f t="shared" ca="1" si="0"/>
        <v>2296.375618959697</v>
      </c>
      <c r="G18" s="604">
        <f t="shared" ca="1" si="0"/>
        <v>2296.375618959697</v>
      </c>
      <c r="H18" s="604">
        <f t="shared" ca="1" si="0"/>
        <v>2296.375618959697</v>
      </c>
      <c r="I18" s="604">
        <f t="shared" ca="1" si="0"/>
        <v>2296.375618959697</v>
      </c>
      <c r="J18" s="604">
        <f t="shared" ca="1" si="0"/>
        <v>2296.375618959697</v>
      </c>
      <c r="K18" s="604">
        <f t="shared" ca="1" si="0"/>
        <v>2296.375618959697</v>
      </c>
      <c r="L18" s="604">
        <f t="shared" ca="1" si="0"/>
        <v>2296.375618959697</v>
      </c>
      <c r="M18" s="604">
        <f t="shared" ca="1" si="0"/>
        <v>2296.375618959697</v>
      </c>
      <c r="N18" s="606">
        <f ca="1">SUM(B18:M18)</f>
        <v>27556.507427516364</v>
      </c>
    </row>
    <row r="19" spans="1:14" s="410" customFormat="1" ht="16.149999999999999" customHeight="1">
      <c r="A19" s="418"/>
      <c r="B19" s="412"/>
      <c r="C19" s="412"/>
      <c r="D19" s="412"/>
      <c r="E19" s="412"/>
      <c r="F19" s="412"/>
      <c r="G19" s="412"/>
      <c r="H19" s="412"/>
      <c r="I19" s="412"/>
      <c r="J19" s="412"/>
      <c r="K19" s="412"/>
      <c r="L19" s="412"/>
      <c r="M19" s="412"/>
      <c r="N19" s="1606"/>
    </row>
    <row r="20" spans="1:14" s="410" customFormat="1" ht="16.149999999999999" customHeight="1">
      <c r="A20" s="418" t="str">
        <f>'PPyGG anuales'!A20</f>
        <v>E.B.I.T.D.A.</v>
      </c>
      <c r="B20" s="412">
        <f t="array" ref="B20:M20" ca="1">B13:M13-B18:M18</f>
        <v>457.2964210403029</v>
      </c>
      <c r="C20" s="412">
        <f ca="1"/>
        <v>1145.7144310403032</v>
      </c>
      <c r="D20" s="412">
        <f ca="1"/>
        <v>1489.9234360403029</v>
      </c>
      <c r="E20" s="412">
        <f ca="1"/>
        <v>1317.8189335403026</v>
      </c>
      <c r="F20" s="412">
        <f ca="1"/>
        <v>801.50542604030306</v>
      </c>
      <c r="G20" s="412">
        <f ca="1"/>
        <v>629.40092354030321</v>
      </c>
      <c r="H20" s="412">
        <f ca="1"/>
        <v>457.2964210403029</v>
      </c>
      <c r="I20" s="412">
        <f ca="1"/>
        <v>-231.12158895969696</v>
      </c>
      <c r="J20" s="412">
        <f ca="1"/>
        <v>457.2964210403029</v>
      </c>
      <c r="K20" s="412">
        <f ca="1"/>
        <v>973.60992854030337</v>
      </c>
      <c r="L20" s="412">
        <f ca="1"/>
        <v>1145.7144310403032</v>
      </c>
      <c r="M20" s="412">
        <f ca="1"/>
        <v>1834.1324410403031</v>
      </c>
      <c r="N20" s="606">
        <f ca="1">SUM(B20:M20)</f>
        <v>10478.587624983636</v>
      </c>
    </row>
    <row r="21" spans="1:14" s="410" customFormat="1" ht="16.149999999999999" customHeight="1">
      <c r="A21" s="418"/>
      <c r="B21" s="412"/>
      <c r="C21" s="412"/>
      <c r="D21" s="412"/>
      <c r="E21" s="412"/>
      <c r="F21" s="412"/>
      <c r="G21" s="412"/>
      <c r="H21" s="412"/>
      <c r="I21" s="412"/>
      <c r="J21" s="412"/>
      <c r="K21" s="412"/>
      <c r="L21" s="412"/>
      <c r="M21" s="412"/>
      <c r="N21" s="1606"/>
    </row>
    <row r="22" spans="1:14" s="408" customFormat="1" ht="16.149999999999999" customHeight="1">
      <c r="A22" s="940" t="str">
        <f t="array" ref="A22:A23">'PPyGG anuales'!A22:A23</f>
        <v>Dotación Amortizaciones</v>
      </c>
      <c r="B22" s="605">
        <f t="array" ref="B22:M22">Amortizaciones!$H$41/12</f>
        <v>0</v>
      </c>
      <c r="C22" s="605">
        <v>0</v>
      </c>
      <c r="D22" s="605">
        <v>0</v>
      </c>
      <c r="E22" s="605">
        <v>0</v>
      </c>
      <c r="F22" s="605">
        <v>0</v>
      </c>
      <c r="G22" s="605">
        <v>0</v>
      </c>
      <c r="H22" s="605">
        <v>0</v>
      </c>
      <c r="I22" s="605">
        <v>0</v>
      </c>
      <c r="J22" s="605">
        <v>0</v>
      </c>
      <c r="K22" s="605">
        <v>0</v>
      </c>
      <c r="L22" s="605">
        <v>0</v>
      </c>
      <c r="M22" s="605">
        <v>0</v>
      </c>
      <c r="N22" s="606">
        <f>SUM(B22:M22)</f>
        <v>0</v>
      </c>
    </row>
    <row r="23" spans="1:14" s="410" customFormat="1" ht="16.149999999999999" customHeight="1">
      <c r="A23" s="418" t="str">
        <v>Res. antes Int. e Imp. (BAII / EBIT)</v>
      </c>
      <c r="B23" s="606">
        <f t="array" ref="B23:M23" ca="1">B20:M20-B22:M22</f>
        <v>457.2964210403029</v>
      </c>
      <c r="C23" s="606">
        <f ca="1"/>
        <v>1145.7144310403032</v>
      </c>
      <c r="D23" s="606">
        <f ca="1"/>
        <v>1489.9234360403029</v>
      </c>
      <c r="E23" s="606">
        <f ca="1"/>
        <v>1317.8189335403026</v>
      </c>
      <c r="F23" s="606">
        <f ca="1"/>
        <v>801.50542604030306</v>
      </c>
      <c r="G23" s="606">
        <f ca="1"/>
        <v>629.40092354030321</v>
      </c>
      <c r="H23" s="606">
        <f ca="1"/>
        <v>457.2964210403029</v>
      </c>
      <c r="I23" s="606">
        <f ca="1"/>
        <v>-231.12158895969696</v>
      </c>
      <c r="J23" s="606">
        <f ca="1"/>
        <v>457.2964210403029</v>
      </c>
      <c r="K23" s="606">
        <f ca="1"/>
        <v>973.60992854030337</v>
      </c>
      <c r="L23" s="606">
        <f ca="1"/>
        <v>1145.7144310403032</v>
      </c>
      <c r="M23" s="606">
        <f ca="1"/>
        <v>1834.1324410403031</v>
      </c>
      <c r="N23" s="606">
        <f ca="1">SUM(B23:M23)</f>
        <v>10478.587624983636</v>
      </c>
    </row>
    <row r="24" spans="1:14" s="410" customFormat="1" ht="16.149999999999999" customHeight="1">
      <c r="A24" s="418"/>
      <c r="B24" s="412"/>
      <c r="C24" s="412"/>
      <c r="D24" s="412"/>
      <c r="E24" s="412"/>
      <c r="F24" s="412"/>
      <c r="G24" s="412"/>
      <c r="H24" s="412"/>
      <c r="I24" s="412"/>
      <c r="J24" s="412"/>
      <c r="K24" s="412"/>
      <c r="L24" s="412"/>
      <c r="M24" s="412"/>
      <c r="N24" s="1606"/>
    </row>
    <row r="25" spans="1:14" s="408" customFormat="1" ht="16.149999999999999" customHeight="1">
      <c r="A25" s="940" t="str">
        <f t="array" ref="A25:A27">'PPyGG anuales'!A25:A27</f>
        <v>Ingresos Financieros</v>
      </c>
      <c r="B25" s="607">
        <f t="array" ref="B25:M25" ca="1">'Gastos Financieros'!C107:N107</f>
        <v>0</v>
      </c>
      <c r="C25" s="607">
        <f ca="1"/>
        <v>0</v>
      </c>
      <c r="D25" s="607">
        <f ca="1"/>
        <v>0</v>
      </c>
      <c r="E25" s="607">
        <f ca="1"/>
        <v>0</v>
      </c>
      <c r="F25" s="607">
        <f ca="1"/>
        <v>0</v>
      </c>
      <c r="G25" s="607">
        <f ca="1"/>
        <v>0</v>
      </c>
      <c r="H25" s="607">
        <f ca="1"/>
        <v>0</v>
      </c>
      <c r="I25" s="607">
        <f ca="1"/>
        <v>0</v>
      </c>
      <c r="J25" s="607">
        <f ca="1"/>
        <v>0</v>
      </c>
      <c r="K25" s="607">
        <f ca="1"/>
        <v>0</v>
      </c>
      <c r="L25" s="607">
        <f ca="1"/>
        <v>0</v>
      </c>
      <c r="M25" s="607">
        <f ca="1"/>
        <v>0</v>
      </c>
      <c r="N25" s="608">
        <f ca="1">SUM(B25:M25)</f>
        <v>0</v>
      </c>
    </row>
    <row r="26" spans="1:14" s="408" customFormat="1" ht="16.149999999999999" customHeight="1">
      <c r="A26" s="940" t="str">
        <v>Gastos Financieros</v>
      </c>
      <c r="B26" s="607">
        <f t="array" ref="B26:M26" ca="1">'Gastos Financieros'!C79:N79</f>
        <v>185.10795380000002</v>
      </c>
      <c r="C26" s="607">
        <f ca="1"/>
        <v>231.38494225000005</v>
      </c>
      <c r="D26" s="607">
        <f ca="1"/>
        <v>254.52343647500004</v>
      </c>
      <c r="E26" s="607">
        <f ca="1"/>
        <v>242.95418936249999</v>
      </c>
      <c r="F26" s="607">
        <f ca="1"/>
        <v>208.24644802500003</v>
      </c>
      <c r="G26" s="607">
        <f ca="1"/>
        <v>196.67720091250001</v>
      </c>
      <c r="H26" s="607">
        <f ca="1"/>
        <v>185.10795380000002</v>
      </c>
      <c r="I26" s="607">
        <f ca="1"/>
        <v>138.83096535000001</v>
      </c>
      <c r="J26" s="607">
        <f ca="1"/>
        <v>185.10795380000002</v>
      </c>
      <c r="K26" s="607">
        <f ca="1"/>
        <v>219.81569513750003</v>
      </c>
      <c r="L26" s="607">
        <f ca="1"/>
        <v>231.38494225000005</v>
      </c>
      <c r="M26" s="607">
        <f ca="1"/>
        <v>277.66193070000003</v>
      </c>
      <c r="N26" s="608">
        <f ca="1">SUM(B26:M26)</f>
        <v>2556.8036118625</v>
      </c>
    </row>
    <row r="27" spans="1:14" s="410" customFormat="1" ht="16.149999999999999" customHeight="1">
      <c r="A27" s="418" t="str">
        <v>Resultado Financiero</v>
      </c>
      <c r="B27" s="608">
        <f t="array" ref="B27:M27" ca="1">B25:M25-B26:M26</f>
        <v>-185.10795380000002</v>
      </c>
      <c r="C27" s="608">
        <f ca="1"/>
        <v>-231.38494225000005</v>
      </c>
      <c r="D27" s="608">
        <f ca="1"/>
        <v>-254.52343647500004</v>
      </c>
      <c r="E27" s="608">
        <f ca="1"/>
        <v>-242.95418936249999</v>
      </c>
      <c r="F27" s="608">
        <f ca="1"/>
        <v>-208.24644802500003</v>
      </c>
      <c r="G27" s="608">
        <f ca="1"/>
        <v>-196.67720091250001</v>
      </c>
      <c r="H27" s="608">
        <f ca="1"/>
        <v>-185.10795380000002</v>
      </c>
      <c r="I27" s="608">
        <f ca="1"/>
        <v>-138.83096535000001</v>
      </c>
      <c r="J27" s="608">
        <f ca="1"/>
        <v>-185.10795380000002</v>
      </c>
      <c r="K27" s="608">
        <f ca="1"/>
        <v>-219.81569513750003</v>
      </c>
      <c r="L27" s="608">
        <f ca="1"/>
        <v>-231.38494225000005</v>
      </c>
      <c r="M27" s="608">
        <f ca="1"/>
        <v>-277.66193070000003</v>
      </c>
      <c r="N27" s="608">
        <f ca="1">SUM(B27:M27)</f>
        <v>-2556.8036118625</v>
      </c>
    </row>
    <row r="28" spans="1:14" s="410" customFormat="1" ht="16.149999999999999" customHeight="1">
      <c r="A28" s="418"/>
      <c r="B28" s="412"/>
      <c r="C28" s="412"/>
      <c r="D28" s="412"/>
      <c r="E28" s="412"/>
      <c r="F28" s="412"/>
      <c r="G28" s="412"/>
      <c r="H28" s="412"/>
      <c r="I28" s="412"/>
      <c r="J28" s="412"/>
      <c r="K28" s="412"/>
      <c r="L28" s="412"/>
      <c r="M28" s="412"/>
      <c r="N28" s="1606"/>
    </row>
    <row r="29" spans="1:14" s="410" customFormat="1" ht="16.149999999999999" customHeight="1">
      <c r="A29" s="418" t="str">
        <f>'PPyGG anuales'!A29</f>
        <v>Resultado antes Impuestos (B.A.I.)</v>
      </c>
      <c r="B29" s="608">
        <f t="array" ref="B29:M29" ca="1">B23:M23+B27:M27</f>
        <v>272.18846724030288</v>
      </c>
      <c r="C29" s="608">
        <f ca="1"/>
        <v>914.32948879030323</v>
      </c>
      <c r="D29" s="608">
        <f ca="1"/>
        <v>1235.399999565303</v>
      </c>
      <c r="E29" s="608">
        <f ca="1"/>
        <v>1074.8647441778025</v>
      </c>
      <c r="F29" s="608">
        <f ca="1"/>
        <v>593.258978015303</v>
      </c>
      <c r="G29" s="608">
        <f ca="1"/>
        <v>432.72372262780323</v>
      </c>
      <c r="H29" s="608">
        <f ca="1"/>
        <v>272.18846724030288</v>
      </c>
      <c r="I29" s="608">
        <f ca="1"/>
        <v>-369.95255430969701</v>
      </c>
      <c r="J29" s="608">
        <f ca="1"/>
        <v>272.18846724030288</v>
      </c>
      <c r="K29" s="608">
        <f ca="1"/>
        <v>753.79423340280334</v>
      </c>
      <c r="L29" s="608">
        <f ca="1"/>
        <v>914.32948879030323</v>
      </c>
      <c r="M29" s="608">
        <f ca="1"/>
        <v>1556.470510340303</v>
      </c>
      <c r="N29" s="608">
        <f ca="1">SUM(B29:M29)</f>
        <v>7921.784013121136</v>
      </c>
    </row>
    <row r="30" spans="1:14" s="410" customFormat="1" ht="16.149999999999999" customHeight="1" thickBot="1">
      <c r="A30" s="418"/>
      <c r="B30" s="412"/>
      <c r="C30" s="412"/>
      <c r="D30" s="412"/>
      <c r="E30" s="412"/>
      <c r="F30" s="412"/>
      <c r="G30" s="412"/>
      <c r="H30" s="412"/>
      <c r="I30" s="412"/>
      <c r="J30" s="412"/>
      <c r="K30" s="412"/>
      <c r="L30" s="412"/>
      <c r="M30" s="412"/>
      <c r="N30" s="1606"/>
    </row>
    <row r="31" spans="1:14" s="413" customFormat="1" ht="21.75" customHeight="1" thickBot="1">
      <c r="A31" s="419" t="str">
        <f>'PyG 0'!A31</f>
        <v>Res. Acumulado Ejercicio</v>
      </c>
      <c r="B31" s="610">
        <f ca="1">B29</f>
        <v>272.18846724030288</v>
      </c>
      <c r="C31" s="610">
        <f t="shared" ref="C31:M31" ca="1" si="1">B31+C29</f>
        <v>1186.517956030606</v>
      </c>
      <c r="D31" s="610">
        <f t="shared" ca="1" si="1"/>
        <v>2421.917955595909</v>
      </c>
      <c r="E31" s="610">
        <f t="shared" ca="1" si="1"/>
        <v>3496.7826997737116</v>
      </c>
      <c r="F31" s="610">
        <f t="shared" ca="1" si="1"/>
        <v>4090.0416777890146</v>
      </c>
      <c r="G31" s="610">
        <f t="shared" ca="1" si="1"/>
        <v>4522.765400416818</v>
      </c>
      <c r="H31" s="610">
        <f t="shared" ca="1" si="1"/>
        <v>4794.953867657121</v>
      </c>
      <c r="I31" s="610">
        <f t="shared" ca="1" si="1"/>
        <v>4425.001313347424</v>
      </c>
      <c r="J31" s="610">
        <f t="shared" ca="1" si="1"/>
        <v>4697.189780587727</v>
      </c>
      <c r="K31" s="610">
        <f t="shared" ca="1" si="1"/>
        <v>5450.98401399053</v>
      </c>
      <c r="L31" s="610">
        <f t="shared" ca="1" si="1"/>
        <v>6365.313502780833</v>
      </c>
      <c r="M31" s="610">
        <f t="shared" ca="1" si="1"/>
        <v>7921.784013121136</v>
      </c>
      <c r="N31" s="420"/>
    </row>
    <row r="32" spans="1:14" s="408" customFormat="1" ht="10.5">
      <c r="N32" s="410"/>
    </row>
    <row r="33" spans="12:14" s="408" customFormat="1">
      <c r="L33" s="61"/>
      <c r="M33" s="61"/>
      <c r="N33" s="232"/>
    </row>
  </sheetData>
  <sheetProtection sheet="1" objects="1" scenarios="1"/>
  <phoneticPr fontId="6" type="noConversion"/>
  <printOptions horizontalCentered="1" verticalCentered="1"/>
  <pageMargins left="0.39370078740157483" right="0.39370078740157483" top="0.41" bottom="0.59055118110236227" header="0.31496062992125984" footer="0.31496062992125984"/>
  <pageSetup paperSize="9" scale="72" orientation="landscape" horizontalDpi="300" verticalDpi="300" r:id="rId1"/>
  <headerFooter alignWithMargins="0">
    <oddFooter>&amp;C&amp;"Tahoma,Normal"&amp;10&amp;A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40">
    <tabColor theme="3" tint="0.39997558519241921"/>
    <pageSetUpPr fitToPage="1"/>
  </sheetPr>
  <dimension ref="A1:O55"/>
  <sheetViews>
    <sheetView workbookViewId="0"/>
  </sheetViews>
  <sheetFormatPr baseColWidth="10" defaultColWidth="11" defaultRowHeight="15"/>
  <cols>
    <col min="1" max="1" width="33.5" style="683" customWidth="1"/>
    <col min="2" max="2" width="15.125" style="683" customWidth="1"/>
    <col min="3" max="3" width="14.375" style="683" customWidth="1"/>
    <col min="4" max="4" width="13.5" style="35" customWidth="1"/>
    <col min="5" max="5" width="14.25" style="687" customWidth="1"/>
    <col min="6" max="6" width="12.875" style="35" customWidth="1"/>
    <col min="7" max="7" width="11.625" style="35" customWidth="1"/>
    <col min="8" max="8" width="12.875" style="35" customWidth="1"/>
    <col min="9" max="9" width="11.625" style="35" customWidth="1"/>
    <col min="10" max="10" width="12.875" style="35" customWidth="1"/>
    <col min="11" max="11" width="11.625" style="35" customWidth="1"/>
    <col min="12" max="12" width="12.875" style="35" customWidth="1"/>
    <col min="13" max="13" width="11.625" style="35" customWidth="1"/>
    <col min="14" max="14" width="12.875" style="35" customWidth="1"/>
    <col min="15" max="15" width="11.625" style="35" customWidth="1"/>
    <col min="16" max="16384" width="11" style="35"/>
  </cols>
  <sheetData>
    <row r="1" spans="1:15" ht="22.5">
      <c r="A1" s="406" t="s">
        <v>638</v>
      </c>
      <c r="B1" s="406"/>
      <c r="C1" s="406"/>
      <c r="D1" s="680"/>
      <c r="E1" s="680"/>
      <c r="F1" s="680"/>
      <c r="G1" s="680"/>
      <c r="H1" s="680"/>
      <c r="I1" s="213"/>
      <c r="J1" s="213"/>
      <c r="K1" s="213"/>
      <c r="L1" s="213"/>
      <c r="M1" s="213"/>
      <c r="N1" s="213"/>
      <c r="O1" s="213"/>
    </row>
    <row r="2" spans="1:15" ht="23.25" thickBot="1">
      <c r="A2" s="406" t="str">
        <f>'Datos Básicos'!B9</f>
        <v>nombre empresa</v>
      </c>
      <c r="B2" s="406"/>
      <c r="C2" s="406"/>
      <c r="D2" s="681"/>
      <c r="E2" s="681"/>
      <c r="F2" s="682"/>
      <c r="G2" s="681"/>
      <c r="H2" s="682"/>
      <c r="J2" s="682"/>
      <c r="K2" s="257"/>
      <c r="L2" s="682"/>
      <c r="M2" s="257"/>
      <c r="N2" s="682"/>
      <c r="O2" s="257"/>
    </row>
    <row r="3" spans="1:15" ht="15.75" thickBot="1">
      <c r="B3" s="1655" t="s">
        <v>1113</v>
      </c>
      <c r="C3" s="1655"/>
      <c r="D3" s="1655" t="str">
        <f>MID('Datos Básicos'!F21,2,40)&amp;" (*)"</f>
        <v xml:space="preserve"> mes de enero de 2026 (*)</v>
      </c>
      <c r="E3" s="1656"/>
      <c r="F3" s="1655" t="str">
        <f>CONCATENATE(Parametros!$B$72,"  ",TEXT(Parametros!D64,aa&amp;aa))</f>
        <v>diciembre  2026</v>
      </c>
      <c r="G3" s="1656"/>
      <c r="H3" s="1655" t="str">
        <f>CONCATENATE(Parametros!$B$72,"  ",TEXT(Parametros!E64,aa&amp;aa))</f>
        <v>diciembre  2027</v>
      </c>
      <c r="I3" s="1656"/>
      <c r="J3" s="1655" t="str">
        <f>CONCATENATE(Parametros!$B$72,"  ",TEXT(Parametros!F64,aa&amp;aa))</f>
        <v>diciembre  2028</v>
      </c>
      <c r="K3" s="1656"/>
      <c r="L3" s="1655" t="str">
        <f>CONCATENATE(Parametros!$B$72,"  ",TEXT(Parametros!G64,aa&amp;aa))</f>
        <v>diciembre  2029</v>
      </c>
      <c r="M3" s="1656"/>
      <c r="N3" s="1655" t="str">
        <f>CONCATENATE(Parametros!$B$72,"  ",TEXT(Parametros!H64,aa&amp;aa))</f>
        <v>diciembre  2030</v>
      </c>
      <c r="O3" s="1656"/>
    </row>
    <row r="4" spans="1:15" ht="15.75" thickBot="1">
      <c r="A4" s="72"/>
      <c r="B4" s="696" t="str">
        <f>$D$4</f>
        <v>€</v>
      </c>
      <c r="C4" s="697" t="s">
        <v>32</v>
      </c>
      <c r="D4" s="696" t="str">
        <f>Parametros!H11</f>
        <v>€</v>
      </c>
      <c r="E4" s="697" t="s">
        <v>32</v>
      </c>
      <c r="F4" s="696" t="str">
        <f>$D$4</f>
        <v>€</v>
      </c>
      <c r="G4" s="697" t="s">
        <v>32</v>
      </c>
      <c r="H4" s="696" t="str">
        <f>$D$4</f>
        <v>€</v>
      </c>
      <c r="I4" s="697" t="s">
        <v>32</v>
      </c>
      <c r="J4" s="696" t="str">
        <f>$D$4</f>
        <v>€</v>
      </c>
      <c r="K4" s="698" t="s">
        <v>32</v>
      </c>
      <c r="L4" s="696" t="str">
        <f>$D$4</f>
        <v>€</v>
      </c>
      <c r="M4" s="698" t="s">
        <v>32</v>
      </c>
      <c r="N4" s="696" t="str">
        <f>$D$4</f>
        <v>€</v>
      </c>
      <c r="O4" s="698" t="s">
        <v>32</v>
      </c>
    </row>
    <row r="5" spans="1:15" s="48" customFormat="1" ht="16.5" customHeight="1">
      <c r="A5" s="1677" t="s">
        <v>576</v>
      </c>
      <c r="B5" s="1671">
        <f>SUM(B6:B12)</f>
        <v>0</v>
      </c>
      <c r="C5" s="1668">
        <f t="shared" ref="C5:C11" ca="1" si="0">IFERROR(B5/B$24,0)</f>
        <v>0</v>
      </c>
      <c r="D5" s="1671">
        <f>SUM(D6:D12)</f>
        <v>0</v>
      </c>
      <c r="E5" s="1668">
        <f ca="1">D5/D$24</f>
        <v>0</v>
      </c>
      <c r="F5" s="1673">
        <f>SUM(F6:F12)</f>
        <v>0</v>
      </c>
      <c r="G5" s="1670">
        <f ca="1">F5/F$24</f>
        <v>0</v>
      </c>
      <c r="H5" s="1673">
        <f>SUM(H6:H12)</f>
        <v>0</v>
      </c>
      <c r="I5" s="1670">
        <f ca="1">H5/H$24</f>
        <v>0</v>
      </c>
      <c r="J5" s="1673">
        <f>SUM(J6:J12)</f>
        <v>0</v>
      </c>
      <c r="K5" s="1670">
        <f ca="1">J5/J$24</f>
        <v>0</v>
      </c>
      <c r="L5" s="1673">
        <f>SUM(L6:L12)</f>
        <v>0</v>
      </c>
      <c r="M5" s="1670">
        <f ca="1">L5/L$24</f>
        <v>0</v>
      </c>
      <c r="N5" s="1673">
        <f>SUM(N6:N12)</f>
        <v>0</v>
      </c>
      <c r="O5" s="1670">
        <f ca="1">N5/N$24</f>
        <v>0</v>
      </c>
    </row>
    <row r="6" spans="1:15" ht="16.5" customHeight="1">
      <c r="A6" s="1450" t="s">
        <v>1</v>
      </c>
      <c r="B6" s="699">
        <f>'Bal. Inicial Previo'!D12+'Bal. Inicial Previo'!D14</f>
        <v>0</v>
      </c>
      <c r="C6" s="700">
        <f t="shared" ca="1" si="0"/>
        <v>0</v>
      </c>
      <c r="D6" s="690">
        <f>Amortizaciones!B6</f>
        <v>0</v>
      </c>
      <c r="E6" s="700">
        <f ca="1">D6/D$24</f>
        <v>0</v>
      </c>
      <c r="F6" s="699">
        <f>D6</f>
        <v>0</v>
      </c>
      <c r="G6" s="700">
        <f ca="1">F6/F$24</f>
        <v>0</v>
      </c>
      <c r="H6" s="699">
        <f>F6+Amortizaciones!E6</f>
        <v>0</v>
      </c>
      <c r="I6" s="700">
        <f ca="1">H6/H$24</f>
        <v>0</v>
      </c>
      <c r="J6" s="699">
        <f>H6+Amortizaciones!F6</f>
        <v>0</v>
      </c>
      <c r="K6" s="700">
        <f ca="1">J6/J$24</f>
        <v>0</v>
      </c>
      <c r="L6" s="699">
        <f>J6+Amortizaciones!G6</f>
        <v>0</v>
      </c>
      <c r="M6" s="700">
        <f ca="1">L6/L$24</f>
        <v>0</v>
      </c>
      <c r="N6" s="699">
        <f>L6+Amortizaciones!H6</f>
        <v>0</v>
      </c>
      <c r="O6" s="700">
        <f ca="1">N6/N$24</f>
        <v>0</v>
      </c>
    </row>
    <row r="7" spans="1:15" ht="16.5" customHeight="1">
      <c r="A7" s="1450" t="s">
        <v>690</v>
      </c>
      <c r="B7" s="699">
        <f>'Bal. Inicial Previo'!D10</f>
        <v>0</v>
      </c>
      <c r="C7" s="700">
        <f t="shared" ca="1" si="0"/>
        <v>0</v>
      </c>
      <c r="D7" s="690">
        <f>'Inv. Iniciales ANC'!B63</f>
        <v>0</v>
      </c>
      <c r="E7" s="700">
        <f ca="1">D7/D$24</f>
        <v>0</v>
      </c>
      <c r="F7" s="699">
        <f>D7</f>
        <v>0</v>
      </c>
      <c r="G7" s="700">
        <f ca="1">F7/F$24</f>
        <v>0</v>
      </c>
      <c r="H7" s="699">
        <f>F7+Amortizaciones!E17</f>
        <v>0</v>
      </c>
      <c r="I7" s="700">
        <f ca="1">H7/H$24</f>
        <v>0</v>
      </c>
      <c r="J7" s="699">
        <f>H7+Amortizaciones!F17</f>
        <v>0</v>
      </c>
      <c r="K7" s="700">
        <f ca="1">J7/J$24</f>
        <v>0</v>
      </c>
      <c r="L7" s="699">
        <f>J7+Amortizaciones!G17</f>
        <v>0</v>
      </c>
      <c r="M7" s="700">
        <f ca="1">L7/L$24</f>
        <v>0</v>
      </c>
      <c r="N7" s="699">
        <f>L7+Amortizaciones!H17</f>
        <v>0</v>
      </c>
      <c r="O7" s="700">
        <f ca="1">N7/N$24</f>
        <v>0</v>
      </c>
    </row>
    <row r="8" spans="1:15" ht="16.5" customHeight="1">
      <c r="A8" s="1450" t="s">
        <v>632</v>
      </c>
      <c r="B8" s="699">
        <v>0</v>
      </c>
      <c r="C8" s="700">
        <f t="shared" ca="1" si="0"/>
        <v>0</v>
      </c>
      <c r="D8" s="690">
        <f>-Amortizaciones!C6-'Inv. Iniciales ANC'!E63</f>
        <v>0</v>
      </c>
      <c r="E8" s="700">
        <f ca="1">D8/D$24</f>
        <v>0</v>
      </c>
      <c r="F8" s="699">
        <f>D8-Amortizaciones!D28-Amortizaciones!D39</f>
        <v>0</v>
      </c>
      <c r="G8" s="700">
        <f ca="1">F8/F$24</f>
        <v>0</v>
      </c>
      <c r="H8" s="699">
        <f>F8-Amortizaciones!E28-Amortizaciones!E39</f>
        <v>0</v>
      </c>
      <c r="I8" s="700">
        <f ca="1">H8/H$24</f>
        <v>0</v>
      </c>
      <c r="J8" s="699">
        <f>H8-Amortizaciones!F28-Amortizaciones!F39</f>
        <v>0</v>
      </c>
      <c r="K8" s="700">
        <f ca="1">J8/J$24</f>
        <v>0</v>
      </c>
      <c r="L8" s="699">
        <f>J8-Amortizaciones!G28-Amortizaciones!G39</f>
        <v>0</v>
      </c>
      <c r="M8" s="700">
        <f ca="1">L8/L$24</f>
        <v>0</v>
      </c>
      <c r="N8" s="699">
        <f>L8-Amortizaciones!H28-Amortizaciones!H39</f>
        <v>0</v>
      </c>
      <c r="O8" s="700">
        <f ca="1">N8/N$24</f>
        <v>0</v>
      </c>
    </row>
    <row r="9" spans="1:15" s="1607" customFormat="1" ht="16.5" hidden="1" customHeight="1">
      <c r="A9" s="1652" t="s">
        <v>614</v>
      </c>
      <c r="B9" s="699"/>
      <c r="C9" s="700">
        <f t="shared" ca="1" si="0"/>
        <v>0</v>
      </c>
      <c r="D9" s="1609">
        <f>'Gastos Iniciales'!B12*0</f>
        <v>0</v>
      </c>
      <c r="E9" s="700">
        <f ca="1">D9/D$24</f>
        <v>0</v>
      </c>
      <c r="F9" s="1611">
        <f>D9</f>
        <v>0</v>
      </c>
      <c r="G9" s="1612">
        <f ca="1">F9/F$24</f>
        <v>0</v>
      </c>
      <c r="H9" s="1611">
        <f>F9</f>
        <v>0</v>
      </c>
      <c r="I9" s="1612">
        <f ca="1">H9/H$24</f>
        <v>0</v>
      </c>
      <c r="J9" s="1611">
        <f>H9</f>
        <v>0</v>
      </c>
      <c r="K9" s="1612">
        <f ca="1">J9/J$24</f>
        <v>0</v>
      </c>
      <c r="L9" s="1611">
        <f>J9</f>
        <v>0</v>
      </c>
      <c r="M9" s="1612">
        <f ca="1">L9/L$24</f>
        <v>0</v>
      </c>
      <c r="N9" s="1611">
        <f>L9</f>
        <v>0</v>
      </c>
      <c r="O9" s="1612">
        <f ca="1">N9/N$24</f>
        <v>0</v>
      </c>
    </row>
    <row r="10" spans="1:15" s="1591" customFormat="1" ht="16.5" hidden="1" customHeight="1">
      <c r="A10" s="1653" t="s">
        <v>615</v>
      </c>
      <c r="B10" s="699"/>
      <c r="C10" s="700">
        <f t="shared" ca="1" si="0"/>
        <v>0</v>
      </c>
      <c r="D10" s="1592">
        <f>+'Gastos Iniciales'!B20*0</f>
        <v>0</v>
      </c>
      <c r="E10" s="700"/>
      <c r="F10" s="1594">
        <f>D10</f>
        <v>0</v>
      </c>
      <c r="G10" s="1595"/>
      <c r="H10" s="1594">
        <f>F10</f>
        <v>0</v>
      </c>
      <c r="I10" s="1595"/>
      <c r="J10" s="1594">
        <f>H10</f>
        <v>0</v>
      </c>
      <c r="K10" s="1595"/>
      <c r="L10" s="1594">
        <f>J10</f>
        <v>0</v>
      </c>
      <c r="M10" s="1595"/>
      <c r="N10" s="1594">
        <f>L10</f>
        <v>0</v>
      </c>
      <c r="O10" s="1595"/>
    </row>
    <row r="11" spans="1:15" ht="16.5" customHeight="1">
      <c r="A11" s="1450" t="s">
        <v>629</v>
      </c>
      <c r="B11" s="699">
        <f>'Bal. Inicial Previo'!D18</f>
        <v>0</v>
      </c>
      <c r="C11" s="700">
        <f t="shared" ca="1" si="0"/>
        <v>0</v>
      </c>
      <c r="D11" s="690">
        <f>'Gastos Iniciales'!B26</f>
        <v>0</v>
      </c>
      <c r="E11" s="700">
        <f ca="1">D11/D$24</f>
        <v>0</v>
      </c>
      <c r="F11" s="699">
        <f>D11
-'Gastos Fijos Datos'!$B$21*IF(mes0+'Gastos Fijos Datos'!C33&lt;=12,'Gastos Fijos Datos'!C33,12-mes0+1)</f>
        <v>0</v>
      </c>
      <c r="G11" s="700">
        <f ca="1">F11/F$24</f>
        <v>0</v>
      </c>
      <c r="H11" s="699">
        <f>F11
-'Gastos Fijos Datos'!B21*IF(mes0+'Gastos Fijos Datos'!C33&lt;=12,0,mes0+'Gastos Fijos Datos'!C33-12)</f>
        <v>0</v>
      </c>
      <c r="I11" s="700">
        <f ca="1">H11/H$24</f>
        <v>0</v>
      </c>
      <c r="J11" s="699">
        <f>H11</f>
        <v>0</v>
      </c>
      <c r="K11" s="700">
        <f ca="1">J11/J$24</f>
        <v>0</v>
      </c>
      <c r="L11" s="699">
        <f>J11</f>
        <v>0</v>
      </c>
      <c r="M11" s="700">
        <f ca="1">L11/L$24</f>
        <v>0</v>
      </c>
      <c r="N11" s="699">
        <f>L11</f>
        <v>0</v>
      </c>
      <c r="O11" s="700">
        <f ca="1">N11/N$24</f>
        <v>0</v>
      </c>
    </row>
    <row r="12" spans="1:15" ht="16.5" customHeight="1">
      <c r="A12" s="684"/>
      <c r="B12" s="690"/>
      <c r="C12" s="691"/>
      <c r="D12" s="690"/>
      <c r="E12" s="691"/>
      <c r="F12" s="699"/>
      <c r="G12" s="700"/>
      <c r="H12" s="699"/>
      <c r="I12" s="700"/>
      <c r="J12" s="699"/>
      <c r="K12" s="700"/>
      <c r="L12" s="699"/>
      <c r="M12" s="700"/>
      <c r="N12" s="699"/>
      <c r="O12" s="700"/>
    </row>
    <row r="13" spans="1:15" s="48" customFormat="1" ht="16.5" customHeight="1">
      <c r="A13" s="1675" t="s">
        <v>583</v>
      </c>
      <c r="B13" s="1667">
        <f ca="1">SUM(B14:B23)</f>
        <v>0</v>
      </c>
      <c r="C13" s="1668">
        <f t="shared" ref="C13:C22" ca="1" si="1">IFERROR(B13/B$24,0)</f>
        <v>0</v>
      </c>
      <c r="D13" s="1667">
        <f ca="1">SUM(D14:D23)</f>
        <v>3000</v>
      </c>
      <c r="E13" s="1668">
        <f t="shared" ref="E13:E22" ca="1" si="2">D13/D$24</f>
        <v>1</v>
      </c>
      <c r="F13" s="1669">
        <f ca="1">SUM(F14:F23)</f>
        <v>5659.127481818181</v>
      </c>
      <c r="G13" s="1670">
        <f t="shared" ref="G13:G22" ca="1" si="3">F13/F$24</f>
        <v>1</v>
      </c>
      <c r="H13" s="1669">
        <f ca="1">SUM(H14:H23)</f>
        <v>11282.89053409091</v>
      </c>
      <c r="I13" s="1670">
        <f t="shared" ref="I13:I22" ca="1" si="4">H13/H$24</f>
        <v>1</v>
      </c>
      <c r="J13" s="1669">
        <f ca="1">SUM(J14:J23)</f>
        <v>12555.650778227277</v>
      </c>
      <c r="K13" s="1670">
        <f t="shared" ref="K13:K22" ca="1" si="5">J13/J$24</f>
        <v>1</v>
      </c>
      <c r="L13" s="1669">
        <f ca="1">SUM(L14:L23)</f>
        <v>14605.352609549542</v>
      </c>
      <c r="M13" s="1670">
        <f t="shared" ref="M13:M22" ca="1" si="6">L13/L$24</f>
        <v>1</v>
      </c>
      <c r="N13" s="1669">
        <f ca="1">SUM(N14:N23)</f>
        <v>16850.968872718073</v>
      </c>
      <c r="O13" s="1670">
        <f t="shared" ref="O13:O22" ca="1" si="7">N13/N$24</f>
        <v>1</v>
      </c>
    </row>
    <row r="14" spans="1:15" ht="16.5" customHeight="1">
      <c r="A14" s="1450" t="s">
        <v>623</v>
      </c>
      <c r="B14" s="699">
        <f>+'Inversiones AC'!G7</f>
        <v>0</v>
      </c>
      <c r="C14" s="700">
        <f t="shared" ca="1" si="1"/>
        <v>0</v>
      </c>
      <c r="D14" s="699">
        <f>'Inversiones AC'!I7</f>
        <v>0</v>
      </c>
      <c r="E14" s="700">
        <f t="shared" ca="1" si="2"/>
        <v>0</v>
      </c>
      <c r="F14" s="699">
        <f>D14</f>
        <v>0</v>
      </c>
      <c r="G14" s="700">
        <f t="shared" ca="1" si="3"/>
        <v>0</v>
      </c>
      <c r="H14" s="699">
        <f>F14+'Inversiones AC'!C36</f>
        <v>0</v>
      </c>
      <c r="I14" s="700">
        <f t="shared" ca="1" si="4"/>
        <v>0</v>
      </c>
      <c r="J14" s="699">
        <f>H14+'Inversiones AC'!D36</f>
        <v>0</v>
      </c>
      <c r="K14" s="700">
        <f t="shared" ca="1" si="5"/>
        <v>0</v>
      </c>
      <c r="L14" s="699">
        <f>J14+'Inversiones AC'!E36</f>
        <v>0</v>
      </c>
      <c r="M14" s="700">
        <f t="shared" ca="1" si="6"/>
        <v>0</v>
      </c>
      <c r="N14" s="699">
        <f>L14+'Inversiones AC'!F36</f>
        <v>0</v>
      </c>
      <c r="O14" s="700">
        <f t="shared" ca="1" si="7"/>
        <v>0</v>
      </c>
    </row>
    <row r="15" spans="1:15" ht="16.5" customHeight="1">
      <c r="A15" s="1450" t="s">
        <v>624</v>
      </c>
      <c r="B15" s="699">
        <f ca="1">+'Inversiones AC'!G11</f>
        <v>0</v>
      </c>
      <c r="C15" s="700">
        <f t="shared" ca="1" si="1"/>
        <v>0</v>
      </c>
      <c r="D15" s="699">
        <f ca="1">'Inversiones AC'!I11</f>
        <v>0</v>
      </c>
      <c r="E15" s="700">
        <f t="shared" ca="1" si="2"/>
        <v>0</v>
      </c>
      <c r="F15" s="699">
        <f ca="1">($D15-'Inversiones AC'!G15)+SUM('Distr CV 1'!B85:M85)</f>
        <v>0</v>
      </c>
      <c r="G15" s="700">
        <f t="shared" ca="1" si="3"/>
        <v>0</v>
      </c>
      <c r="H15" s="699">
        <f ca="1">(F15-SUM('Distr CV 1'!B85:M85))+SUM('Distr CV 2'!B85:M85)+SUM('Inversiones AC'!C39:C41)</f>
        <v>0</v>
      </c>
      <c r="I15" s="700">
        <f t="shared" ca="1" si="4"/>
        <v>0</v>
      </c>
      <c r="J15" s="699">
        <f ca="1">(H15-SUM('Distr CV 2'!B85:M85))+SUM('Distr CV 3'!B85:M85)+SUM('Inversiones AC'!D39:D41)</f>
        <v>0</v>
      </c>
      <c r="K15" s="700">
        <f t="shared" ca="1" si="5"/>
        <v>0</v>
      </c>
      <c r="L15" s="699">
        <f ca="1">(J15-SUM('Distr CV 3'!B85:M85))+SUM('Distr CV 4'!B85:M85)+SUM('Inversiones AC'!E39:E41)</f>
        <v>0</v>
      </c>
      <c r="M15" s="700">
        <f t="shared" ca="1" si="6"/>
        <v>0</v>
      </c>
      <c r="N15" s="699">
        <f ca="1">(L15-SUM('Distr CV 4'!B85:M85))+SUM('Distr CV 5'!B85:M85)+SUM('Inversiones AC'!F39:F41)</f>
        <v>0</v>
      </c>
      <c r="O15" s="700">
        <f t="shared" ca="1" si="7"/>
        <v>0</v>
      </c>
    </row>
    <row r="16" spans="1:15" ht="16.5" customHeight="1">
      <c r="A16" s="1450" t="s">
        <v>633</v>
      </c>
      <c r="B16" s="699">
        <f>+'Inversiones AC'!G24</f>
        <v>0</v>
      </c>
      <c r="C16" s="700">
        <f t="shared" ca="1" si="1"/>
        <v>0</v>
      </c>
      <c r="D16" s="699">
        <f>'Inversiones AC'!G24</f>
        <v>0</v>
      </c>
      <c r="E16" s="700">
        <f t="shared" ca="1" si="2"/>
        <v>0</v>
      </c>
      <c r="F16" s="699">
        <f ca="1">'Cobros y pagos 0'!S30+'Inversiones AC'!G24    -'Otros cobros y pagos'!N11*0
-('Tesorería 0'!O7-'Inversiones AC'!I23)</f>
        <v>0</v>
      </c>
      <c r="G16" s="700">
        <f t="shared" ca="1" si="3"/>
        <v>0</v>
      </c>
      <c r="H16" s="699">
        <f ca="1">'Cobros y pagos 1'!S30</f>
        <v>0</v>
      </c>
      <c r="I16" s="700">
        <f t="shared" ca="1" si="4"/>
        <v>0</v>
      </c>
      <c r="J16" s="699">
        <f ca="1">'Cobros y pagos 2'!S30</f>
        <v>0</v>
      </c>
      <c r="K16" s="700">
        <f t="shared" ca="1" si="5"/>
        <v>0</v>
      </c>
      <c r="L16" s="699">
        <f ca="1">'Cobros y pagos 3'!S30</f>
        <v>0</v>
      </c>
      <c r="M16" s="700">
        <f t="shared" ca="1" si="6"/>
        <v>0</v>
      </c>
      <c r="N16" s="699">
        <f ca="1">'Cobros y pagos 4'!S30</f>
        <v>0</v>
      </c>
      <c r="O16" s="700">
        <f t="shared" ca="1" si="7"/>
        <v>0</v>
      </c>
    </row>
    <row r="17" spans="1:15" ht="16.5" customHeight="1">
      <c r="A17" s="1450" t="s">
        <v>634</v>
      </c>
      <c r="B17" s="699">
        <v>0</v>
      </c>
      <c r="C17" s="700">
        <f t="shared" ca="1" si="1"/>
        <v>0</v>
      </c>
      <c r="D17" s="699">
        <v>0</v>
      </c>
      <c r="E17" s="700">
        <f t="shared" ca="1" si="2"/>
        <v>0</v>
      </c>
      <c r="F17" s="699">
        <f ca="1">'Cobros y pagos 0'!S31</f>
        <v>0</v>
      </c>
      <c r="G17" s="700">
        <f t="shared" ca="1" si="3"/>
        <v>0</v>
      </c>
      <c r="H17" s="699">
        <f ca="1">'Cobros y pagos 1'!S31</f>
        <v>0</v>
      </c>
      <c r="I17" s="700">
        <f t="shared" ca="1" si="4"/>
        <v>0</v>
      </c>
      <c r="J17" s="699">
        <f ca="1">'Cobros y pagos 2'!S31</f>
        <v>0</v>
      </c>
      <c r="K17" s="700">
        <f t="shared" ca="1" si="5"/>
        <v>0</v>
      </c>
      <c r="L17" s="699">
        <f ca="1">'Cobros y pagos 3'!S31</f>
        <v>0</v>
      </c>
      <c r="M17" s="700">
        <f t="shared" ca="1" si="6"/>
        <v>0</v>
      </c>
      <c r="N17" s="699">
        <f ca="1">'Cobros y pagos 4'!S31</f>
        <v>0</v>
      </c>
      <c r="O17" s="700">
        <f t="shared" ca="1" si="7"/>
        <v>0</v>
      </c>
    </row>
    <row r="18" spans="1:15" ht="16.5" customHeight="1">
      <c r="A18" s="1450" t="s">
        <v>1061</v>
      </c>
      <c r="B18" s="699">
        <f>+'Inversiones AC'!G23</f>
        <v>0</v>
      </c>
      <c r="C18" s="700">
        <f t="shared" ca="1" si="1"/>
        <v>0</v>
      </c>
      <c r="D18" s="699">
        <f>+'Inversiones AC'!I23</f>
        <v>0</v>
      </c>
      <c r="E18" s="700">
        <f t="shared" ca="1" si="2"/>
        <v>0</v>
      </c>
      <c r="F18" s="699">
        <f>Financiación!E19</f>
        <v>0</v>
      </c>
      <c r="G18" s="700">
        <f t="shared" ca="1" si="3"/>
        <v>0</v>
      </c>
      <c r="H18" s="699">
        <f>Financiación!F19</f>
        <v>0</v>
      </c>
      <c r="I18" s="700">
        <f t="shared" ca="1" si="4"/>
        <v>0</v>
      </c>
      <c r="J18" s="699">
        <f>Financiación!G19</f>
        <v>0</v>
      </c>
      <c r="K18" s="700">
        <f t="shared" ca="1" si="5"/>
        <v>0</v>
      </c>
      <c r="L18" s="699">
        <f>Financiación!H19</f>
        <v>0</v>
      </c>
      <c r="M18" s="700">
        <f t="shared" ca="1" si="6"/>
        <v>0</v>
      </c>
      <c r="N18" s="699">
        <v>0</v>
      </c>
      <c r="O18" s="700">
        <f t="shared" ca="1" si="7"/>
        <v>0</v>
      </c>
    </row>
    <row r="19" spans="1:15" ht="16.5" customHeight="1">
      <c r="A19" s="1450" t="s">
        <v>635</v>
      </c>
      <c r="B19" s="699">
        <f>+'Inversiones AC'!G21</f>
        <v>0</v>
      </c>
      <c r="C19" s="700">
        <f t="shared" ca="1" si="1"/>
        <v>0</v>
      </c>
      <c r="D19" s="699">
        <f>IF(irpf&lt;&gt;0,'Inversiones AC'!G21,0)</f>
        <v>0</v>
      </c>
      <c r="E19" s="700">
        <f t="shared" ca="1" si="2"/>
        <v>0</v>
      </c>
      <c r="F19" s="699">
        <f ca="1">'IRPF Prof y Autónomos'!C25*0
+IF('IRPF Prof y Autónomos'!K25&lt;0,-'IRPF Prof y Autónomos'!K25*'IRPF Prof y Autónomos'!K19,0)</f>
        <v>805.93526590909232</v>
      </c>
      <c r="G19" s="700">
        <f t="shared" ca="1" si="3"/>
        <v>0.14241334348774187</v>
      </c>
      <c r="H19" s="699">
        <f ca="1">'IRPF Prof y Autónomos'!D25*0
+IF('IRPF Prof y Autónomos'!L25&lt;0,-'IRPF Prof y Autónomos'!L25*'IRPF Prof y Autónomos'!L19,0)</f>
        <v>0</v>
      </c>
      <c r="I19" s="700">
        <f t="shared" ca="1" si="4"/>
        <v>0</v>
      </c>
      <c r="J19" s="699">
        <f ca="1">'IRPF Prof y Autónomos'!E25*0
+IF('IRPF Prof y Autónomos'!M25&lt;0,-'IRPF Prof y Autónomos'!M25*'IRPF Prof y Autónomos'!M19,0)</f>
        <v>316.06628795454708</v>
      </c>
      <c r="K19" s="700">
        <f t="shared" ca="1" si="5"/>
        <v>2.5173230248059852E-2</v>
      </c>
      <c r="L19" s="699">
        <f ca="1">'IRPF Prof y Autónomos'!F25*0
+IF('IRPF Prof y Autónomos'!N25&lt;0,-'IRPF Prof y Autónomos'!N25*'IRPF Prof y Autónomos'!N19,0)</f>
        <v>132.99704984772688</v>
      </c>
      <c r="M19" s="700">
        <f t="shared" ca="1" si="6"/>
        <v>9.1060485428313652E-3</v>
      </c>
      <c r="N19" s="699">
        <f ca="1">'IRPF Prof y Autónomos'!G25*0
+IF('IRPF Prof y Autónomos'!O25&lt;0,-'IRPF Prof y Autónomos'!O25*'IRPF Prof y Autónomos'!O19,0)</f>
        <v>0</v>
      </c>
      <c r="O19" s="700">
        <f t="shared" ca="1" si="7"/>
        <v>0</v>
      </c>
    </row>
    <row r="20" spans="1:15" ht="16.5" customHeight="1">
      <c r="A20" s="1450" t="str">
        <f>"H.P. Deudora "&amp;IF(Isoc=0," I.R.P.F.","Imp. Sociedades")</f>
        <v>H.P. Deudora  I.R.P.F.</v>
      </c>
      <c r="B20" s="699">
        <f>+'Inversiones AC'!G22</f>
        <v>0</v>
      </c>
      <c r="C20" s="700">
        <f t="shared" ca="1" si="1"/>
        <v>0</v>
      </c>
      <c r="D20" s="699">
        <f>'Inversiones AC'!G22</f>
        <v>0</v>
      </c>
      <c r="E20" s="700">
        <f t="shared" ca="1" si="2"/>
        <v>0</v>
      </c>
      <c r="F20" s="699">
        <f>SUM(Imp.Sociedades!B18:B20)</f>
        <v>0</v>
      </c>
      <c r="G20" s="700">
        <f t="shared" ca="1" si="3"/>
        <v>0</v>
      </c>
      <c r="H20" s="699">
        <f>SUM(Imp.Sociedades!D18:D20)</f>
        <v>0</v>
      </c>
      <c r="I20" s="700">
        <f t="shared" ca="1" si="4"/>
        <v>0</v>
      </c>
      <c r="J20" s="699">
        <f>SUM(Imp.Sociedades!G18:G20)</f>
        <v>0</v>
      </c>
      <c r="K20" s="700">
        <f t="shared" ca="1" si="5"/>
        <v>0</v>
      </c>
      <c r="L20" s="699">
        <f>SUM(Imp.Sociedades!J18:J20)</f>
        <v>0</v>
      </c>
      <c r="M20" s="700">
        <f t="shared" ca="1" si="6"/>
        <v>0</v>
      </c>
      <c r="N20" s="699">
        <f>SUM(Imp.Sociedades!M18:M20)</f>
        <v>0</v>
      </c>
      <c r="O20" s="700">
        <f t="shared" ca="1" si="7"/>
        <v>0</v>
      </c>
    </row>
    <row r="21" spans="1:15" ht="16.5" customHeight="1">
      <c r="A21" s="1450" t="str">
        <f>"H.P. Deudora "&amp;'Datos Básicos'!$A$28</f>
        <v>H.P. Deudora IVA</v>
      </c>
      <c r="B21" s="699">
        <f>+'Inversiones AC'!G20</f>
        <v>0</v>
      </c>
      <c r="C21" s="700">
        <f t="shared" ca="1" si="1"/>
        <v>0</v>
      </c>
      <c r="D21" s="699">
        <f ca="1">'Inversiones AC'!H19+'Inversiones AC'!G20</f>
        <v>0</v>
      </c>
      <c r="E21" s="700">
        <f t="shared" ca="1" si="2"/>
        <v>0</v>
      </c>
      <c r="F21" s="699">
        <f ca="1">IF(AND(IVAcc=0,'IVA 0'!O22&lt;0),-'IVA 0'!O22,0)+'IVA 0'!O26</f>
        <v>0</v>
      </c>
      <c r="G21" s="700">
        <f t="shared" ca="1" si="3"/>
        <v>0</v>
      </c>
      <c r="H21" s="699">
        <f ca="1">IF(AND(IVAcc=0,'IVA 1'!O22&lt;0),-'IVA 1'!O22,0)+'IVA 1'!O26</f>
        <v>0</v>
      </c>
      <c r="I21" s="700">
        <f t="shared" ca="1" si="4"/>
        <v>0</v>
      </c>
      <c r="J21" s="699">
        <f ca="1">IF(AND(IVAcc=0,'IVA 2'!O22&lt;0),-'IVA 2'!O22,0)+'IVA 2'!O26</f>
        <v>0</v>
      </c>
      <c r="K21" s="700">
        <f t="shared" ca="1" si="5"/>
        <v>0</v>
      </c>
      <c r="L21" s="699">
        <f ca="1">IF(AND(IVAcc=0,'IVA 3'!O22&lt;0),-'IVA 3'!O22,0)+'IVA 3'!O26</f>
        <v>0</v>
      </c>
      <c r="M21" s="700">
        <f t="shared" ca="1" si="6"/>
        <v>0</v>
      </c>
      <c r="N21" s="699">
        <f ca="1">IF(AND(IVAcc=0,'IVA 4'!O22&lt;0),-'IVA 4'!O22,0)+'IVA 4'!O26</f>
        <v>0</v>
      </c>
      <c r="O21" s="700">
        <f t="shared" ca="1" si="7"/>
        <v>0</v>
      </c>
    </row>
    <row r="22" spans="1:15" ht="16.5" customHeight="1">
      <c r="A22" s="1450" t="s">
        <v>626</v>
      </c>
      <c r="B22" s="699">
        <f ca="1">+'Inversiones AC'!G26</f>
        <v>0</v>
      </c>
      <c r="C22" s="700">
        <f t="shared" ca="1" si="1"/>
        <v>0</v>
      </c>
      <c r="D22" s="699">
        <f ca="1">'Inversiones AC'!G26+'Inversiones AC'!H26</f>
        <v>3000</v>
      </c>
      <c r="E22" s="700">
        <f t="shared" ca="1" si="2"/>
        <v>1</v>
      </c>
      <c r="F22" s="699">
        <f ca="1">'Tesorería 0'!N35</f>
        <v>4853.1922159090882</v>
      </c>
      <c r="G22" s="700">
        <f t="shared" ca="1" si="3"/>
        <v>0.85758665651225807</v>
      </c>
      <c r="H22" s="699">
        <f ca="1">'Tesorería 1'!N35</f>
        <v>11282.89053409091</v>
      </c>
      <c r="I22" s="700">
        <f t="shared" ca="1" si="4"/>
        <v>1</v>
      </c>
      <c r="J22" s="699">
        <f ca="1">'Tesorería 2'!N35</f>
        <v>12239.584490272729</v>
      </c>
      <c r="K22" s="700">
        <f t="shared" ca="1" si="5"/>
        <v>0.97482676975194016</v>
      </c>
      <c r="L22" s="699">
        <f ca="1">'Tesorería 3'!N35</f>
        <v>14472.355559701815</v>
      </c>
      <c r="M22" s="700">
        <f t="shared" ca="1" si="6"/>
        <v>0.99089395145716863</v>
      </c>
      <c r="N22" s="699">
        <f ca="1">'Tesorería 4'!N35</f>
        <v>16850.968872718073</v>
      </c>
      <c r="O22" s="700">
        <f t="shared" ca="1" si="7"/>
        <v>1</v>
      </c>
    </row>
    <row r="23" spans="1:15" ht="15.75" thickBot="1">
      <c r="A23" s="685"/>
      <c r="B23" s="690"/>
      <c r="C23" s="691"/>
      <c r="D23" s="690"/>
      <c r="E23" s="691"/>
      <c r="F23" s="699"/>
      <c r="G23" s="700"/>
      <c r="H23" s="699"/>
      <c r="I23" s="700"/>
      <c r="J23" s="699"/>
      <c r="K23" s="700"/>
      <c r="L23" s="699"/>
      <c r="M23" s="700"/>
      <c r="N23" s="699"/>
      <c r="O23" s="700"/>
    </row>
    <row r="24" spans="1:15" s="48" customFormat="1" ht="21" customHeight="1" thickBot="1">
      <c r="A24" s="1666" t="s">
        <v>6</v>
      </c>
      <c r="B24" s="1662">
        <f t="shared" ref="B24:O24" ca="1" si="8">B5+B13</f>
        <v>0</v>
      </c>
      <c r="C24" s="1663">
        <f t="shared" ca="1" si="8"/>
        <v>0</v>
      </c>
      <c r="D24" s="1662">
        <f t="shared" ca="1" si="8"/>
        <v>3000</v>
      </c>
      <c r="E24" s="1663">
        <f t="shared" ca="1" si="8"/>
        <v>1</v>
      </c>
      <c r="F24" s="1664">
        <f t="shared" ca="1" si="8"/>
        <v>5659.127481818181</v>
      </c>
      <c r="G24" s="1665">
        <f t="shared" ca="1" si="8"/>
        <v>1</v>
      </c>
      <c r="H24" s="1664">
        <f t="shared" ca="1" si="8"/>
        <v>11282.89053409091</v>
      </c>
      <c r="I24" s="1665">
        <f t="shared" ca="1" si="8"/>
        <v>1</v>
      </c>
      <c r="J24" s="1664">
        <f t="shared" ca="1" si="8"/>
        <v>12555.650778227277</v>
      </c>
      <c r="K24" s="1665">
        <f t="shared" ca="1" si="8"/>
        <v>1</v>
      </c>
      <c r="L24" s="1664">
        <f t="shared" ca="1" si="8"/>
        <v>14605.352609549542</v>
      </c>
      <c r="M24" s="1665">
        <f t="shared" ca="1" si="8"/>
        <v>1</v>
      </c>
      <c r="N24" s="1664">
        <f t="shared" ca="1" si="8"/>
        <v>16850.968872718073</v>
      </c>
      <c r="O24" s="1665">
        <f t="shared" ca="1" si="8"/>
        <v>1</v>
      </c>
    </row>
    <row r="25" spans="1:15" ht="15.75" thickBot="1">
      <c r="A25" s="686"/>
      <c r="B25" s="686"/>
      <c r="C25" s="686"/>
      <c r="D25" s="692"/>
      <c r="E25" s="693"/>
      <c r="F25" s="692"/>
      <c r="G25" s="701"/>
      <c r="H25" s="692"/>
      <c r="I25" s="701"/>
      <c r="J25" s="692"/>
      <c r="K25" s="701"/>
      <c r="L25" s="692"/>
      <c r="M25" s="701"/>
      <c r="N25" s="692"/>
      <c r="O25" s="701"/>
    </row>
    <row r="26" spans="1:15" s="48" customFormat="1" ht="18" customHeight="1">
      <c r="A26" s="1677" t="s">
        <v>584</v>
      </c>
      <c r="B26" s="1671">
        <f>SUM(B27:B31)</f>
        <v>0</v>
      </c>
      <c r="C26" s="1672">
        <f t="shared" ref="C26:C42" si="9">IFERROR(B26/B$46,0)</f>
        <v>0</v>
      </c>
      <c r="D26" s="1671">
        <f>SUM(D27:D31)</f>
        <v>3000</v>
      </c>
      <c r="E26" s="1672">
        <f ca="1">D26/D$46</f>
        <v>1</v>
      </c>
      <c r="F26" s="1673">
        <f ca="1">SUM(F27:F31)</f>
        <v>2470.4875386363642</v>
      </c>
      <c r="G26" s="1674">
        <f ca="1">F26/F$46</f>
        <v>0.43654919359452887</v>
      </c>
      <c r="H26" s="1673">
        <f ca="1">SUM(H27:H31)</f>
        <v>7481.5252250000012</v>
      </c>
      <c r="I26" s="1674">
        <f ca="1">H26/H$46</f>
        <v>0.66308586460134489</v>
      </c>
      <c r="J26" s="1673">
        <f ca="1">SUM(J27:J31)</f>
        <v>8912.2956093181856</v>
      </c>
      <c r="K26" s="1674">
        <f ca="1">J26/J$46</f>
        <v>0.70982347046263627</v>
      </c>
      <c r="L26" s="1673">
        <f ca="1">SUM(L27:L31)</f>
        <v>10845.798660384091</v>
      </c>
      <c r="M26" s="1674">
        <f ca="1">L26/L$46</f>
        <v>0.74259067550979141</v>
      </c>
      <c r="N26" s="1673">
        <f ca="1">SUM(N27:N31)</f>
        <v>12962.815545568885</v>
      </c>
      <c r="O26" s="1674">
        <f ca="1">N26/N$46</f>
        <v>0.76926232808819939</v>
      </c>
    </row>
    <row r="27" spans="1:15" ht="18" customHeight="1">
      <c r="A27" s="1450" t="str">
        <f>IF(Isoc=0,"Fondo Social","Capital")</f>
        <v>Fondo Social</v>
      </c>
      <c r="B27" s="699">
        <f>'Financiación Inicial'!B7+'Financiación Inicial'!B8</f>
        <v>0</v>
      </c>
      <c r="C27" s="700">
        <f t="shared" si="9"/>
        <v>0</v>
      </c>
      <c r="D27" s="699">
        <f>'Financiación Inicial'!B7+'Financiación Inicial'!C7+
'Financiación Inicial'!B8+'Financiación Inicial'!C8</f>
        <v>3000</v>
      </c>
      <c r="E27" s="700">
        <f ca="1">D27/D$46</f>
        <v>1</v>
      </c>
      <c r="F27" s="699">
        <f>D27</f>
        <v>3000</v>
      </c>
      <c r="G27" s="700">
        <f ca="1">F27/F$46</f>
        <v>0.5301170559663998</v>
      </c>
      <c r="H27" s="699">
        <f>F27+Financiación!E14</f>
        <v>3000</v>
      </c>
      <c r="I27" s="700">
        <f ca="1">H27/H$46</f>
        <v>0.26588931186876197</v>
      </c>
      <c r="J27" s="699">
        <f>H27+Financiación!F14</f>
        <v>3000</v>
      </c>
      <c r="K27" s="700">
        <f ca="1">J27/J$46</f>
        <v>0.23893624097942359</v>
      </c>
      <c r="L27" s="699">
        <f>J27+Financiación!G14</f>
        <v>3000</v>
      </c>
      <c r="M27" s="700">
        <f ca="1">L27/L$46</f>
        <v>0.20540414738350676</v>
      </c>
      <c r="N27" s="699">
        <f>L27+Financiación!H14</f>
        <v>3000</v>
      </c>
      <c r="O27" s="700">
        <f ca="1">N27/N$46</f>
        <v>0.17803130625070687</v>
      </c>
    </row>
    <row r="28" spans="1:15" ht="18" customHeight="1">
      <c r="A28" s="1450" t="s">
        <v>902</v>
      </c>
      <c r="B28" s="699">
        <f>'Financiación Inicial'!B10+'Financiación Inicial'!B11</f>
        <v>0</v>
      </c>
      <c r="C28" s="700">
        <f t="shared" si="9"/>
        <v>0</v>
      </c>
      <c r="D28" s="699">
        <f>SUM(resprevio)-'Financiación Inicial'!B12
-'Gastos Iniciales'!B12*0</f>
        <v>0</v>
      </c>
      <c r="E28" s="700">
        <f ca="1">D28/D$46</f>
        <v>0</v>
      </c>
      <c r="F28" s="699">
        <f>D28
+IF(Isoc&lt;&gt;0,'Financiación Inicial'!B12,0)
+IF(AND(Isoc&lt;&gt;0,D30&lt;0),D30,0)*0
+IF(irpf&lt;&gt;0,D30,0)
+IF(AND(irpf=0,Isoc=0),D30,0)</f>
        <v>0</v>
      </c>
      <c r="G28" s="700">
        <f ca="1">F28/F$46</f>
        <v>0</v>
      </c>
      <c r="H28" s="699">
        <f ca="1">F28
+IF(Isoc&lt;&gt;0,Imp.Sociedades!B7+Imp.Sociedades!B31,0)
+IF(AND(Isoc&lt;&gt;0,F30&lt;0),F30,0)
+IF(irpf&lt;&gt;0,F30,0)
+IF(AND(irpf=0,Isoc=0),F30,0)</f>
        <v>-529.51246136363579</v>
      </c>
      <c r="I28" s="700">
        <f ca="1">H28/H$46</f>
        <v>-4.6930567992637173E-2</v>
      </c>
      <c r="J28" s="699">
        <f ca="1">H28
+IF(Isoc&lt;&gt;0,Imp.Sociedades!$D$7+Imp.Sociedades!$D$31,0)
+IF(AND(Isoc&lt;&gt;0,H30&lt;0),H30,0)
+IF(irpf&lt;&gt;0,H30,0)
+IF(AND(irpf=0,Isoc=0),H30,0)</f>
        <v>4481.5252250000012</v>
      </c>
      <c r="K28" s="700">
        <f ca="1">J28/J$46</f>
        <v>0.35693293037198864</v>
      </c>
      <c r="L28" s="699">
        <f ca="1">J28
+IF(Isoc&lt;&gt;0,Imp.Sociedades!$G$7+Imp.Sociedades!$G$31,0)
+IF(AND(Isoc&lt;&gt;0,J30&lt;0),J30,0)
+IF(irpf&lt;&gt;0,J30,0)
+IF(AND(irpf=0,Isoc=0),J30,0)</f>
        <v>5912.2956093181856</v>
      </c>
      <c r="M28" s="700">
        <f ca="1">L28/L$46</f>
        <v>0.40480334623708419</v>
      </c>
      <c r="N28" s="699">
        <f ca="1">L28
+IF(Isoc&lt;&gt;0,Imp.Sociedades!$J$7+Imp.Sociedades!$J$31,0)
+IF(AND(Isoc&lt;&gt;0,L30&lt;0),L30,0)
+IF(irpf&lt;&gt;0,L30,0)
+IF(AND(irpf=0,Isoc=0),L30,0)</f>
        <v>7845.7986603840909</v>
      </c>
      <c r="O28" s="700">
        <f ca="1">N28/N$46</f>
        <v>0.46559926136274193</v>
      </c>
    </row>
    <row r="29" spans="1:15" ht="18" customHeight="1">
      <c r="A29" s="1450" t="s">
        <v>8</v>
      </c>
      <c r="B29" s="699">
        <f>+'Financiación Inicial'!B14</f>
        <v>0</v>
      </c>
      <c r="C29" s="700">
        <f t="shared" si="9"/>
        <v>0</v>
      </c>
      <c r="D29" s="699">
        <f>'Financiación Inicial'!D14</f>
        <v>0</v>
      </c>
      <c r="E29" s="700">
        <f ca="1">D29/D$46</f>
        <v>0</v>
      </c>
      <c r="F29" s="699">
        <f>D29-'PyG 0'!N6+Financiación!E19</f>
        <v>0</v>
      </c>
      <c r="G29" s="700">
        <f ca="1">F29/F$46</f>
        <v>0</v>
      </c>
      <c r="H29" s="699">
        <f>F29-'PyG 1'!N6+Financiación!F19</f>
        <v>0</v>
      </c>
      <c r="I29" s="700">
        <f ca="1">H29/H$46</f>
        <v>0</v>
      </c>
      <c r="J29" s="699">
        <f>H29-'PyG 2'!N6+Financiación!G19</f>
        <v>0</v>
      </c>
      <c r="K29" s="700">
        <f ca="1">J29/J$46</f>
        <v>0</v>
      </c>
      <c r="L29" s="699">
        <f>J29-'PyG 3'!N6+Financiación!H19</f>
        <v>0</v>
      </c>
      <c r="M29" s="700">
        <f ca="1">L29/L$46</f>
        <v>0</v>
      </c>
      <c r="N29" s="699">
        <f>L29-'PyG 4'!N6</f>
        <v>0</v>
      </c>
      <c r="O29" s="700">
        <f ca="1">N29/N$46</f>
        <v>0</v>
      </c>
    </row>
    <row r="30" spans="1:15" ht="18" customHeight="1">
      <c r="A30" s="1450" t="s">
        <v>636</v>
      </c>
      <c r="B30" s="699">
        <f>+'Financiación Inicial'!B12</f>
        <v>0</v>
      </c>
      <c r="C30" s="700">
        <f t="shared" si="9"/>
        <v>0</v>
      </c>
      <c r="D30" s="699">
        <f>+'Financiación Inicial'!B12</f>
        <v>0</v>
      </c>
      <c r="E30" s="700">
        <f ca="1">D30/D$46</f>
        <v>0</v>
      </c>
      <c r="F30" s="699">
        <f ca="1">'PPyGG anuales'!B29
-IF(Isoc&lt;&gt;0,Imp.Sociedades!B15,0)
-IF(irpf&lt;&gt;0,'IRPF Prof y Autónomos'!K22*'IRPF Prof y Autónomos'!K19,0)</f>
        <v>-529.51246136363579</v>
      </c>
      <c r="G30" s="700">
        <f ca="1">F30/F$46</f>
        <v>-9.3567862371870869E-2</v>
      </c>
      <c r="H30" s="699">
        <f ca="1">'PPyGG anuales'!D29
-IF(Isoc&lt;&gt;0,Imp.Sociedades!D15,0)
-IF(irpf&lt;&gt;0,'IRPF Prof y Autónomos'!L22*'IRPF Prof y Autónomos'!L19,0)</f>
        <v>5011.0376863636375</v>
      </c>
      <c r="I30" s="700">
        <f ca="1">H30/H$46</f>
        <v>0.4441271207252202</v>
      </c>
      <c r="J30" s="699">
        <f ca="1">'PPyGG anuales'!$G$29
-IF(Isoc&lt;&gt;0,Imp.Sociedades!$G$15,0)
-IF(irpf&lt;&gt;0,'IRPF Prof y Autónomos'!M22*'IRPF Prof y Autónomos'!M19,0)</f>
        <v>1430.7703843181844</v>
      </c>
      <c r="K30" s="700">
        <f ca="1">J30/J$46</f>
        <v>0.11395429911122407</v>
      </c>
      <c r="L30" s="699">
        <f ca="1">'PPyGG anuales'!$J$29
-IF(Isoc&lt;&gt;0,Imp.Sociedades!$J$15,0)
-IF(irpf&lt;&gt;0,'IRPF Prof y Autónomos'!N22*'IRPF Prof y Autónomos'!N19,0)</f>
        <v>1933.5030510659053</v>
      </c>
      <c r="M30" s="700">
        <f ca="1">L30/L$46</f>
        <v>0.1323831818892004</v>
      </c>
      <c r="N30" s="699">
        <f ca="1">'PPyGG anuales'!$M$29
-IF(Isoc&lt;&gt;0,Imp.Sociedades!$M$15,0)
-IF(irpf&lt;&gt;0,'IRPF Prof y Autónomos'!O22*'IRPF Prof y Autónomos'!O19,0)</f>
        <v>2117.0168851847939</v>
      </c>
      <c r="O30" s="700">
        <f ca="1">N30/N$46</f>
        <v>0.12563176047475053</v>
      </c>
    </row>
    <row r="31" spans="1:15" ht="18" customHeight="1">
      <c r="A31" s="1777"/>
      <c r="B31" s="690"/>
      <c r="C31" s="691"/>
      <c r="D31" s="690"/>
      <c r="E31" s="691"/>
      <c r="F31" s="699"/>
      <c r="G31" s="700"/>
      <c r="H31" s="699"/>
      <c r="I31" s="700"/>
      <c r="J31" s="699"/>
      <c r="K31" s="700"/>
      <c r="L31" s="699"/>
      <c r="M31" s="700"/>
      <c r="N31" s="699"/>
      <c r="O31" s="700"/>
    </row>
    <row r="32" spans="1:15" s="48" customFormat="1" ht="18" customHeight="1">
      <c r="A32" s="1675" t="s">
        <v>585</v>
      </c>
      <c r="B32" s="1669">
        <f>SUM(B33:B36)</f>
        <v>0</v>
      </c>
      <c r="C32" s="1670">
        <f t="shared" si="9"/>
        <v>0</v>
      </c>
      <c r="D32" s="1669">
        <f>SUM(D33:D35)</f>
        <v>0</v>
      </c>
      <c r="E32" s="1670">
        <f ca="1">D32/D$46</f>
        <v>0</v>
      </c>
      <c r="F32" s="1669">
        <f>SUM(F33:F35)</f>
        <v>0</v>
      </c>
      <c r="G32" s="1670">
        <f ca="1">F32/F$46</f>
        <v>0</v>
      </c>
      <c r="H32" s="1669">
        <f>SUM(H33:H35)</f>
        <v>0</v>
      </c>
      <c r="I32" s="1670">
        <f ca="1">H32/H$46</f>
        <v>0</v>
      </c>
      <c r="J32" s="1669">
        <f>SUM(J33:J35)</f>
        <v>0</v>
      </c>
      <c r="K32" s="1670">
        <f ca="1">J32/J$46</f>
        <v>0</v>
      </c>
      <c r="L32" s="1669">
        <f>SUM(L33:L35)</f>
        <v>0</v>
      </c>
      <c r="M32" s="1670">
        <f ca="1">L32/L$46</f>
        <v>0</v>
      </c>
      <c r="N32" s="1669">
        <f>SUM(N33:N35)</f>
        <v>0</v>
      </c>
      <c r="O32" s="1670">
        <f ca="1">N32/N$46</f>
        <v>0</v>
      </c>
    </row>
    <row r="33" spans="1:15" ht="18" customHeight="1">
      <c r="A33" s="1450" t="s">
        <v>228</v>
      </c>
      <c r="B33" s="699">
        <f>+'Financiación Inicial'!B18+'Financiación Inicial'!B19</f>
        <v>0</v>
      </c>
      <c r="C33" s="700">
        <f t="shared" si="9"/>
        <v>0</v>
      </c>
      <c r="D33" s="699">
        <f>SUM(Préstamos!B5:D5)-D38+SUM(Leasing!B5:D5)</f>
        <v>0</v>
      </c>
      <c r="E33" s="700">
        <f ca="1">D33/D$46</f>
        <v>0</v>
      </c>
      <c r="F33" s="699">
        <f>D33-F38</f>
        <v>0</v>
      </c>
      <c r="G33" s="700">
        <f ca="1">F33/F$46</f>
        <v>0</v>
      </c>
      <c r="H33" s="699">
        <f>F33-H38+Financiación!E31+Financiación!E57-Préstamos!N31-Leasing!N30</f>
        <v>0</v>
      </c>
      <c r="I33" s="700">
        <f ca="1">H33/H$46</f>
        <v>0</v>
      </c>
      <c r="J33" s="699">
        <f>H33-J38+Financiación!F31+Financiación!F57-Préstamos!N39-Leasing!N38</f>
        <v>0</v>
      </c>
      <c r="K33" s="700">
        <f ca="1">J33/J$46</f>
        <v>0</v>
      </c>
      <c r="L33" s="699">
        <f>J33-L38+Financiación!G31+Financiación!G57-Préstamos!N47-Leasing!N46</f>
        <v>0</v>
      </c>
      <c r="M33" s="700">
        <f ca="1">L33/L$46</f>
        <v>0</v>
      </c>
      <c r="N33" s="699">
        <f>L33-N38+Financiación!H31+Financiación!H57-Préstamos!N55-Leasing!N54</f>
        <v>0</v>
      </c>
      <c r="O33" s="700">
        <f ca="1">N33/N$46</f>
        <v>0</v>
      </c>
    </row>
    <row r="34" spans="1:15" ht="18" customHeight="1">
      <c r="A34" s="1450" t="s">
        <v>637</v>
      </c>
      <c r="B34" s="699">
        <f>+'Financiación Inicial'!B13</f>
        <v>0</v>
      </c>
      <c r="C34" s="700">
        <f t="shared" si="9"/>
        <v>0</v>
      </c>
      <c r="D34" s="699">
        <f>'Financiación Inicial'!D13</f>
        <v>0</v>
      </c>
      <c r="E34" s="700">
        <f ca="1">D34/D$46</f>
        <v>0</v>
      </c>
      <c r="F34" s="699">
        <f>D34</f>
        <v>0</v>
      </c>
      <c r="G34" s="700">
        <f ca="1">F34/F$46</f>
        <v>0</v>
      </c>
      <c r="H34" s="699">
        <f>F34+Financiación!E17</f>
        <v>0</v>
      </c>
      <c r="I34" s="700">
        <f ca="1">H34/H$46</f>
        <v>0</v>
      </c>
      <c r="J34" s="699">
        <f>H34+Financiación!F17</f>
        <v>0</v>
      </c>
      <c r="K34" s="700">
        <f ca="1">J34/J$46</f>
        <v>0</v>
      </c>
      <c r="L34" s="699">
        <f>J34+Financiación!G17</f>
        <v>0</v>
      </c>
      <c r="M34" s="700">
        <f ca="1">L34/L$46</f>
        <v>0</v>
      </c>
      <c r="N34" s="699">
        <f>L34+Financiación!H17</f>
        <v>0</v>
      </c>
      <c r="O34" s="700">
        <f ca="1">N34/N$46</f>
        <v>0</v>
      </c>
    </row>
    <row r="35" spans="1:15" ht="18" customHeight="1">
      <c r="A35" s="1450" t="s">
        <v>229</v>
      </c>
      <c r="B35" s="699">
        <f>+'Financiación Inicial'!B20</f>
        <v>0</v>
      </c>
      <c r="C35" s="700">
        <f t="shared" si="9"/>
        <v>0</v>
      </c>
      <c r="D35" s="699">
        <f>'Financiación Inicial'!B20</f>
        <v>0</v>
      </c>
      <c r="E35" s="700">
        <f ca="1">D35/D$46</f>
        <v>0</v>
      </c>
      <c r="F35" s="699">
        <f>'Financiación Inicial'!B20-'Otros cobros y pagos'!N64</f>
        <v>0</v>
      </c>
      <c r="G35" s="700">
        <f ca="1">F35/F$46</f>
        <v>0</v>
      </c>
      <c r="H35" s="699">
        <f>F35-'Otros cobros y pagos'!N74</f>
        <v>0</v>
      </c>
      <c r="I35" s="700">
        <f ca="1">H35/H$46</f>
        <v>0</v>
      </c>
      <c r="J35" s="699">
        <f>H35-'Otros cobros y pagos'!N84</f>
        <v>0</v>
      </c>
      <c r="K35" s="700">
        <f ca="1">J35/J$46</f>
        <v>0</v>
      </c>
      <c r="L35" s="699">
        <f>J35-'Otros cobros y pagos'!N94</f>
        <v>0</v>
      </c>
      <c r="M35" s="700">
        <f ca="1">L35/L$46</f>
        <v>0</v>
      </c>
      <c r="N35" s="699">
        <f>L35-'Otros cobros y pagos'!N104</f>
        <v>0</v>
      </c>
      <c r="O35" s="700">
        <f ca="1">N35/N$46</f>
        <v>0</v>
      </c>
    </row>
    <row r="36" spans="1:15" ht="18" customHeight="1">
      <c r="A36" s="1777"/>
      <c r="B36" s="699"/>
      <c r="C36" s="691"/>
      <c r="D36" s="699"/>
      <c r="E36" s="691"/>
      <c r="F36" s="699"/>
      <c r="G36" s="700"/>
      <c r="H36" s="699"/>
      <c r="I36" s="700"/>
      <c r="J36" s="699"/>
      <c r="K36" s="700"/>
      <c r="L36" s="699"/>
      <c r="M36" s="700"/>
      <c r="N36" s="699"/>
      <c r="O36" s="700"/>
    </row>
    <row r="37" spans="1:15" s="48" customFormat="1" ht="18" customHeight="1">
      <c r="A37" s="1675" t="s">
        <v>586</v>
      </c>
      <c r="B37" s="1669">
        <f>SUM(B38:B43)</f>
        <v>0</v>
      </c>
      <c r="C37" s="1670">
        <f t="shared" si="9"/>
        <v>0</v>
      </c>
      <c r="D37" s="1669">
        <f ca="1">SUM(D38:D43)</f>
        <v>0</v>
      </c>
      <c r="E37" s="1670">
        <f t="shared" ref="E37:E45" ca="1" si="10">D37/D$46</f>
        <v>0</v>
      </c>
      <c r="F37" s="1669">
        <f ca="1">SUM(F38:F43)</f>
        <v>3188.6399431818177</v>
      </c>
      <c r="G37" s="1670">
        <f t="shared" ref="G37:G45" ca="1" si="11">F37/F$46</f>
        <v>0.56345080640547107</v>
      </c>
      <c r="H37" s="1669">
        <f ca="1">SUM(H38:H43)</f>
        <v>3801.3653090909083</v>
      </c>
      <c r="I37" s="1670">
        <f t="shared" ref="I37:I45" ca="1" si="12">H37/H$46</f>
        <v>0.33691413539865506</v>
      </c>
      <c r="J37" s="1669">
        <f ca="1">SUM(J38:J43)</f>
        <v>3643.3551689090909</v>
      </c>
      <c r="K37" s="1670">
        <f t="shared" ref="K37:K45" ca="1" si="13">J37/J$46</f>
        <v>0.29017652953736373</v>
      </c>
      <c r="L37" s="1669">
        <f ca="1">SUM(L38:L43)</f>
        <v>3759.5539491654545</v>
      </c>
      <c r="M37" s="1670">
        <f t="shared" ref="M37:M45" ca="1" si="14">L37/L$46</f>
        <v>0.25740932449020865</v>
      </c>
      <c r="N37" s="1669">
        <f ca="1">SUM(N38:N43)</f>
        <v>3888.1533271491871</v>
      </c>
      <c r="O37" s="1670">
        <f t="shared" ref="O37:O45" ca="1" si="15">N37/N$46</f>
        <v>0.23073767191180061</v>
      </c>
    </row>
    <row r="38" spans="1:15" ht="18" customHeight="1">
      <c r="A38" s="1450" t="s">
        <v>230</v>
      </c>
      <c r="B38" s="699">
        <f>+'Financiación Inicial'!B23+'Financiación Inicial'!B24</f>
        <v>0</v>
      </c>
      <c r="C38" s="700">
        <f t="shared" si="9"/>
        <v>0</v>
      </c>
      <c r="D38" s="699">
        <f>'Financiación Inicial'!D23*0+Préstamos!N24+Leasing!N23</f>
        <v>0</v>
      </c>
      <c r="E38" s="700">
        <f t="shared" ca="1" si="10"/>
        <v>0</v>
      </c>
      <c r="F38" s="699">
        <f>Préstamos!N32+Leasing!N31-Préstamos!N31-Leasing!N30</f>
        <v>0</v>
      </c>
      <c r="G38" s="700">
        <f t="shared" ca="1" si="11"/>
        <v>0</v>
      </c>
      <c r="H38" s="699">
        <f>Préstamos!N40+Leasing!N39-Préstamos!N39-Leasing!N38</f>
        <v>0</v>
      </c>
      <c r="I38" s="700">
        <f t="shared" ca="1" si="12"/>
        <v>0</v>
      </c>
      <c r="J38" s="699">
        <f>Préstamos!N48+Leasing!N47-Préstamos!N47-Leasing!N46</f>
        <v>0</v>
      </c>
      <c r="K38" s="700">
        <f t="shared" ca="1" si="13"/>
        <v>0</v>
      </c>
      <c r="L38" s="699">
        <f>Préstamos!N56+Leasing!N55-Préstamos!N55-Leasing!N54</f>
        <v>0</v>
      </c>
      <c r="M38" s="700">
        <f t="shared" ca="1" si="14"/>
        <v>0</v>
      </c>
      <c r="N38" s="699">
        <f>Préstamos!N63+Leasing!N62</f>
        <v>0</v>
      </c>
      <c r="O38" s="700">
        <f t="shared" ca="1" si="15"/>
        <v>0</v>
      </c>
    </row>
    <row r="39" spans="1:15" ht="18" customHeight="1">
      <c r="A39" s="1450" t="s">
        <v>231</v>
      </c>
      <c r="B39" s="699">
        <f>+'Financiación Inicial'!B25</f>
        <v>0</v>
      </c>
      <c r="C39" s="700">
        <f t="shared" si="9"/>
        <v>0</v>
      </c>
      <c r="D39" s="699">
        <f>'Financiación Inicial'!B25</f>
        <v>0</v>
      </c>
      <c r="E39" s="700">
        <f t="shared" ca="1" si="10"/>
        <v>0</v>
      </c>
      <c r="F39" s="699">
        <f ca="1">+'Tesorería 0'!N33</f>
        <v>0</v>
      </c>
      <c r="G39" s="700">
        <f t="shared" ca="1" si="11"/>
        <v>0</v>
      </c>
      <c r="H39" s="699">
        <f ca="1">+'Tesorería 1'!N33</f>
        <v>0</v>
      </c>
      <c r="I39" s="700">
        <f t="shared" ca="1" si="12"/>
        <v>0</v>
      </c>
      <c r="J39" s="699">
        <f ca="1">+'Tesorería 2'!N33</f>
        <v>0</v>
      </c>
      <c r="K39" s="700">
        <f t="shared" ca="1" si="13"/>
        <v>0</v>
      </c>
      <c r="L39" s="699">
        <f ca="1">+'Tesorería 3'!N33</f>
        <v>0</v>
      </c>
      <c r="M39" s="700">
        <f t="shared" ca="1" si="14"/>
        <v>0</v>
      </c>
      <c r="N39" s="699">
        <f ca="1">+'Tesorería 4'!N33</f>
        <v>0</v>
      </c>
      <c r="O39" s="700">
        <f t="shared" ca="1" si="15"/>
        <v>0</v>
      </c>
    </row>
    <row r="40" spans="1:15" ht="18" customHeight="1">
      <c r="A40" s="1450" t="s">
        <v>232</v>
      </c>
      <c r="B40" s="699">
        <f>+'Financiación Inicial'!B26+'Financiación Inicial'!B27</f>
        <v>0</v>
      </c>
      <c r="C40" s="700">
        <f t="shared" si="9"/>
        <v>0</v>
      </c>
      <c r="D40" s="699">
        <f ca="1">'Financiación Inicial'!B27+'Financiación Inicial'!C26</f>
        <v>0</v>
      </c>
      <c r="E40" s="700">
        <f t="shared" ca="1" si="10"/>
        <v>0</v>
      </c>
      <c r="F40" s="699">
        <f ca="1">'Cobros y pagos 0'!S57+
D40*0-'Tesorería 0'!O21*0-'Otros cobros y pagos'!N65*0</f>
        <v>0</v>
      </c>
      <c r="G40" s="700">
        <f t="shared" ca="1" si="11"/>
        <v>0</v>
      </c>
      <c r="H40" s="699">
        <f ca="1">'Cobros y pagos 1'!S57</f>
        <v>0</v>
      </c>
      <c r="I40" s="700">
        <f t="shared" ca="1" si="12"/>
        <v>0</v>
      </c>
      <c r="J40" s="699">
        <f ca="1">'Cobros y pagos 2'!S57</f>
        <v>0</v>
      </c>
      <c r="K40" s="700">
        <f t="shared" ca="1" si="13"/>
        <v>0</v>
      </c>
      <c r="L40" s="699">
        <f ca="1">'Cobros y pagos 3'!S57</f>
        <v>0</v>
      </c>
      <c r="M40" s="700">
        <f t="shared" ca="1" si="14"/>
        <v>0</v>
      </c>
      <c r="N40" s="699">
        <f ca="1">'Cobros y pagos 4'!S57</f>
        <v>0</v>
      </c>
      <c r="O40" s="700">
        <f t="shared" ca="1" si="15"/>
        <v>0</v>
      </c>
    </row>
    <row r="41" spans="1:15" ht="18" customHeight="1">
      <c r="A41" s="1450" t="str">
        <f>"H.P. acreedora "&amp;'Datos Básicos'!$A$28</f>
        <v>H.P. acreedora IVA</v>
      </c>
      <c r="B41" s="699">
        <f>+'Financiación Inicial'!B28</f>
        <v>0</v>
      </c>
      <c r="C41" s="700">
        <f t="shared" si="9"/>
        <v>0</v>
      </c>
      <c r="D41" s="699">
        <f>'Financiación Inicial'!B28</f>
        <v>0</v>
      </c>
      <c r="E41" s="700">
        <f t="shared" ca="1" si="10"/>
        <v>0</v>
      </c>
      <c r="F41" s="699">
        <f ca="1">+'IVA 0'!$O$24</f>
        <v>1718.0541477272723</v>
      </c>
      <c r="G41" s="700">
        <f t="shared" ca="1" si="11"/>
        <v>0.30358993559468123</v>
      </c>
      <c r="H41" s="699">
        <f ca="1">+'IVA 1'!$O$24</f>
        <v>1996.5052227272727</v>
      </c>
      <c r="I41" s="700">
        <f t="shared" ca="1" si="12"/>
        <v>0.17694979993778129</v>
      </c>
      <c r="J41" s="699">
        <f ca="1">+'IVA 2'!$O$24</f>
        <v>2056.3403566363631</v>
      </c>
      <c r="K41" s="700">
        <f t="shared" ca="1" si="13"/>
        <v>0.16377807832965999</v>
      </c>
      <c r="L41" s="699">
        <f ca="1">+'IVA 3'!$O$24</f>
        <v>2117.9681436518181</v>
      </c>
      <c r="M41" s="700">
        <f t="shared" ca="1" si="14"/>
        <v>0.14501314691074343</v>
      </c>
      <c r="N41" s="699">
        <f ca="1">+'IVA 4'!$O$24</f>
        <v>2181.4422673303907</v>
      </c>
      <c r="O41" s="700">
        <f t="shared" ca="1" si="15"/>
        <v>0.12945500545444438</v>
      </c>
    </row>
    <row r="42" spans="1:15" ht="18" customHeight="1">
      <c r="A42" s="1450" t="str">
        <f>"H.P. acreedora "&amp;IF(Isoc=0,"I.R.P.F.","Imp. Sociedades")</f>
        <v>H.P. acreedora I.R.P.F.</v>
      </c>
      <c r="B42" s="699">
        <f>+'Financiación Inicial'!B29</f>
        <v>0</v>
      </c>
      <c r="C42" s="700">
        <f t="shared" si="9"/>
        <v>0</v>
      </c>
      <c r="D42" s="699">
        <f>'Financiación Inicial'!B29</f>
        <v>0</v>
      </c>
      <c r="E42" s="700">
        <f t="shared" ca="1" si="10"/>
        <v>0</v>
      </c>
      <c r="F42" s="699">
        <f ca="1">Imp.Sociedades!B15
+'Ret IRPF'!N13
+IF('IRPF Prof y Autónomos'!K25&gt;0,'IRPF Prof y Autónomos'!K25*'IRPF Prof y Autónomos'!K19,0)</f>
        <v>1470.5857954545454</v>
      </c>
      <c r="G42" s="700">
        <f t="shared" ca="1" si="11"/>
        <v>0.2598608708107899</v>
      </c>
      <c r="H42" s="699">
        <f ca="1">Imp.Sociedades!D15
+'Ret IRPF'!N22
+IF('IRPF Prof y Autónomos'!L25&gt;0,'IRPF Prof y Autónomos'!L25*'IRPF Prof y Autónomos'!L19,0)</f>
        <v>1804.8600863636357</v>
      </c>
      <c r="I42" s="700">
        <f t="shared" ca="1" si="12"/>
        <v>0.1599643354608738</v>
      </c>
      <c r="J42" s="699">
        <f ca="1">Imp.Sociedades!G15
+'Ret IRPF'!N31
+IF('IRPF Prof y Autónomos'!M25&gt;0,'IRPF Prof y Autónomos'!M25*'IRPF Prof y Autónomos'!M19,0)</f>
        <v>1587.0148122727278</v>
      </c>
      <c r="K42" s="700">
        <f t="shared" ca="1" si="13"/>
        <v>0.12639845120770374</v>
      </c>
      <c r="L42" s="699">
        <f ca="1">Imp.Sociedades!J15
+'Ret IRPF'!N40
+IF('IRPF Prof y Autónomos'!N25&gt;0,'IRPF Prof y Autónomos'!N25*'IRPF Prof y Autónomos'!N19,0)</f>
        <v>1641.5858055136364</v>
      </c>
      <c r="M42" s="700">
        <f t="shared" ca="1" si="14"/>
        <v>0.11239617757946521</v>
      </c>
      <c r="N42" s="699">
        <f ca="1">Imp.Sociedades!M15
+'Ret IRPF'!N49
+IF('IRPF Prof y Autónomos'!O25&gt;0,'IRPF Prof y Autónomos'!O25*'IRPF Prof y Autónomos'!O19,0)</f>
        <v>1706.7110598187965</v>
      </c>
      <c r="O42" s="700">
        <f t="shared" ca="1" si="15"/>
        <v>0.10128266645735622</v>
      </c>
    </row>
    <row r="43" spans="1:15" ht="18" customHeight="1">
      <c r="A43" s="1450" t="s">
        <v>233</v>
      </c>
      <c r="B43" s="699">
        <f>+'Financiación Inicial'!B30</f>
        <v>0</v>
      </c>
      <c r="C43" s="700">
        <f>IFERROR(B43/B$46,0)</f>
        <v>0</v>
      </c>
      <c r="D43" s="699">
        <f>'Financiación Inicial'!D30</f>
        <v>0</v>
      </c>
      <c r="E43" s="700">
        <f t="shared" ca="1" si="10"/>
        <v>0</v>
      </c>
      <c r="F43" s="699">
        <f>D43</f>
        <v>0</v>
      </c>
      <c r="G43" s="700">
        <f t="shared" ca="1" si="11"/>
        <v>0</v>
      </c>
      <c r="H43" s="699">
        <f>F43</f>
        <v>0</v>
      </c>
      <c r="I43" s="700">
        <f t="shared" ca="1" si="12"/>
        <v>0</v>
      </c>
      <c r="J43" s="699">
        <f>H43</f>
        <v>0</v>
      </c>
      <c r="K43" s="700">
        <f t="shared" ca="1" si="13"/>
        <v>0</v>
      </c>
      <c r="L43" s="699">
        <f>J43</f>
        <v>0</v>
      </c>
      <c r="M43" s="700">
        <f t="shared" ca="1" si="14"/>
        <v>0</v>
      </c>
      <c r="N43" s="699">
        <f>L43</f>
        <v>0</v>
      </c>
      <c r="O43" s="700">
        <f t="shared" ca="1" si="15"/>
        <v>0</v>
      </c>
    </row>
    <row r="44" spans="1:15" s="794" customFormat="1" ht="18" customHeight="1">
      <c r="A44" s="1675" t="s">
        <v>39</v>
      </c>
      <c r="B44" s="1667">
        <f>B26+B32</f>
        <v>0</v>
      </c>
      <c r="C44" s="1668">
        <f>IFERROR(B44/B$46,0)</f>
        <v>0</v>
      </c>
      <c r="D44" s="1667">
        <f>D26+D32</f>
        <v>3000</v>
      </c>
      <c r="E44" s="1668">
        <f t="shared" ca="1" si="10"/>
        <v>1</v>
      </c>
      <c r="F44" s="1669">
        <f ca="1">F26+F32</f>
        <v>2470.4875386363642</v>
      </c>
      <c r="G44" s="1670">
        <f t="shared" ca="1" si="11"/>
        <v>0.43654919359452887</v>
      </c>
      <c r="H44" s="1669">
        <f ca="1">H26+H32</f>
        <v>7481.5252250000012</v>
      </c>
      <c r="I44" s="1670">
        <f t="shared" ca="1" si="12"/>
        <v>0.66308586460134489</v>
      </c>
      <c r="J44" s="1669">
        <f ca="1">J26+J32</f>
        <v>8912.2956093181856</v>
      </c>
      <c r="K44" s="1670">
        <f t="shared" ca="1" si="13"/>
        <v>0.70982347046263627</v>
      </c>
      <c r="L44" s="1669">
        <f ca="1">L26+L32</f>
        <v>10845.798660384091</v>
      </c>
      <c r="M44" s="1670">
        <f t="shared" ca="1" si="14"/>
        <v>0.74259067550979141</v>
      </c>
      <c r="N44" s="1669">
        <f ca="1">N26+N32</f>
        <v>12962.815545568885</v>
      </c>
      <c r="O44" s="1670">
        <f t="shared" ca="1" si="15"/>
        <v>0.76926232808819939</v>
      </c>
    </row>
    <row r="45" spans="1:15" s="794" customFormat="1" ht="21" customHeight="1" thickBot="1">
      <c r="A45" s="1676" t="s">
        <v>40</v>
      </c>
      <c r="B45" s="1669">
        <f>B32+B37</f>
        <v>0</v>
      </c>
      <c r="C45" s="1670">
        <f>IFERROR(B45/B$46,0)</f>
        <v>0</v>
      </c>
      <c r="D45" s="1669">
        <f ca="1">D32+D37</f>
        <v>0</v>
      </c>
      <c r="E45" s="1670">
        <f t="shared" ca="1" si="10"/>
        <v>0</v>
      </c>
      <c r="F45" s="1669">
        <f ca="1">F32+F37</f>
        <v>3188.6399431818177</v>
      </c>
      <c r="G45" s="1670">
        <f t="shared" ca="1" si="11"/>
        <v>0.56345080640547107</v>
      </c>
      <c r="H45" s="1669">
        <f ca="1">H32+H37</f>
        <v>3801.3653090909083</v>
      </c>
      <c r="I45" s="1670">
        <f t="shared" ca="1" si="12"/>
        <v>0.33691413539865506</v>
      </c>
      <c r="J45" s="1669">
        <f ca="1">J32+J37</f>
        <v>3643.3551689090909</v>
      </c>
      <c r="K45" s="1670">
        <f t="shared" ca="1" si="13"/>
        <v>0.29017652953736373</v>
      </c>
      <c r="L45" s="1669">
        <f ca="1">L32+L37</f>
        <v>3759.5539491654545</v>
      </c>
      <c r="M45" s="1670">
        <f t="shared" ca="1" si="14"/>
        <v>0.25740932449020865</v>
      </c>
      <c r="N45" s="1669">
        <f ca="1">N32+N37</f>
        <v>3888.1533271491871</v>
      </c>
      <c r="O45" s="1670">
        <f t="shared" ca="1" si="15"/>
        <v>0.23073767191180061</v>
      </c>
    </row>
    <row r="46" spans="1:15" s="48" customFormat="1" ht="21" customHeight="1" thickBot="1">
      <c r="A46" s="1666" t="s">
        <v>587</v>
      </c>
      <c r="B46" s="1662">
        <f t="shared" ref="B46:O46" si="16">B26+B32+B37</f>
        <v>0</v>
      </c>
      <c r="C46" s="1663">
        <f t="shared" si="16"/>
        <v>0</v>
      </c>
      <c r="D46" s="1662">
        <f t="shared" ca="1" si="16"/>
        <v>3000</v>
      </c>
      <c r="E46" s="1663">
        <f t="shared" ca="1" si="16"/>
        <v>1</v>
      </c>
      <c r="F46" s="1664">
        <f t="shared" ca="1" si="16"/>
        <v>5659.1274818181819</v>
      </c>
      <c r="G46" s="1665">
        <f t="shared" ca="1" si="16"/>
        <v>1</v>
      </c>
      <c r="H46" s="1664">
        <f t="shared" ca="1" si="16"/>
        <v>11282.89053409091</v>
      </c>
      <c r="I46" s="1665">
        <f t="shared" ca="1" si="16"/>
        <v>1</v>
      </c>
      <c r="J46" s="1664">
        <f t="shared" ca="1" si="16"/>
        <v>12555.650778227277</v>
      </c>
      <c r="K46" s="1665">
        <f t="shared" ca="1" si="16"/>
        <v>1</v>
      </c>
      <c r="L46" s="1664">
        <f t="shared" ca="1" si="16"/>
        <v>14605.352609549545</v>
      </c>
      <c r="M46" s="1665">
        <f t="shared" ca="1" si="16"/>
        <v>1</v>
      </c>
      <c r="N46" s="1664">
        <f t="shared" ca="1" si="16"/>
        <v>16850.968872718073</v>
      </c>
      <c r="O46" s="1665">
        <f t="shared" ca="1" si="16"/>
        <v>1</v>
      </c>
    </row>
    <row r="47" spans="1:15" ht="15.75" thickBot="1">
      <c r="D47" s="694"/>
      <c r="E47" s="695"/>
      <c r="F47" s="694"/>
      <c r="G47" s="702"/>
      <c r="H47" s="694"/>
      <c r="I47" s="702"/>
      <c r="J47" s="694"/>
      <c r="K47" s="702"/>
      <c r="L47" s="694"/>
      <c r="M47" s="702"/>
      <c r="N47" s="694"/>
      <c r="O47" s="702"/>
    </row>
    <row r="48" spans="1:15" s="48" customFormat="1" ht="20.25" customHeight="1" thickBot="1">
      <c r="A48" s="1661" t="s">
        <v>478</v>
      </c>
      <c r="B48" s="1657">
        <f>B44-B5</f>
        <v>0</v>
      </c>
      <c r="C48" s="1658">
        <f ca="1">IFERROR(B48/B24,0)</f>
        <v>0</v>
      </c>
      <c r="D48" s="1657">
        <f>D44-D5</f>
        <v>3000</v>
      </c>
      <c r="E48" s="1658">
        <f ca="1">D48/D24</f>
        <v>1</v>
      </c>
      <c r="F48" s="1659">
        <f ca="1">F44-F5</f>
        <v>2470.4875386363642</v>
      </c>
      <c r="G48" s="1660">
        <f ca="1">F48/F24</f>
        <v>0.43654919359452893</v>
      </c>
      <c r="H48" s="1659">
        <f ca="1">H44-H5</f>
        <v>7481.5252250000012</v>
      </c>
      <c r="I48" s="1660">
        <f ca="1">H48/H24</f>
        <v>0.66308586460134489</v>
      </c>
      <c r="J48" s="1659">
        <f ca="1">J44-J5</f>
        <v>8912.2956093181856</v>
      </c>
      <c r="K48" s="1660">
        <f ca="1">J48/J24</f>
        <v>0.70982347046263627</v>
      </c>
      <c r="L48" s="1659">
        <f ca="1">L44-L5</f>
        <v>10845.798660384091</v>
      </c>
      <c r="M48" s="1660">
        <f ca="1">L48/L24</f>
        <v>0.74259067550979152</v>
      </c>
      <c r="N48" s="1659">
        <f ca="1">N44-N5</f>
        <v>12962.815545568885</v>
      </c>
      <c r="O48" s="1660">
        <f ca="1">N48/N24</f>
        <v>0.76926232808819939</v>
      </c>
    </row>
    <row r="49" spans="1:15" ht="15.75" thickBot="1"/>
    <row r="50" spans="1:15" s="48" customFormat="1" ht="20.25" customHeight="1" thickBot="1">
      <c r="A50" s="1856" t="s">
        <v>744</v>
      </c>
      <c r="B50" s="1657">
        <f ca="1">+B16+B17+B15-B40</f>
        <v>0</v>
      </c>
      <c r="C50" s="1658">
        <f ca="1">IFERROR(B50/B26,0)</f>
        <v>0</v>
      </c>
      <c r="D50" s="1657">
        <f ca="1">+D16+D17+D15-D40</f>
        <v>0</v>
      </c>
      <c r="E50" s="1658">
        <f ca="1">D50/D26</f>
        <v>0</v>
      </c>
      <c r="F50" s="1657">
        <f ca="1">+F16+F17+F15-F40</f>
        <v>0</v>
      </c>
      <c r="G50" s="1660">
        <f ca="1">F50/F26</f>
        <v>0</v>
      </c>
      <c r="H50" s="1657">
        <f ca="1">+H16+H17+H15-H40</f>
        <v>0</v>
      </c>
      <c r="I50" s="1660">
        <f ca="1">H50/H26</f>
        <v>0</v>
      </c>
      <c r="J50" s="1657">
        <f ca="1">+J16+J17+J15-J40</f>
        <v>0</v>
      </c>
      <c r="K50" s="1660">
        <f ca="1">J50/J26</f>
        <v>0</v>
      </c>
      <c r="L50" s="1657">
        <f ca="1">+L16+L17+L15-L40</f>
        <v>0</v>
      </c>
      <c r="M50" s="1660">
        <f ca="1">L50/L26</f>
        <v>0</v>
      </c>
      <c r="N50" s="1657">
        <f ca="1">+N16+N17+N15-N40</f>
        <v>0</v>
      </c>
      <c r="O50" s="1660">
        <f ca="1">N50/N26</f>
        <v>0</v>
      </c>
    </row>
    <row r="52" spans="1:15">
      <c r="A52" s="39" t="str">
        <f>CONCATENATE("Todas las cantidades están expresadas en ",D4)</f>
        <v>Todas las cantidades están expresadas en €</v>
      </c>
      <c r="B52" s="39"/>
      <c r="C52" s="39"/>
      <c r="F52" s="35" t="s">
        <v>41</v>
      </c>
    </row>
    <row r="53" spans="1:15">
      <c r="A53" s="2334"/>
      <c r="B53" s="688" t="str">
        <f ca="1">IF(ABS(B46-B24)&gt;0.005,B46-B24,"")</f>
        <v/>
      </c>
      <c r="C53" s="2334"/>
      <c r="D53" s="688" t="str">
        <f ca="1">IF(ABS(D46-D24)&gt;0.005,D46-D24,"")</f>
        <v/>
      </c>
      <c r="F53" s="688" t="str">
        <f ca="1">IF(ABS(F46-F24)&gt;0.005,F46-F24,"")</f>
        <v/>
      </c>
      <c r="H53" s="688" t="str">
        <f ca="1">IF(ABS(H46-H24)&gt;0.005,H46-H24,"")</f>
        <v/>
      </c>
      <c r="J53" s="688" t="str">
        <f ca="1">IF(ABS(J46-J24)&gt;0.005,J46-J24,"")</f>
        <v/>
      </c>
      <c r="L53" s="688" t="str">
        <f ca="1">IF(ABS(L46-L24)&gt;0.005,L46-L24,"")</f>
        <v/>
      </c>
      <c r="N53" s="688" t="str">
        <f ca="1">IF(ABS(N46-N24)&gt;0.005,N46-N24,"")</f>
        <v/>
      </c>
    </row>
    <row r="54" spans="1:15">
      <c r="A54" s="39" t="str">
        <f>IF(consolidacion,"* El Balance Inicial es la combinación del Balance Previo, las inversiones iniciales y las financiaciones iniciales previstas","")</f>
        <v/>
      </c>
      <c r="B54" s="39"/>
      <c r="C54" s="39"/>
    </row>
    <row r="55" spans="1:15">
      <c r="J55" s="689"/>
    </row>
  </sheetData>
  <sheetProtection sheet="1" objects="1" scenarios="1"/>
  <phoneticPr fontId="6" type="noConversion"/>
  <printOptions horizontalCentered="1"/>
  <pageMargins left="0.78740157480314965" right="0.78740157480314965" top="0.59055118110236227" bottom="0.59055118110236227" header="0" footer="0.31496062992125984"/>
  <pageSetup paperSize="9" scale="57" orientation="landscape" horizontalDpi="300" verticalDpi="300" r:id="rId1"/>
  <headerFooter alignWithMargins="0">
    <oddFooter>&amp;C&amp;"Tahoma,Normal"&amp;10&amp;A</odd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3" tint="0.39997558519241921"/>
    <pageSetUpPr fitToPage="1"/>
  </sheetPr>
  <dimension ref="A1:O56"/>
  <sheetViews>
    <sheetView workbookViewId="0"/>
  </sheetViews>
  <sheetFormatPr baseColWidth="10" defaultColWidth="11" defaultRowHeight="15"/>
  <cols>
    <col min="1" max="1" width="33.5" style="683" customWidth="1"/>
    <col min="2" max="2" width="13.5" style="35" customWidth="1"/>
    <col min="3" max="3" width="14.25" style="687" customWidth="1"/>
    <col min="4" max="4" width="13.5" style="35" customWidth="1"/>
    <col min="5" max="5" width="14.25" style="687" customWidth="1"/>
    <col min="6" max="6" width="12.875" style="35" customWidth="1"/>
    <col min="7" max="7" width="11.625" style="35" customWidth="1"/>
    <col min="8" max="8" width="12.875" style="35" customWidth="1"/>
    <col min="9" max="9" width="11.625" style="35" customWidth="1"/>
    <col min="10" max="10" width="12.875" style="35" customWidth="1"/>
    <col min="11" max="11" width="11.625" style="35" customWidth="1"/>
    <col min="12" max="12" width="12.875" style="35" customWidth="1"/>
    <col min="13" max="13" width="11.625" style="35" customWidth="1"/>
    <col min="14" max="14" width="12.875" style="35" customWidth="1"/>
    <col min="15" max="15" width="11.625" style="35" customWidth="1"/>
    <col min="16" max="16384" width="11" style="35"/>
  </cols>
  <sheetData>
    <row r="1" spans="1:15" ht="22.5">
      <c r="A1" s="406" t="s">
        <v>638</v>
      </c>
      <c r="B1" s="680"/>
      <c r="C1" s="2556"/>
      <c r="D1" s="680"/>
      <c r="E1" s="2556" t="s">
        <v>1054</v>
      </c>
      <c r="F1" s="680"/>
      <c r="G1" s="680"/>
      <c r="H1" s="680"/>
      <c r="I1" s="213"/>
      <c r="J1" s="213"/>
      <c r="K1" s="213"/>
      <c r="L1" s="213"/>
      <c r="M1" s="213"/>
      <c r="N1" s="213"/>
      <c r="O1" s="213"/>
    </row>
    <row r="2" spans="1:15" ht="23.25" thickBot="1">
      <c r="A2" s="406" t="str">
        <f>'Datos Básicos'!B9</f>
        <v>nombre empresa</v>
      </c>
      <c r="B2" s="681"/>
      <c r="C2" s="681"/>
      <c r="D2" s="681"/>
      <c r="E2" s="681"/>
      <c r="F2" s="682"/>
      <c r="G2" s="681"/>
      <c r="H2" s="682"/>
      <c r="J2" s="682"/>
      <c r="K2" s="257"/>
      <c r="L2" s="682"/>
      <c r="M2" s="257"/>
      <c r="N2" s="682"/>
      <c r="O2" s="257"/>
    </row>
    <row r="3" spans="1:15" ht="15.75" thickBot="1">
      <c r="B3" s="1655" t="s">
        <v>1113</v>
      </c>
      <c r="C3" s="1656"/>
      <c r="D3" s="1655" t="str">
        <f>MID('Datos Básicos'!F21,2,40)&amp;" (*)"</f>
        <v xml:space="preserve"> mes de enero de 2026 (*)</v>
      </c>
      <c r="E3" s="1656"/>
      <c r="F3" s="1655" t="str">
        <f>CONCATENATE(Parametros!$B$72,"  ",TEXT(Parametros!D64,"aaaa"))</f>
        <v>diciembre  2026</v>
      </c>
      <c r="G3" s="1656"/>
      <c r="H3" s="1655" t="str">
        <f>CONCATENATE(Parametros!$B$72,"  ",TEXT(Parametros!E64,"aaaa"))</f>
        <v>diciembre  2027</v>
      </c>
      <c r="I3" s="1656"/>
      <c r="J3" s="1655" t="str">
        <f>CONCATENATE(Parametros!$B$72,"  ",TEXT(Parametros!F64,"aaaa"))</f>
        <v>diciembre  2028</v>
      </c>
      <c r="K3" s="1656"/>
      <c r="L3" s="1655" t="str">
        <f>CONCATENATE(Parametros!$B$72,"  ",TEXT(Parametros!G64,"aaaa"))</f>
        <v>diciembre  2029</v>
      </c>
      <c r="M3" s="1656"/>
      <c r="N3" s="1655" t="str">
        <f>CONCATENATE(Parametros!$B$72,"  ",TEXT(Parametros!H64,"aaaa"))</f>
        <v>diciembre  2030</v>
      </c>
      <c r="O3" s="1656"/>
    </row>
    <row r="4" spans="1:15" ht="15.75" thickBot="1">
      <c r="A4" s="72"/>
      <c r="B4" s="2543" t="str">
        <f>$D$4</f>
        <v>€</v>
      </c>
      <c r="C4" s="2544" t="s">
        <v>32</v>
      </c>
      <c r="D4" s="2543" t="str">
        <f>Parametros!H11</f>
        <v>€</v>
      </c>
      <c r="E4" s="2544" t="s">
        <v>32</v>
      </c>
      <c r="F4" s="2543" t="str">
        <f>$D$4</f>
        <v>€</v>
      </c>
      <c r="G4" s="2544" t="s">
        <v>32</v>
      </c>
      <c r="H4" s="2543" t="str">
        <f>$D$4</f>
        <v>€</v>
      </c>
      <c r="I4" s="2544" t="s">
        <v>32</v>
      </c>
      <c r="J4" s="2543" t="str">
        <f>$D$4</f>
        <v>€</v>
      </c>
      <c r="K4" s="2545" t="s">
        <v>32</v>
      </c>
      <c r="L4" s="2543" t="str">
        <f>$D$4</f>
        <v>€</v>
      </c>
      <c r="M4" s="2545" t="s">
        <v>32</v>
      </c>
      <c r="N4" s="2543" t="str">
        <f>$D$4</f>
        <v>€</v>
      </c>
      <c r="O4" s="2545" t="s">
        <v>32</v>
      </c>
    </row>
    <row r="5" spans="1:15" s="48" customFormat="1" ht="16.5" customHeight="1">
      <c r="A5" s="1677" t="str">
        <f>'Balances anuales'!A13</f>
        <v>Activos Corrientes</v>
      </c>
      <c r="B5" s="1671">
        <f ca="1">SUM(B6:B14)</f>
        <v>0</v>
      </c>
      <c r="C5" s="1672">
        <f ca="1">IFERROR(B5/B$24,0)</f>
        <v>0</v>
      </c>
      <c r="D5" s="1671">
        <f ca="1">SUM(D6:D14)</f>
        <v>3000</v>
      </c>
      <c r="E5" s="1672">
        <f t="shared" ref="E5:E14" ca="1" si="0">D5/D$24</f>
        <v>1</v>
      </c>
      <c r="F5" s="1671">
        <f ca="1">SUM(F6:F14)</f>
        <v>5659.127481818181</v>
      </c>
      <c r="G5" s="1674">
        <f t="shared" ref="G5:G14" ca="1" si="1">F5/F$24</f>
        <v>1</v>
      </c>
      <c r="H5" s="1671">
        <f ca="1">SUM(H6:H14)</f>
        <v>11282.89053409091</v>
      </c>
      <c r="I5" s="1674">
        <f t="shared" ref="I5:I14" ca="1" si="2">H5/H$24</f>
        <v>1</v>
      </c>
      <c r="J5" s="1671">
        <f ca="1">SUM(J6:J14)</f>
        <v>12555.650778227277</v>
      </c>
      <c r="K5" s="1674">
        <f t="shared" ref="K5:K14" ca="1" si="3">J5/J$24</f>
        <v>1</v>
      </c>
      <c r="L5" s="1671">
        <f ca="1">SUM(L6:L14)</f>
        <v>14605.352609549542</v>
      </c>
      <c r="M5" s="1674">
        <f t="shared" ref="M5:M14" ca="1" si="4">L5/L$24</f>
        <v>1</v>
      </c>
      <c r="N5" s="1671">
        <f ca="1">SUM(N6:N14)</f>
        <v>16850.968872718073</v>
      </c>
      <c r="O5" s="1674">
        <f t="shared" ref="O5:O14" ca="1" si="5">N5/N$24</f>
        <v>1</v>
      </c>
    </row>
    <row r="6" spans="1:15" ht="16.5" customHeight="1">
      <c r="A6" s="1450" t="str">
        <f>'Balances anuales'!A22</f>
        <v>Tesorería</v>
      </c>
      <c r="B6" s="699">
        <f ca="1">'Inversiones AC'!G26</f>
        <v>0</v>
      </c>
      <c r="C6" s="700">
        <f ca="1">IFERROR(B6/B$24,0)</f>
        <v>0</v>
      </c>
      <c r="D6" s="699">
        <f ca="1">'Inversiones AC'!G26+'Inversiones AC'!H26</f>
        <v>3000</v>
      </c>
      <c r="E6" s="700">
        <f t="shared" ca="1" si="0"/>
        <v>1</v>
      </c>
      <c r="F6" s="699">
        <f ca="1">'Tesorería 0'!N35</f>
        <v>4853.1922159090882</v>
      </c>
      <c r="G6" s="700">
        <f t="shared" ca="1" si="1"/>
        <v>0.85758665651225807</v>
      </c>
      <c r="H6" s="699">
        <f ca="1">'Tesorería 1'!N35</f>
        <v>11282.89053409091</v>
      </c>
      <c r="I6" s="700">
        <f t="shared" ca="1" si="2"/>
        <v>1</v>
      </c>
      <c r="J6" s="699">
        <f ca="1">'Tesorería 2'!N35</f>
        <v>12239.584490272729</v>
      </c>
      <c r="K6" s="700">
        <f t="shared" ca="1" si="3"/>
        <v>0.97482676975194016</v>
      </c>
      <c r="L6" s="699">
        <f ca="1">'Tesorería 3'!N35</f>
        <v>14472.355559701815</v>
      </c>
      <c r="M6" s="700">
        <f t="shared" ca="1" si="4"/>
        <v>0.99089395145716863</v>
      </c>
      <c r="N6" s="699">
        <f ca="1">'Tesorería 4'!N35</f>
        <v>16850.968872718073</v>
      </c>
      <c r="O6" s="700">
        <f t="shared" ca="1" si="5"/>
        <v>1</v>
      </c>
    </row>
    <row r="7" spans="1:15" ht="16.5" customHeight="1">
      <c r="A7" s="1450" t="str">
        <f>'Balances anuales'!A21</f>
        <v>H.P. Deudora IVA</v>
      </c>
      <c r="B7" s="699">
        <f>'Inversiones AC'!G20</f>
        <v>0</v>
      </c>
      <c r="C7" s="700">
        <f t="shared" ref="C7:C14" ca="1" si="6">IFERROR(B7/B$24,0)</f>
        <v>0</v>
      </c>
      <c r="D7" s="699">
        <f ca="1">'Inversiones AC'!H19+'Inversiones AC'!G20</f>
        <v>0</v>
      </c>
      <c r="E7" s="700">
        <f t="shared" ca="1" si="0"/>
        <v>0</v>
      </c>
      <c r="F7" s="699">
        <f ca="1">IF(AND(IVAcc=0,'IVA 0'!O22&lt;0),-'IVA 0'!O22,0)+'IVA 0'!O26</f>
        <v>0</v>
      </c>
      <c r="G7" s="700">
        <f t="shared" ca="1" si="1"/>
        <v>0</v>
      </c>
      <c r="H7" s="699">
        <f ca="1">IF(AND(IVAcc=0,'IVA 1'!O22&lt;0),-'IVA 1'!O22,0)+'IVA 1'!O26</f>
        <v>0</v>
      </c>
      <c r="I7" s="700">
        <f t="shared" ca="1" si="2"/>
        <v>0</v>
      </c>
      <c r="J7" s="699">
        <f ca="1">IF(AND(IVAcc=0,'IVA 2'!O22&lt;0),-'IVA 2'!O22,0)+'IVA 2'!O26</f>
        <v>0</v>
      </c>
      <c r="K7" s="700">
        <f t="shared" ca="1" si="3"/>
        <v>0</v>
      </c>
      <c r="L7" s="699">
        <f ca="1">IF(AND(IVAcc=0,'IVA 3'!O22&lt;0),-'IVA 3'!O22,0)+'IVA 3'!O26</f>
        <v>0</v>
      </c>
      <c r="M7" s="700">
        <f t="shared" ca="1" si="4"/>
        <v>0</v>
      </c>
      <c r="N7" s="699">
        <f ca="1">IF(AND(IVAcc=0,'IVA 4'!O22&lt;0),-'IVA 4'!O22,0)+'IVA 4'!O26</f>
        <v>0</v>
      </c>
      <c r="O7" s="700">
        <f t="shared" ca="1" si="5"/>
        <v>0</v>
      </c>
    </row>
    <row r="8" spans="1:15" ht="16.5" customHeight="1">
      <c r="A8" s="1450" t="str">
        <f>'Balances anuales'!A20</f>
        <v>H.P. Deudora  I.R.P.F.</v>
      </c>
      <c r="B8" s="699">
        <f>'Inversiones AC'!G22</f>
        <v>0</v>
      </c>
      <c r="C8" s="700">
        <f t="shared" ca="1" si="6"/>
        <v>0</v>
      </c>
      <c r="D8" s="699">
        <f>'Inversiones AC'!G22</f>
        <v>0</v>
      </c>
      <c r="E8" s="700">
        <f t="shared" ca="1" si="0"/>
        <v>0</v>
      </c>
      <c r="F8" s="699">
        <f>SUM(Imp.Sociedades!B18:B20)</f>
        <v>0</v>
      </c>
      <c r="G8" s="700">
        <f t="shared" ca="1" si="1"/>
        <v>0</v>
      </c>
      <c r="H8" s="699">
        <f>SUM(Imp.Sociedades!D18:D20)</f>
        <v>0</v>
      </c>
      <c r="I8" s="700">
        <f t="shared" ca="1" si="2"/>
        <v>0</v>
      </c>
      <c r="J8" s="699">
        <f>SUM(Imp.Sociedades!G18:G20)</f>
        <v>0</v>
      </c>
      <c r="K8" s="700">
        <f t="shared" ca="1" si="3"/>
        <v>0</v>
      </c>
      <c r="L8" s="699">
        <f>SUM(Imp.Sociedades!J18:J20)</f>
        <v>0</v>
      </c>
      <c r="M8" s="700">
        <f t="shared" ca="1" si="4"/>
        <v>0</v>
      </c>
      <c r="N8" s="699">
        <f>SUM(Imp.Sociedades!M18:M20)</f>
        <v>0</v>
      </c>
      <c r="O8" s="700">
        <f t="shared" ca="1" si="5"/>
        <v>0</v>
      </c>
    </row>
    <row r="9" spans="1:15" ht="16.5" customHeight="1">
      <c r="A9" s="1450" t="str">
        <f>'Balances anuales'!A19</f>
        <v>H.P. Retenciones a cuenta IRPF</v>
      </c>
      <c r="B9" s="699">
        <f>'Inversiones AC'!G21</f>
        <v>0</v>
      </c>
      <c r="C9" s="700">
        <f t="shared" ca="1" si="6"/>
        <v>0</v>
      </c>
      <c r="D9" s="699">
        <f>IF(irpf&lt;&gt;0,'Inversiones AC'!G21,0)</f>
        <v>0</v>
      </c>
      <c r="E9" s="700">
        <f t="shared" ca="1" si="0"/>
        <v>0</v>
      </c>
      <c r="F9" s="699">
        <f ca="1">'IRPF Prof y Autónomos'!C25*0
+IF('IRPF Prof y Autónomos'!K25&lt;0,-'IRPF Prof y Autónomos'!K25*'IRPF Prof y Autónomos'!K19,0)</f>
        <v>805.93526590909232</v>
      </c>
      <c r="G9" s="700">
        <f t="shared" ca="1" si="1"/>
        <v>0.14241334348774187</v>
      </c>
      <c r="H9" s="699">
        <f ca="1">'IRPF Prof y Autónomos'!D25*0
+IF('IRPF Prof y Autónomos'!L25&lt;0,-'IRPF Prof y Autónomos'!L25*'IRPF Prof y Autónomos'!L19,0)</f>
        <v>0</v>
      </c>
      <c r="I9" s="700">
        <f t="shared" ca="1" si="2"/>
        <v>0</v>
      </c>
      <c r="J9" s="699">
        <f ca="1">'IRPF Prof y Autónomos'!E25*0
+IF('IRPF Prof y Autónomos'!M25&lt;0,-'IRPF Prof y Autónomos'!M25*'IRPF Prof y Autónomos'!M19,0)</f>
        <v>316.06628795454708</v>
      </c>
      <c r="K9" s="700">
        <f t="shared" ca="1" si="3"/>
        <v>2.5173230248059852E-2</v>
      </c>
      <c r="L9" s="699">
        <f ca="1">'IRPF Prof y Autónomos'!F25*0
+IF('IRPF Prof y Autónomos'!N25&lt;0,-'IRPF Prof y Autónomos'!N25*'IRPF Prof y Autónomos'!N19,0)</f>
        <v>132.99704984772688</v>
      </c>
      <c r="M9" s="700">
        <f t="shared" ca="1" si="4"/>
        <v>9.1060485428313652E-3</v>
      </c>
      <c r="N9" s="699">
        <f ca="1">'IRPF Prof y Autónomos'!G25*0
+IF('IRPF Prof y Autónomos'!O25&lt;0,-'IRPF Prof y Autónomos'!O25*'IRPF Prof y Autónomos'!O19,0)</f>
        <v>0</v>
      </c>
      <c r="O9" s="700">
        <f t="shared" ca="1" si="5"/>
        <v>0</v>
      </c>
    </row>
    <row r="10" spans="1:15" ht="16.5" customHeight="1">
      <c r="A10" s="1450" t="str">
        <f>'Balances anuales'!A18</f>
        <v>Admon. Acreedora subvenciones</v>
      </c>
      <c r="B10" s="699">
        <f>'Inversiones AC'!G23</f>
        <v>0</v>
      </c>
      <c r="C10" s="700">
        <f t="shared" ca="1" si="6"/>
        <v>0</v>
      </c>
      <c r="D10" s="699">
        <f>+'Inversiones AC'!I23</f>
        <v>0</v>
      </c>
      <c r="E10" s="700">
        <f t="shared" ca="1" si="0"/>
        <v>0</v>
      </c>
      <c r="F10" s="699">
        <f>Financiación!E19</f>
        <v>0</v>
      </c>
      <c r="G10" s="700">
        <f t="shared" ca="1" si="1"/>
        <v>0</v>
      </c>
      <c r="H10" s="699">
        <f>Financiación!F19</f>
        <v>0</v>
      </c>
      <c r="I10" s="700">
        <f t="shared" ca="1" si="2"/>
        <v>0</v>
      </c>
      <c r="J10" s="699">
        <f>Financiación!G19</f>
        <v>0</v>
      </c>
      <c r="K10" s="700">
        <f t="shared" ca="1" si="3"/>
        <v>0</v>
      </c>
      <c r="L10" s="699">
        <f>Financiación!H19</f>
        <v>0</v>
      </c>
      <c r="M10" s="700">
        <f t="shared" ca="1" si="4"/>
        <v>0</v>
      </c>
      <c r="N10" s="699">
        <v>0</v>
      </c>
      <c r="O10" s="700">
        <f t="shared" ca="1" si="5"/>
        <v>0</v>
      </c>
    </row>
    <row r="11" spans="1:15" ht="16.5" customHeight="1">
      <c r="A11" s="1450" t="str">
        <f>'Balances anuales'!A17</f>
        <v>Clientes impagados</v>
      </c>
      <c r="B11" s="699">
        <v>0</v>
      </c>
      <c r="C11" s="700">
        <f t="shared" ca="1" si="6"/>
        <v>0</v>
      </c>
      <c r="D11" s="699">
        <v>0</v>
      </c>
      <c r="E11" s="700">
        <f t="shared" ca="1" si="0"/>
        <v>0</v>
      </c>
      <c r="F11" s="699">
        <f ca="1">'Cobros y pagos 0'!S31</f>
        <v>0</v>
      </c>
      <c r="G11" s="700">
        <f t="shared" ca="1" si="1"/>
        <v>0</v>
      </c>
      <c r="H11" s="699">
        <f ca="1">'Cobros y pagos 1'!S31</f>
        <v>0</v>
      </c>
      <c r="I11" s="700">
        <f t="shared" ca="1" si="2"/>
        <v>0</v>
      </c>
      <c r="J11" s="699">
        <f ca="1">'Cobros y pagos 2'!S31</f>
        <v>0</v>
      </c>
      <c r="K11" s="700">
        <f t="shared" ca="1" si="3"/>
        <v>0</v>
      </c>
      <c r="L11" s="699">
        <f ca="1">'Cobros y pagos 3'!S31</f>
        <v>0</v>
      </c>
      <c r="M11" s="700">
        <f t="shared" ca="1" si="4"/>
        <v>0</v>
      </c>
      <c r="N11" s="699">
        <f ca="1">'Cobros y pagos 4'!S31</f>
        <v>0</v>
      </c>
      <c r="O11" s="700">
        <f t="shared" ca="1" si="5"/>
        <v>0</v>
      </c>
    </row>
    <row r="12" spans="1:15" ht="16.5" customHeight="1">
      <c r="A12" s="1450" t="str">
        <f>'Balances anuales'!A16</f>
        <v>Cobros pendientes de clientes</v>
      </c>
      <c r="B12" s="699">
        <f>'Inversiones AC'!G24</f>
        <v>0</v>
      </c>
      <c r="C12" s="700">
        <f t="shared" ca="1" si="6"/>
        <v>0</v>
      </c>
      <c r="D12" s="699">
        <f>'Inversiones AC'!G24</f>
        <v>0</v>
      </c>
      <c r="E12" s="700">
        <f t="shared" ca="1" si="0"/>
        <v>0</v>
      </c>
      <c r="F12" s="699">
        <f ca="1">'Cobros y pagos 0'!S30+'Inversiones AC'!G24
-'Otros cobros y pagos'!N11*0
-('Tesorería 0'!O7-'Inversiones AC'!I23)</f>
        <v>0</v>
      </c>
      <c r="G12" s="700">
        <f t="shared" ca="1" si="1"/>
        <v>0</v>
      </c>
      <c r="H12" s="699">
        <f ca="1">'Cobros y pagos 1'!S30</f>
        <v>0</v>
      </c>
      <c r="I12" s="700">
        <f t="shared" ca="1" si="2"/>
        <v>0</v>
      </c>
      <c r="J12" s="699">
        <f ca="1">'Cobros y pagos 2'!S30</f>
        <v>0</v>
      </c>
      <c r="K12" s="700">
        <f t="shared" ca="1" si="3"/>
        <v>0</v>
      </c>
      <c r="L12" s="699">
        <f ca="1">'Cobros y pagos 3'!S30</f>
        <v>0</v>
      </c>
      <c r="M12" s="700">
        <f t="shared" ca="1" si="4"/>
        <v>0</v>
      </c>
      <c r="N12" s="699">
        <f ca="1">'Cobros y pagos 4'!S30</f>
        <v>0</v>
      </c>
      <c r="O12" s="700">
        <f t="shared" ca="1" si="5"/>
        <v>0</v>
      </c>
    </row>
    <row r="13" spans="1:15" ht="16.5" customHeight="1">
      <c r="A13" s="1450" t="str">
        <f>'Balances anuales'!A15</f>
        <v>Existencias</v>
      </c>
      <c r="B13" s="699">
        <f ca="1">'Inversiones AC'!G11</f>
        <v>0</v>
      </c>
      <c r="C13" s="700">
        <f t="shared" ca="1" si="6"/>
        <v>0</v>
      </c>
      <c r="D13" s="699">
        <f ca="1">'Inversiones AC'!I11</f>
        <v>0</v>
      </c>
      <c r="E13" s="700">
        <f t="shared" ca="1" si="0"/>
        <v>0</v>
      </c>
      <c r="F13" s="699">
        <f ca="1">($D13-'Inversiones AC'!G15)+SUM('Distr CV 1'!B85:M85)</f>
        <v>0</v>
      </c>
      <c r="G13" s="700">
        <f t="shared" ca="1" si="1"/>
        <v>0</v>
      </c>
      <c r="H13" s="699">
        <f ca="1">(F13-SUM('Distr CV 1'!B85:M85))+SUM('Distr CV 2'!B85:M85)+SUM('Inversiones AC'!C39:C41)</f>
        <v>0</v>
      </c>
      <c r="I13" s="700">
        <f t="shared" ca="1" si="2"/>
        <v>0</v>
      </c>
      <c r="J13" s="699">
        <f ca="1">(H13-SUM('Distr CV 2'!B85:M85))+SUM('Distr CV 3'!B85:M85)+SUM('Inversiones AC'!D39:D41)</f>
        <v>0</v>
      </c>
      <c r="K13" s="700">
        <f t="shared" ca="1" si="3"/>
        <v>0</v>
      </c>
      <c r="L13" s="699">
        <f ca="1">(J13-SUM('Distr CV 3'!B85:M85))+SUM('Distr CV 4'!B85:M85)+SUM('Inversiones AC'!E39:E41)</f>
        <v>0</v>
      </c>
      <c r="M13" s="700">
        <f t="shared" ca="1" si="4"/>
        <v>0</v>
      </c>
      <c r="N13" s="699">
        <f ca="1">(L13-SUM('Distr CV 4'!B85:M85))+SUM('Distr CV 5'!B85:M85)+SUM('Inversiones AC'!F39:F41)</f>
        <v>0</v>
      </c>
      <c r="O13" s="700">
        <f t="shared" ca="1" si="5"/>
        <v>0</v>
      </c>
    </row>
    <row r="14" spans="1:15" ht="16.5" customHeight="1">
      <c r="A14" s="1450" t="str">
        <f>'Balances anuales'!A14</f>
        <v>Inmov. Financiero Corto Plazo</v>
      </c>
      <c r="B14" s="699">
        <f>'Inversiones AC'!G7</f>
        <v>0</v>
      </c>
      <c r="C14" s="700">
        <f t="shared" ca="1" si="6"/>
        <v>0</v>
      </c>
      <c r="D14" s="699">
        <f>'Inversiones AC'!I7</f>
        <v>0</v>
      </c>
      <c r="E14" s="700">
        <f t="shared" ca="1" si="0"/>
        <v>0</v>
      </c>
      <c r="F14" s="699">
        <f>D14</f>
        <v>0</v>
      </c>
      <c r="G14" s="700">
        <f t="shared" ca="1" si="1"/>
        <v>0</v>
      </c>
      <c r="H14" s="699">
        <f>F14+'Inversiones AC'!C36</f>
        <v>0</v>
      </c>
      <c r="I14" s="700">
        <f t="shared" ca="1" si="2"/>
        <v>0</v>
      </c>
      <c r="J14" s="699">
        <f>H14+'Inversiones AC'!D36</f>
        <v>0</v>
      </c>
      <c r="K14" s="700">
        <f t="shared" ca="1" si="3"/>
        <v>0</v>
      </c>
      <c r="L14" s="699">
        <f>J14+'Inversiones AC'!E36</f>
        <v>0</v>
      </c>
      <c r="M14" s="700">
        <f t="shared" ca="1" si="4"/>
        <v>0</v>
      </c>
      <c r="N14" s="699">
        <f>L14+'Inversiones AC'!F36</f>
        <v>0</v>
      </c>
      <c r="O14" s="700">
        <f t="shared" ca="1" si="5"/>
        <v>0</v>
      </c>
    </row>
    <row r="15" spans="1:15">
      <c r="A15" s="2550"/>
      <c r="B15" s="2539"/>
      <c r="C15" s="2540"/>
      <c r="D15" s="2539"/>
      <c r="E15" s="2540"/>
      <c r="F15" s="2541"/>
      <c r="G15" s="2542"/>
      <c r="H15" s="2541"/>
      <c r="I15" s="2542"/>
      <c r="J15" s="2541"/>
      <c r="K15" s="2542"/>
      <c r="L15" s="2541"/>
      <c r="M15" s="2542"/>
      <c r="N15" s="2541"/>
      <c r="O15" s="2542"/>
    </row>
    <row r="16" spans="1:15" s="48" customFormat="1" ht="16.5" customHeight="1">
      <c r="A16" s="1675" t="str">
        <f>'Balances anuales'!A5</f>
        <v>Activos No Corrientes</v>
      </c>
      <c r="B16" s="2551">
        <f>SUM(B17:B22)</f>
        <v>0</v>
      </c>
      <c r="C16" s="2552">
        <f t="shared" ref="C16:C22" ca="1" si="7">IFERROR(B16/B$24,0)</f>
        <v>0</v>
      </c>
      <c r="D16" s="2551">
        <f>SUM(D17:D22)</f>
        <v>0</v>
      </c>
      <c r="E16" s="2552">
        <f ca="1">D16/D$24</f>
        <v>0</v>
      </c>
      <c r="F16" s="2551">
        <f>SUM(F17:F22)</f>
        <v>0</v>
      </c>
      <c r="G16" s="2553">
        <f ca="1">F16/F$24</f>
        <v>0</v>
      </c>
      <c r="H16" s="2551">
        <f>SUM(H17:H22)</f>
        <v>0</v>
      </c>
      <c r="I16" s="2553">
        <f ca="1">H16/H$24</f>
        <v>0</v>
      </c>
      <c r="J16" s="2551">
        <f>SUM(J17:J22)</f>
        <v>0</v>
      </c>
      <c r="K16" s="2553">
        <f ca="1">J16/J$24</f>
        <v>0</v>
      </c>
      <c r="L16" s="2551">
        <f>SUM(L17:L22)</f>
        <v>0</v>
      </c>
      <c r="M16" s="2553">
        <f ca="1">L16/L$24</f>
        <v>0</v>
      </c>
      <c r="N16" s="2551">
        <f>SUM(N17:N22)</f>
        <v>0</v>
      </c>
      <c r="O16" s="2553">
        <f ca="1">N16/N$24</f>
        <v>0</v>
      </c>
    </row>
    <row r="17" spans="1:15" s="1607" customFormat="1" ht="16.5" hidden="1" customHeight="1">
      <c r="A17" s="1652" t="s">
        <v>614</v>
      </c>
      <c r="B17" s="1609"/>
      <c r="C17" s="1610">
        <f t="shared" ca="1" si="7"/>
        <v>0</v>
      </c>
      <c r="D17" s="1609">
        <f>'Gastos Iniciales'!B12*0</f>
        <v>0</v>
      </c>
      <c r="E17" s="1610">
        <f ca="1">D17/D$24</f>
        <v>0</v>
      </c>
      <c r="F17" s="1611">
        <f>D17</f>
        <v>0</v>
      </c>
      <c r="G17" s="1612">
        <f ca="1">F17/F$24</f>
        <v>0</v>
      </c>
      <c r="H17" s="1611">
        <f>F17</f>
        <v>0</v>
      </c>
      <c r="I17" s="1612">
        <f ca="1">H17/H$24</f>
        <v>0</v>
      </c>
      <c r="J17" s="1611">
        <f>H17</f>
        <v>0</v>
      </c>
      <c r="K17" s="1612">
        <f ca="1">J17/J$24</f>
        <v>0</v>
      </c>
      <c r="L17" s="1611">
        <f>J17</f>
        <v>0</v>
      </c>
      <c r="M17" s="1612">
        <f ca="1">L17/L$24</f>
        <v>0</v>
      </c>
      <c r="N17" s="1611">
        <f>L17</f>
        <v>0</v>
      </c>
      <c r="O17" s="1612">
        <f ca="1">N17/N$24</f>
        <v>0</v>
      </c>
    </row>
    <row r="18" spans="1:15" s="1591" customFormat="1" ht="16.5" hidden="1" customHeight="1">
      <c r="A18" s="1653" t="s">
        <v>615</v>
      </c>
      <c r="B18" s="1592"/>
      <c r="C18" s="1593">
        <f t="shared" ca="1" si="7"/>
        <v>0</v>
      </c>
      <c r="D18" s="1592">
        <f>+'Gastos Iniciales'!B20*0</f>
        <v>0</v>
      </c>
      <c r="E18" s="1593"/>
      <c r="F18" s="1594">
        <f>D18</f>
        <v>0</v>
      </c>
      <c r="G18" s="1595"/>
      <c r="H18" s="1594">
        <f>F18</f>
        <v>0</v>
      </c>
      <c r="I18" s="1595"/>
      <c r="J18" s="1594">
        <f>H18</f>
        <v>0</v>
      </c>
      <c r="K18" s="1595"/>
      <c r="L18" s="1594">
        <f>J18</f>
        <v>0</v>
      </c>
      <c r="M18" s="1595"/>
      <c r="N18" s="1594">
        <f>L18</f>
        <v>0</v>
      </c>
      <c r="O18" s="1595"/>
    </row>
    <row r="19" spans="1:15" ht="16.5" customHeight="1">
      <c r="A19" s="1450" t="str">
        <f>'Balances anuales'!A11</f>
        <v>Inmov. Financiero Largo Plazo</v>
      </c>
      <c r="B19" s="699">
        <f>'Bal. Inicial Previo'!D18</f>
        <v>0</v>
      </c>
      <c r="C19" s="700">
        <f t="shared" ca="1" si="7"/>
        <v>0</v>
      </c>
      <c r="D19" s="699">
        <f>'Gastos Iniciales'!B26</f>
        <v>0</v>
      </c>
      <c r="E19" s="700">
        <f ca="1">D19/D$24</f>
        <v>0</v>
      </c>
      <c r="F19" s="699">
        <f>D19
-'Gastos Fijos Datos'!$B$21*IF(mes0+'Gastos Fijos Datos'!C33&lt;=12,'Gastos Fijos Datos'!C33,12-mes0+1)</f>
        <v>0</v>
      </c>
      <c r="G19" s="700">
        <f ca="1">F19/F$24</f>
        <v>0</v>
      </c>
      <c r="H19" s="699">
        <f>F19
-'Gastos Fijos Datos'!B21*IF(mes0+'Gastos Fijos Datos'!C33&lt;=12,0,mes0+'Gastos Fijos Datos'!C33-12)</f>
        <v>0</v>
      </c>
      <c r="I19" s="700">
        <f ca="1">H19/H$24</f>
        <v>0</v>
      </c>
      <c r="J19" s="699">
        <f>H19</f>
        <v>0</v>
      </c>
      <c r="K19" s="700">
        <f ca="1">J19/J$24</f>
        <v>0</v>
      </c>
      <c r="L19" s="699">
        <f>J19</f>
        <v>0</v>
      </c>
      <c r="M19" s="700">
        <f ca="1">L19/L$24</f>
        <v>0</v>
      </c>
      <c r="N19" s="699">
        <f>L19</f>
        <v>0</v>
      </c>
      <c r="O19" s="700">
        <f ca="1">N19/N$24</f>
        <v>0</v>
      </c>
    </row>
    <row r="20" spans="1:15" ht="16.5" customHeight="1">
      <c r="A20" s="1450" t="str">
        <f>'Balances anuales'!A8</f>
        <v>Amortizaciones acumuladas</v>
      </c>
      <c r="B20" s="699">
        <v>0</v>
      </c>
      <c r="C20" s="700">
        <f t="shared" ca="1" si="7"/>
        <v>0</v>
      </c>
      <c r="D20" s="699">
        <f>'Inv. Iniciales ANC'!B63</f>
        <v>0</v>
      </c>
      <c r="E20" s="700">
        <f ca="1">D20/D$24</f>
        <v>0</v>
      </c>
      <c r="F20" s="699">
        <f>D20</f>
        <v>0</v>
      </c>
      <c r="G20" s="700">
        <f ca="1">F20/F$24</f>
        <v>0</v>
      </c>
      <c r="H20" s="699">
        <f>F20+Amortizaciones!E17</f>
        <v>0</v>
      </c>
      <c r="I20" s="700">
        <f ca="1">H20/H$24</f>
        <v>0</v>
      </c>
      <c r="J20" s="699">
        <f>H20+Amortizaciones!F17</f>
        <v>0</v>
      </c>
      <c r="K20" s="700">
        <f ca="1">J20/J$24</f>
        <v>0</v>
      </c>
      <c r="L20" s="699">
        <f>J20+Amortizaciones!G17</f>
        <v>0</v>
      </c>
      <c r="M20" s="700">
        <f ca="1">L20/L$24</f>
        <v>0</v>
      </c>
      <c r="N20" s="699">
        <f>L20+Amortizaciones!H17</f>
        <v>0</v>
      </c>
      <c r="O20" s="700">
        <f ca="1">N20/N$24</f>
        <v>0</v>
      </c>
    </row>
    <row r="21" spans="1:15" ht="16.5" customHeight="1">
      <c r="A21" s="1450" t="str">
        <f>'Balances anuales'!A7</f>
        <v>Inmovilizado Intangible</v>
      </c>
      <c r="B21" s="699">
        <f>'Bal. Inicial Previo'!D10</f>
        <v>0</v>
      </c>
      <c r="C21" s="700">
        <f t="shared" ca="1" si="7"/>
        <v>0</v>
      </c>
      <c r="D21" s="699">
        <f>-Amortizaciones!C6-'Inv. Iniciales ANC'!E63</f>
        <v>0</v>
      </c>
      <c r="E21" s="700">
        <f ca="1">D21/D$24</f>
        <v>0</v>
      </c>
      <c r="F21" s="699">
        <f>D21-Amortizaciones!D28-Amortizaciones!D39</f>
        <v>0</v>
      </c>
      <c r="G21" s="700">
        <f ca="1">F21/F$24</f>
        <v>0</v>
      </c>
      <c r="H21" s="699">
        <f>F21-Amortizaciones!E28-Amortizaciones!E39</f>
        <v>0</v>
      </c>
      <c r="I21" s="700">
        <f ca="1">H21/H$24</f>
        <v>0</v>
      </c>
      <c r="J21" s="699">
        <f>H21-Amortizaciones!F28-Amortizaciones!F39</f>
        <v>0</v>
      </c>
      <c r="K21" s="700">
        <f ca="1">J21/J$24</f>
        <v>0</v>
      </c>
      <c r="L21" s="699">
        <f>J21-Amortizaciones!G28-Amortizaciones!G39</f>
        <v>0</v>
      </c>
      <c r="M21" s="700">
        <f ca="1">L21/L$24</f>
        <v>0</v>
      </c>
      <c r="N21" s="699">
        <f>L21-Amortizaciones!H28-Amortizaciones!H39</f>
        <v>0</v>
      </c>
      <c r="O21" s="700">
        <f ca="1">N21/N$24</f>
        <v>0</v>
      </c>
    </row>
    <row r="22" spans="1:15" ht="16.5" customHeight="1">
      <c r="A22" s="1450" t="str">
        <f>'Balances anuales'!A6</f>
        <v>Inmovilizado Material</v>
      </c>
      <c r="B22" s="699">
        <f>'Bal. Inicial Previo'!D12+'Bal. Inicial Previo'!D14</f>
        <v>0</v>
      </c>
      <c r="C22" s="700">
        <f t="shared" ca="1" si="7"/>
        <v>0</v>
      </c>
      <c r="D22" s="699">
        <f>Amortizaciones!B6</f>
        <v>0</v>
      </c>
      <c r="E22" s="700">
        <f ca="1">D22/D$24</f>
        <v>0</v>
      </c>
      <c r="F22" s="699">
        <f>D22</f>
        <v>0</v>
      </c>
      <c r="G22" s="700">
        <f ca="1">F22/F$24</f>
        <v>0</v>
      </c>
      <c r="H22" s="699">
        <f>F22+Amortizaciones!E6</f>
        <v>0</v>
      </c>
      <c r="I22" s="700">
        <f ca="1">H22/H$24</f>
        <v>0</v>
      </c>
      <c r="J22" s="699">
        <f>H22+Amortizaciones!F6</f>
        <v>0</v>
      </c>
      <c r="K22" s="700">
        <f ca="1">J22/J$24</f>
        <v>0</v>
      </c>
      <c r="L22" s="699">
        <f>J22+Amortizaciones!G6</f>
        <v>0</v>
      </c>
      <c r="M22" s="700">
        <f ca="1">L22/L$24</f>
        <v>0</v>
      </c>
      <c r="N22" s="699">
        <f>L22+Amortizaciones!H6</f>
        <v>0</v>
      </c>
      <c r="O22" s="700">
        <f ca="1">N22/N$24</f>
        <v>0</v>
      </c>
    </row>
    <row r="23" spans="1:15" ht="16.5" customHeight="1" thickBot="1">
      <c r="A23" s="685"/>
      <c r="B23" s="2546"/>
      <c r="C23" s="2547"/>
      <c r="D23" s="2546"/>
      <c r="E23" s="2547"/>
      <c r="F23" s="2548"/>
      <c r="G23" s="2549"/>
      <c r="H23" s="2548"/>
      <c r="I23" s="2549"/>
      <c r="J23" s="2548"/>
      <c r="K23" s="2549"/>
      <c r="L23" s="2548"/>
      <c r="M23" s="2549"/>
      <c r="N23" s="2548"/>
      <c r="O23" s="2549"/>
    </row>
    <row r="24" spans="1:15" s="48" customFormat="1" ht="21" customHeight="1" thickBot="1">
      <c r="A24" s="1666" t="str">
        <f>'Balances anuales'!A24</f>
        <v>Total Activo</v>
      </c>
      <c r="B24" s="1662">
        <f t="shared" ref="B24:O24" ca="1" si="8">B16+B5</f>
        <v>0</v>
      </c>
      <c r="C24" s="1663">
        <f t="shared" ca="1" si="8"/>
        <v>0</v>
      </c>
      <c r="D24" s="1662">
        <f t="shared" ca="1" si="8"/>
        <v>3000</v>
      </c>
      <c r="E24" s="1663">
        <f t="shared" ca="1" si="8"/>
        <v>1</v>
      </c>
      <c r="F24" s="1664">
        <f t="shared" ca="1" si="8"/>
        <v>5659.127481818181</v>
      </c>
      <c r="G24" s="1665">
        <f t="shared" ca="1" si="8"/>
        <v>1</v>
      </c>
      <c r="H24" s="1664">
        <f t="shared" ca="1" si="8"/>
        <v>11282.89053409091</v>
      </c>
      <c r="I24" s="1665">
        <f t="shared" ca="1" si="8"/>
        <v>1</v>
      </c>
      <c r="J24" s="1664">
        <f t="shared" ca="1" si="8"/>
        <v>12555.650778227277</v>
      </c>
      <c r="K24" s="1665">
        <f t="shared" ca="1" si="8"/>
        <v>1</v>
      </c>
      <c r="L24" s="1664">
        <f t="shared" ca="1" si="8"/>
        <v>14605.352609549542</v>
      </c>
      <c r="M24" s="1665">
        <f t="shared" ca="1" si="8"/>
        <v>1</v>
      </c>
      <c r="N24" s="1664">
        <f t="shared" ca="1" si="8"/>
        <v>16850.968872718073</v>
      </c>
      <c r="O24" s="1665">
        <f t="shared" ca="1" si="8"/>
        <v>1</v>
      </c>
    </row>
    <row r="25" spans="1:15" ht="15.75" thickBot="1">
      <c r="A25" s="686"/>
      <c r="B25" s="692"/>
      <c r="C25" s="693"/>
      <c r="D25" s="692"/>
      <c r="E25" s="693"/>
      <c r="F25" s="692"/>
      <c r="G25" s="701"/>
      <c r="H25" s="692"/>
      <c r="I25" s="701"/>
      <c r="J25" s="692"/>
      <c r="K25" s="701"/>
      <c r="L25" s="692"/>
      <c r="M25" s="701"/>
      <c r="N25" s="692"/>
      <c r="O25" s="701"/>
    </row>
    <row r="26" spans="1:15" s="48" customFormat="1" ht="18" customHeight="1">
      <c r="A26" s="1675" t="str">
        <f t="array" ref="A26:A32">'Balances anuales'!A37:A43</f>
        <v>Pasivos a Corto Plazo</v>
      </c>
      <c r="B26" s="1669">
        <f>SUM(B27:B32)</f>
        <v>0</v>
      </c>
      <c r="C26" s="1670">
        <f t="shared" ref="C26:C32" ca="1" si="9">IFERROR(B26/B$24,0)</f>
        <v>0</v>
      </c>
      <c r="D26" s="1669">
        <f ca="1">SUM(D27:D32)</f>
        <v>0</v>
      </c>
      <c r="E26" s="1670">
        <f t="shared" ref="E26:E32" ca="1" si="10">D26/D$47</f>
        <v>0</v>
      </c>
      <c r="F26" s="1669">
        <f ca="1">SUM(F27:F32)</f>
        <v>3188.6399431818177</v>
      </c>
      <c r="G26" s="1670">
        <f t="shared" ref="G26:G32" ca="1" si="11">F26/F$47</f>
        <v>0.56345080640547107</v>
      </c>
      <c r="H26" s="1669">
        <f ca="1">SUM(H27:H32)</f>
        <v>3801.3653090909083</v>
      </c>
      <c r="I26" s="1670">
        <f t="shared" ref="I26:I32" ca="1" si="12">H26/H$47</f>
        <v>0.33691413539865506</v>
      </c>
      <c r="J26" s="1669">
        <f ca="1">SUM(J27:J32)</f>
        <v>3643.3551689090909</v>
      </c>
      <c r="K26" s="1670">
        <f t="shared" ref="K26:K32" ca="1" si="13">J26/J$47</f>
        <v>0.29017652953736373</v>
      </c>
      <c r="L26" s="1669">
        <f ca="1">SUM(L27:L32)</f>
        <v>3759.5539491654545</v>
      </c>
      <c r="M26" s="1670">
        <f t="shared" ref="M26:M32" ca="1" si="14">L26/L$47</f>
        <v>0.25740932449020865</v>
      </c>
      <c r="N26" s="1669">
        <f ca="1">SUM(N27:N32)</f>
        <v>3888.1533271491871</v>
      </c>
      <c r="O26" s="1670">
        <f t="shared" ref="O26:O32" ca="1" si="15">N26/N$47</f>
        <v>0.23073767191180061</v>
      </c>
    </row>
    <row r="27" spans="1:15" ht="18" customHeight="1">
      <c r="A27" s="1450" t="str">
        <v>Acreedores C.P. Financieros</v>
      </c>
      <c r="B27" s="699">
        <f>'Financiación Inicial'!B23+'Financiación Inicial'!B24</f>
        <v>0</v>
      </c>
      <c r="C27" s="700">
        <f t="shared" ca="1" si="9"/>
        <v>0</v>
      </c>
      <c r="D27" s="699">
        <f>'Financiación Inicial'!D23*0+Préstamos!N24+Leasing!N23</f>
        <v>0</v>
      </c>
      <c r="E27" s="700">
        <f t="shared" ca="1" si="10"/>
        <v>0</v>
      </c>
      <c r="F27" s="699">
        <f>Préstamos!N32+Leasing!N31-Préstamos!N31-Leasing!N30</f>
        <v>0</v>
      </c>
      <c r="G27" s="700">
        <f t="shared" ca="1" si="11"/>
        <v>0</v>
      </c>
      <c r="H27" s="699">
        <f>Préstamos!N40+Leasing!N39-Préstamos!N39-Leasing!N38</f>
        <v>0</v>
      </c>
      <c r="I27" s="700">
        <f t="shared" ca="1" si="12"/>
        <v>0</v>
      </c>
      <c r="J27" s="699">
        <f>Préstamos!N48+Leasing!N47-Préstamos!N47-Leasing!N46</f>
        <v>0</v>
      </c>
      <c r="K27" s="700">
        <f t="shared" ca="1" si="13"/>
        <v>0</v>
      </c>
      <c r="L27" s="699">
        <f>Préstamos!N56+Leasing!N55-Préstamos!N55-Leasing!N54</f>
        <v>0</v>
      </c>
      <c r="M27" s="700">
        <f t="shared" ca="1" si="14"/>
        <v>0</v>
      </c>
      <c r="N27" s="699">
        <f>Préstamos!N63+Leasing!N62</f>
        <v>0</v>
      </c>
      <c r="O27" s="700">
        <f t="shared" ca="1" si="15"/>
        <v>0</v>
      </c>
    </row>
    <row r="28" spans="1:15" ht="18" customHeight="1">
      <c r="A28" s="1450" t="str">
        <v>Crédito financiero C.P.</v>
      </c>
      <c r="B28" s="699">
        <f>'Financiación Inicial'!B25</f>
        <v>0</v>
      </c>
      <c r="C28" s="700">
        <f t="shared" ca="1" si="9"/>
        <v>0</v>
      </c>
      <c r="D28" s="699">
        <f>'Financiación Inicial'!B25</f>
        <v>0</v>
      </c>
      <c r="E28" s="700">
        <f t="shared" ca="1" si="10"/>
        <v>0</v>
      </c>
      <c r="F28" s="699">
        <f ca="1">+'Tesorería 0'!N33</f>
        <v>0</v>
      </c>
      <c r="G28" s="700">
        <f t="shared" ca="1" si="11"/>
        <v>0</v>
      </c>
      <c r="H28" s="699">
        <f ca="1">+'Tesorería 1'!N33</f>
        <v>0</v>
      </c>
      <c r="I28" s="700">
        <f t="shared" ca="1" si="12"/>
        <v>0</v>
      </c>
      <c r="J28" s="699">
        <f ca="1">+'Tesorería 2'!N33</f>
        <v>0</v>
      </c>
      <c r="K28" s="700">
        <f t="shared" ca="1" si="13"/>
        <v>0</v>
      </c>
      <c r="L28" s="699">
        <f ca="1">+'Tesorería 3'!N33</f>
        <v>0</v>
      </c>
      <c r="M28" s="700">
        <f t="shared" ca="1" si="14"/>
        <v>0</v>
      </c>
      <c r="N28" s="699">
        <f ca="1">+'Tesorería 4'!N33</f>
        <v>0</v>
      </c>
      <c r="O28" s="700">
        <f t="shared" ca="1" si="15"/>
        <v>0</v>
      </c>
    </row>
    <row r="29" spans="1:15" ht="18" customHeight="1">
      <c r="A29" s="1450" t="str">
        <v>Proveedores</v>
      </c>
      <c r="B29" s="699">
        <f>'Financiación Inicial'!B26+'Financiación Inicial'!B27</f>
        <v>0</v>
      </c>
      <c r="C29" s="700">
        <f t="shared" ca="1" si="9"/>
        <v>0</v>
      </c>
      <c r="D29" s="699">
        <f ca="1">'Financiación Inicial'!B27+'Financiación Inicial'!C26</f>
        <v>0</v>
      </c>
      <c r="E29" s="700">
        <f t="shared" ca="1" si="10"/>
        <v>0</v>
      </c>
      <c r="F29" s="699">
        <f ca="1">'Cobros y pagos 0'!S57+
D29*0-'Tesorería 0'!O21*0-'Otros cobros y pagos'!N65*0</f>
        <v>0</v>
      </c>
      <c r="G29" s="700">
        <f t="shared" ca="1" si="11"/>
        <v>0</v>
      </c>
      <c r="H29" s="699">
        <f ca="1">'Cobros y pagos 1'!S57</f>
        <v>0</v>
      </c>
      <c r="I29" s="700">
        <f t="shared" ca="1" si="12"/>
        <v>0</v>
      </c>
      <c r="J29" s="699">
        <f ca="1">'Cobros y pagos 2'!S57</f>
        <v>0</v>
      </c>
      <c r="K29" s="700">
        <f t="shared" ca="1" si="13"/>
        <v>0</v>
      </c>
      <c r="L29" s="699">
        <f ca="1">'Cobros y pagos 3'!S57</f>
        <v>0</v>
      </c>
      <c r="M29" s="700">
        <f t="shared" ca="1" si="14"/>
        <v>0</v>
      </c>
      <c r="N29" s="699">
        <f ca="1">'Cobros y pagos 4'!S57</f>
        <v>0</v>
      </c>
      <c r="O29" s="700">
        <f t="shared" ca="1" si="15"/>
        <v>0</v>
      </c>
    </row>
    <row r="30" spans="1:15" ht="18" customHeight="1">
      <c r="A30" s="1450" t="str">
        <v>H.P. acreedora IVA</v>
      </c>
      <c r="B30" s="699">
        <f>'Financiación Inicial'!B28</f>
        <v>0</v>
      </c>
      <c r="C30" s="700">
        <f t="shared" ca="1" si="9"/>
        <v>0</v>
      </c>
      <c r="D30" s="699">
        <f>'Financiación Inicial'!B28</f>
        <v>0</v>
      </c>
      <c r="E30" s="700">
        <f t="shared" ca="1" si="10"/>
        <v>0</v>
      </c>
      <c r="F30" s="699">
        <f ca="1">+'IVA 0'!$O$24</f>
        <v>1718.0541477272723</v>
      </c>
      <c r="G30" s="700">
        <f t="shared" ca="1" si="11"/>
        <v>0.30358993559468123</v>
      </c>
      <c r="H30" s="699">
        <f ca="1">+'IVA 1'!$O$24</f>
        <v>1996.5052227272727</v>
      </c>
      <c r="I30" s="700">
        <f t="shared" ca="1" si="12"/>
        <v>0.17694979993778129</v>
      </c>
      <c r="J30" s="699">
        <f ca="1">+'IVA 2'!$O$24</f>
        <v>2056.3403566363631</v>
      </c>
      <c r="K30" s="700">
        <f t="shared" ca="1" si="13"/>
        <v>0.16377807832965999</v>
      </c>
      <c r="L30" s="699">
        <f ca="1">+'IVA 3'!$O$24</f>
        <v>2117.9681436518181</v>
      </c>
      <c r="M30" s="700">
        <f t="shared" ca="1" si="14"/>
        <v>0.14501314691074343</v>
      </c>
      <c r="N30" s="699">
        <f ca="1">+'IVA 4'!$O$24</f>
        <v>2181.4422673303907</v>
      </c>
      <c r="O30" s="700">
        <f t="shared" ca="1" si="15"/>
        <v>0.12945500545444438</v>
      </c>
    </row>
    <row r="31" spans="1:15" ht="18" customHeight="1">
      <c r="A31" s="1450" t="str">
        <v>H.P. acreedora I.R.P.F.</v>
      </c>
      <c r="B31" s="699">
        <f>'Financiación Inicial'!B29</f>
        <v>0</v>
      </c>
      <c r="C31" s="700">
        <f t="shared" ca="1" si="9"/>
        <v>0</v>
      </c>
      <c r="D31" s="699">
        <f>'Financiación Inicial'!B29</f>
        <v>0</v>
      </c>
      <c r="E31" s="700">
        <f t="shared" ca="1" si="10"/>
        <v>0</v>
      </c>
      <c r="F31" s="699">
        <f ca="1">Imp.Sociedades!B15
+'Ret IRPF'!N13
+IF('IRPF Prof y Autónomos'!K25&gt;0,'IRPF Prof y Autónomos'!K25*'IRPF Prof y Autónomos'!K19,0)</f>
        <v>1470.5857954545454</v>
      </c>
      <c r="G31" s="700">
        <f t="shared" ca="1" si="11"/>
        <v>0.2598608708107899</v>
      </c>
      <c r="H31" s="699">
        <f ca="1">Imp.Sociedades!D15
+'Ret IRPF'!N22
+IF('IRPF Prof y Autónomos'!L25&gt;0,'IRPF Prof y Autónomos'!L25*'IRPF Prof y Autónomos'!L19,0)</f>
        <v>1804.8600863636357</v>
      </c>
      <c r="I31" s="700">
        <f t="shared" ca="1" si="12"/>
        <v>0.1599643354608738</v>
      </c>
      <c r="J31" s="699">
        <f ca="1">Imp.Sociedades!G15
+'Ret IRPF'!N31
+IF('IRPF Prof y Autónomos'!M25&gt;0,'IRPF Prof y Autónomos'!M25*'IRPF Prof y Autónomos'!M19,0)</f>
        <v>1587.0148122727278</v>
      </c>
      <c r="K31" s="700">
        <f t="shared" ca="1" si="13"/>
        <v>0.12639845120770374</v>
      </c>
      <c r="L31" s="699">
        <f ca="1">Imp.Sociedades!J15
+'Ret IRPF'!N40
+IF('IRPF Prof y Autónomos'!N25&gt;0,'IRPF Prof y Autónomos'!N25*'IRPF Prof y Autónomos'!N19,0)</f>
        <v>1641.5858055136364</v>
      </c>
      <c r="M31" s="700">
        <f t="shared" ca="1" si="14"/>
        <v>0.11239617757946521</v>
      </c>
      <c r="N31" s="699">
        <f ca="1">Imp.Sociedades!M15
+'Ret IRPF'!N49
+IF('IRPF Prof y Autónomos'!O25&gt;0,'IRPF Prof y Autónomos'!O25*'IRPF Prof y Autónomos'!O19,0)</f>
        <v>1706.7110598187965</v>
      </c>
      <c r="O31" s="700">
        <f t="shared" ca="1" si="15"/>
        <v>0.10128266645735622</v>
      </c>
    </row>
    <row r="32" spans="1:15" ht="18" customHeight="1">
      <c r="A32" s="1450" t="str">
        <v>Otros Acreedores C.P.</v>
      </c>
      <c r="B32" s="699">
        <f>'Financiación Inicial'!B30</f>
        <v>0</v>
      </c>
      <c r="C32" s="700">
        <f t="shared" ca="1" si="9"/>
        <v>0</v>
      </c>
      <c r="D32" s="699">
        <f>'Financiación Inicial'!D30</f>
        <v>0</v>
      </c>
      <c r="E32" s="700">
        <f t="shared" ca="1" si="10"/>
        <v>0</v>
      </c>
      <c r="F32" s="699">
        <f>D32</f>
        <v>0</v>
      </c>
      <c r="G32" s="700">
        <f t="shared" ca="1" si="11"/>
        <v>0</v>
      </c>
      <c r="H32" s="699">
        <f>F32</f>
        <v>0</v>
      </c>
      <c r="I32" s="700">
        <f t="shared" ca="1" si="12"/>
        <v>0</v>
      </c>
      <c r="J32" s="699">
        <f>H32</f>
        <v>0</v>
      </c>
      <c r="K32" s="700">
        <f t="shared" ca="1" si="13"/>
        <v>0</v>
      </c>
      <c r="L32" s="699">
        <f>J32</f>
        <v>0</v>
      </c>
      <c r="M32" s="700">
        <f t="shared" ca="1" si="14"/>
        <v>0</v>
      </c>
      <c r="N32" s="699">
        <f>L32</f>
        <v>0</v>
      </c>
      <c r="O32" s="700">
        <f t="shared" ca="1" si="15"/>
        <v>0</v>
      </c>
    </row>
    <row r="33" spans="1:15" ht="18" customHeight="1">
      <c r="A33" s="2554"/>
      <c r="B33" s="2539"/>
      <c r="C33" s="2540"/>
      <c r="D33" s="2539"/>
      <c r="E33" s="2540"/>
      <c r="F33" s="2541"/>
      <c r="G33" s="2542"/>
      <c r="H33" s="2541"/>
      <c r="I33" s="2542"/>
      <c r="J33" s="2541"/>
      <c r="K33" s="2542"/>
      <c r="L33" s="2541"/>
      <c r="M33" s="2542"/>
      <c r="N33" s="2541"/>
      <c r="O33" s="2542"/>
    </row>
    <row r="34" spans="1:15" s="48" customFormat="1" ht="18" customHeight="1">
      <c r="A34" s="1675" t="str">
        <f t="array" ref="A34:A37">'Balances anuales'!A32:A35</f>
        <v>Pasivos a Largo Plazo</v>
      </c>
      <c r="B34" s="2555">
        <f>SUM(B35:B37)</f>
        <v>0</v>
      </c>
      <c r="C34" s="2553">
        <f ca="1">IFERROR(B34/B$24,0)</f>
        <v>0</v>
      </c>
      <c r="D34" s="2555">
        <f>SUM(D35:D37)</f>
        <v>0</v>
      </c>
      <c r="E34" s="2553">
        <f ca="1">D34/D$47</f>
        <v>0</v>
      </c>
      <c r="F34" s="2555">
        <f>SUM(F35:F37)</f>
        <v>0</v>
      </c>
      <c r="G34" s="2553">
        <f ca="1">F34/F$47</f>
        <v>0</v>
      </c>
      <c r="H34" s="2555">
        <f>SUM(H35:H37)</f>
        <v>0</v>
      </c>
      <c r="I34" s="2553">
        <f ca="1">H34/H$47</f>
        <v>0</v>
      </c>
      <c r="J34" s="2555">
        <f>SUM(J35:J37)</f>
        <v>0</v>
      </c>
      <c r="K34" s="2553">
        <f ca="1">J34/J$47</f>
        <v>0</v>
      </c>
      <c r="L34" s="2555">
        <f>SUM(L35:L37)</f>
        <v>0</v>
      </c>
      <c r="M34" s="2553">
        <f ca="1">L34/L$47</f>
        <v>0</v>
      </c>
      <c r="N34" s="2555">
        <f>SUM(N35:N37)</f>
        <v>0</v>
      </c>
      <c r="O34" s="2553">
        <f ca="1">N34/N$47</f>
        <v>0</v>
      </c>
    </row>
    <row r="35" spans="1:15" ht="18" customHeight="1">
      <c r="A35" s="1450" t="str">
        <v>Acreedores L.P. Financieros</v>
      </c>
      <c r="B35" s="699">
        <f>'Financiación Inicial'!B18+'Financiación Inicial'!B19</f>
        <v>0</v>
      </c>
      <c r="C35" s="700">
        <f ca="1">IFERROR(B35/B$24,0)</f>
        <v>0</v>
      </c>
      <c r="D35" s="699">
        <f>SUM(Préstamos!B5:D5)-D27+SUM(Leasing!B5:D5)</f>
        <v>0</v>
      </c>
      <c r="E35" s="700">
        <f ca="1">D35/D$47</f>
        <v>0</v>
      </c>
      <c r="F35" s="699">
        <f>D35-F27</f>
        <v>0</v>
      </c>
      <c r="G35" s="700">
        <f ca="1">F35/F$47</f>
        <v>0</v>
      </c>
      <c r="H35" s="699">
        <f>F35-H27+Financiación!E31+Financiación!E57-Préstamos!N31-Leasing!N30</f>
        <v>0</v>
      </c>
      <c r="I35" s="700">
        <f ca="1">H35/H$47</f>
        <v>0</v>
      </c>
      <c r="J35" s="699">
        <f>H35-J27+Financiación!F31+Financiación!F57-Préstamos!N39-Leasing!N38</f>
        <v>0</v>
      </c>
      <c r="K35" s="700">
        <f ca="1">J35/J$47</f>
        <v>0</v>
      </c>
      <c r="L35" s="699">
        <f>J35-L27+Financiación!G31+Financiación!G57-Préstamos!N47-Leasing!N46</f>
        <v>0</v>
      </c>
      <c r="M35" s="700">
        <f ca="1">L35/L$47</f>
        <v>0</v>
      </c>
      <c r="N35" s="699">
        <f>L35-N27+Financiación!H31+Financiación!H57-Préstamos!N55-Leasing!N54</f>
        <v>0</v>
      </c>
      <c r="O35" s="700">
        <f ca="1">N35/N$47</f>
        <v>0</v>
      </c>
    </row>
    <row r="36" spans="1:15" ht="18" customHeight="1">
      <c r="A36" s="1450" t="str">
        <v>Otras aportaciones de socios/as</v>
      </c>
      <c r="B36" s="699">
        <f>+'Financiación Inicial'!B13</f>
        <v>0</v>
      </c>
      <c r="C36" s="700">
        <f ca="1">IFERROR(B36/B$24,0)</f>
        <v>0</v>
      </c>
      <c r="D36" s="699">
        <f>'Financiación Inicial'!D13</f>
        <v>0</v>
      </c>
      <c r="E36" s="700">
        <f ca="1">D36/D$47</f>
        <v>0</v>
      </c>
      <c r="F36" s="699">
        <f>D36</f>
        <v>0</v>
      </c>
      <c r="G36" s="700">
        <f ca="1">F36/F$47</f>
        <v>0</v>
      </c>
      <c r="H36" s="699">
        <f>F36+Financiación!E17</f>
        <v>0</v>
      </c>
      <c r="I36" s="700">
        <f ca="1">H36/H$47</f>
        <v>0</v>
      </c>
      <c r="J36" s="699">
        <f>H36+Financiación!F17</f>
        <v>0</v>
      </c>
      <c r="K36" s="700">
        <f ca="1">J36/J$47</f>
        <v>0</v>
      </c>
      <c r="L36" s="699">
        <f>J36+Financiación!G17</f>
        <v>0</v>
      </c>
      <c r="M36" s="700">
        <f ca="1">L36/L$47</f>
        <v>0</v>
      </c>
      <c r="N36" s="699">
        <f>L36+Financiación!H17</f>
        <v>0</v>
      </c>
      <c r="O36" s="700">
        <f ca="1">N36/N$47</f>
        <v>0</v>
      </c>
    </row>
    <row r="37" spans="1:15" ht="18" customHeight="1">
      <c r="A37" s="1450" t="str">
        <v>Otros Acreedores L.P.</v>
      </c>
      <c r="B37" s="699">
        <f>+'Financiación Inicial'!B20</f>
        <v>0</v>
      </c>
      <c r="C37" s="700">
        <f ca="1">IFERROR(B37/B$24,0)</f>
        <v>0</v>
      </c>
      <c r="D37" s="699">
        <f>'Financiación Inicial'!B20</f>
        <v>0</v>
      </c>
      <c r="E37" s="700">
        <f ca="1">D37/D$47</f>
        <v>0</v>
      </c>
      <c r="F37" s="699">
        <f>'Financiación Inicial'!B20-'Otros cobros y pagos'!N64</f>
        <v>0</v>
      </c>
      <c r="G37" s="700">
        <f ca="1">F37/F$47</f>
        <v>0</v>
      </c>
      <c r="H37" s="699">
        <f>F37-'Otros cobros y pagos'!N74</f>
        <v>0</v>
      </c>
      <c r="I37" s="700">
        <f ca="1">H37/H$47</f>
        <v>0</v>
      </c>
      <c r="J37" s="699">
        <f>H37-'Otros cobros y pagos'!N84</f>
        <v>0</v>
      </c>
      <c r="K37" s="700">
        <f ca="1">J37/J$47</f>
        <v>0</v>
      </c>
      <c r="L37" s="699">
        <f>J37-'Otros cobros y pagos'!N94</f>
        <v>0</v>
      </c>
      <c r="M37" s="700">
        <f ca="1">L37/L$47</f>
        <v>0</v>
      </c>
      <c r="N37" s="699">
        <f>L37-'Otros cobros y pagos'!N104</f>
        <v>0</v>
      </c>
      <c r="O37" s="700">
        <f ca="1">N37/N$47</f>
        <v>0</v>
      </c>
    </row>
    <row r="38" spans="1:15" ht="18" customHeight="1">
      <c r="A38" s="1777"/>
      <c r="B38" s="690"/>
      <c r="C38" s="691"/>
      <c r="D38" s="690"/>
      <c r="E38" s="691"/>
      <c r="F38" s="699"/>
      <c r="G38" s="700"/>
      <c r="H38" s="699"/>
      <c r="I38" s="700"/>
      <c r="J38" s="699"/>
      <c r="K38" s="700"/>
      <c r="L38" s="699"/>
      <c r="M38" s="700"/>
      <c r="N38" s="699"/>
      <c r="O38" s="700"/>
    </row>
    <row r="39" spans="1:15" s="48" customFormat="1" ht="18" customHeight="1">
      <c r="A39" s="1675" t="str">
        <f t="array" ref="A39:A43">'Balances anuales'!A26:A30</f>
        <v>Patrimonio Neto</v>
      </c>
      <c r="B39" s="2551">
        <f>SUM(B40:B43)</f>
        <v>0</v>
      </c>
      <c r="C39" s="2552">
        <f ca="1">IFERROR(B39/B$24,0)</f>
        <v>0</v>
      </c>
      <c r="D39" s="2551">
        <f>SUM(D40:D43)</f>
        <v>3000</v>
      </c>
      <c r="E39" s="2552">
        <f ca="1">D39/D$47</f>
        <v>1</v>
      </c>
      <c r="F39" s="2551">
        <f ca="1">SUM(F40:F43)</f>
        <v>2470.4875386363642</v>
      </c>
      <c r="G39" s="2553">
        <f ca="1">F39/F$47</f>
        <v>0.43654919359452887</v>
      </c>
      <c r="H39" s="2551">
        <f ca="1">SUM(H40:H43)</f>
        <v>7481.5252250000012</v>
      </c>
      <c r="I39" s="2553">
        <f ca="1">H39/H$47</f>
        <v>0.66308586460134489</v>
      </c>
      <c r="J39" s="2551">
        <f ca="1">SUM(J40:J43)</f>
        <v>8912.2956093181856</v>
      </c>
      <c r="K39" s="2553">
        <f ca="1">J39/J$47</f>
        <v>0.70982347046263627</v>
      </c>
      <c r="L39" s="2551">
        <f ca="1">SUM(L40:L43)</f>
        <v>10845.798660384091</v>
      </c>
      <c r="M39" s="2553">
        <f ca="1">L39/L$47</f>
        <v>0.74259067550979141</v>
      </c>
      <c r="N39" s="2551">
        <f ca="1">SUM(N40:N43)</f>
        <v>12962.815545568885</v>
      </c>
      <c r="O39" s="2553">
        <f ca="1">N39/N$47</f>
        <v>0.76926232808819939</v>
      </c>
    </row>
    <row r="40" spans="1:15" ht="18" customHeight="1">
      <c r="A40" s="1450" t="str">
        <v>Fondo Social</v>
      </c>
      <c r="B40" s="699">
        <f>'Financiación Inicial'!B7+'Financiación Inicial'!B8</f>
        <v>0</v>
      </c>
      <c r="C40" s="700">
        <f ca="1">IFERROR(B40/B$24,0)</f>
        <v>0</v>
      </c>
      <c r="D40" s="699">
        <f>'Financiación Inicial'!B7+'Financiación Inicial'!C7+
'Financiación Inicial'!B8+'Financiación Inicial'!C8</f>
        <v>3000</v>
      </c>
      <c r="E40" s="700">
        <f ca="1">D40/D$47</f>
        <v>1</v>
      </c>
      <c r="F40" s="699">
        <f>D40</f>
        <v>3000</v>
      </c>
      <c r="G40" s="700">
        <f ca="1">F40/F$47</f>
        <v>0.5301170559663998</v>
      </c>
      <c r="H40" s="699">
        <f>F40+Financiación!E14</f>
        <v>3000</v>
      </c>
      <c r="I40" s="700">
        <f ca="1">H40/H$47</f>
        <v>0.26588931186876197</v>
      </c>
      <c r="J40" s="699">
        <f>H40+Financiación!F14</f>
        <v>3000</v>
      </c>
      <c r="K40" s="700">
        <f ca="1">J40/J$47</f>
        <v>0.23893624097942359</v>
      </c>
      <c r="L40" s="699">
        <f>J40+Financiación!G14</f>
        <v>3000</v>
      </c>
      <c r="M40" s="700">
        <f ca="1">L40/L$47</f>
        <v>0.20540414738350676</v>
      </c>
      <c r="N40" s="699">
        <f>L40+Financiación!H14</f>
        <v>3000</v>
      </c>
      <c r="O40" s="700">
        <f ca="1">N40/N$47</f>
        <v>0.17803130625070687</v>
      </c>
    </row>
    <row r="41" spans="1:15" ht="18" customHeight="1">
      <c r="A41" s="1450" t="str">
        <v>Remanente ejercicios anteriores</v>
      </c>
      <c r="B41" s="699">
        <f>'Financiación Inicial'!B10+'Financiación Inicial'!B11</f>
        <v>0</v>
      </c>
      <c r="C41" s="700">
        <f ca="1">IFERROR(B41/B$24,0)</f>
        <v>0</v>
      </c>
      <c r="D41" s="699">
        <f>SUM(resprevio)-'Financiación Inicial'!B12
-'Gastos Iniciales'!B12*0</f>
        <v>0</v>
      </c>
      <c r="E41" s="700">
        <f ca="1">D41/D$47</f>
        <v>0</v>
      </c>
      <c r="F41" s="699">
        <f>D41
+IF(Isoc&lt;&gt;0,'Financiación Inicial'!B12,0)
+IF(AND(Isoc&lt;&gt;0,D43&lt;0),D43,0)*0
+IF(irpf&lt;&gt;0,D43,0)
+IF(AND(irpf=0,Isoc=0),D43,0)</f>
        <v>0</v>
      </c>
      <c r="G41" s="700">
        <f ca="1">F41/F$47</f>
        <v>0</v>
      </c>
      <c r="H41" s="699">
        <f ca="1">F41
+IF(Isoc&lt;&gt;0,Imp.Sociedades!B7+Imp.Sociedades!B31,0)
+IF(AND(Isoc&lt;&gt;0,F43&lt;0),F43,0)
+IF(irpf&lt;&gt;0,F43,0)
+IF(AND(irpf=0,Isoc=0),F43,0)</f>
        <v>-529.51246136363579</v>
      </c>
      <c r="I41" s="700">
        <f ca="1">H41/H$47</f>
        <v>-4.6930567992637173E-2</v>
      </c>
      <c r="J41" s="699">
        <f ca="1">H41
+IF(Isoc&lt;&gt;0,Imp.Sociedades!$D$7+Imp.Sociedades!$D$31,0)
+IF(AND(Isoc&lt;&gt;0,H43&lt;0),H43,0)
+IF(irpf&lt;&gt;0,H43,0)
+IF(AND(irpf=0,Isoc=0),H43,0)</f>
        <v>4481.5252250000012</v>
      </c>
      <c r="K41" s="700">
        <f ca="1">J41/J$47</f>
        <v>0.35693293037198864</v>
      </c>
      <c r="L41" s="699">
        <f ca="1">J41
+IF(Isoc&lt;&gt;0,Imp.Sociedades!$G$7+Imp.Sociedades!$G$31,0)
+IF(AND(Isoc&lt;&gt;0,J43&lt;0),J43,0)
+IF(irpf&lt;&gt;0,J43,0)
+IF(AND(irpf=0,Isoc=0),J43,0)</f>
        <v>5912.2956093181856</v>
      </c>
      <c r="M41" s="700">
        <f ca="1">L41/L$47</f>
        <v>0.40480334623708419</v>
      </c>
      <c r="N41" s="699">
        <f ca="1">L41
+IF(Isoc&lt;&gt;0,Imp.Sociedades!$J$7+Imp.Sociedades!$J$31,0)
+IF(AND(Isoc&lt;&gt;0,L43&lt;0),L43,0)
+IF(irpf&lt;&gt;0,L43,0)
+IF(AND(irpf=0,Isoc=0),L43,0)</f>
        <v>7845.7986603840909</v>
      </c>
      <c r="O41" s="700">
        <f ca="1">N41/N$47</f>
        <v>0.46559926136274193</v>
      </c>
    </row>
    <row r="42" spans="1:15" ht="18" customHeight="1">
      <c r="A42" s="1450" t="str">
        <v>Subvenciones</v>
      </c>
      <c r="B42" s="699">
        <f>'Financiación Inicial'!B14</f>
        <v>0</v>
      </c>
      <c r="C42" s="700">
        <f ca="1">IFERROR(B42/B$24,0)</f>
        <v>0</v>
      </c>
      <c r="D42" s="699">
        <f>'Financiación Inicial'!D14</f>
        <v>0</v>
      </c>
      <c r="E42" s="700">
        <f ca="1">D42/D$47</f>
        <v>0</v>
      </c>
      <c r="F42" s="699">
        <f>D42-'PyG 0'!N6+Financiación!E19</f>
        <v>0</v>
      </c>
      <c r="G42" s="700">
        <f ca="1">F42/F$47</f>
        <v>0</v>
      </c>
      <c r="H42" s="699">
        <f>F42-'PyG 1'!N6+Financiación!F19</f>
        <v>0</v>
      </c>
      <c r="I42" s="700">
        <f ca="1">H42/H$47</f>
        <v>0</v>
      </c>
      <c r="J42" s="699">
        <f>H42-'PyG 2'!N6+Financiación!G19</f>
        <v>0</v>
      </c>
      <c r="K42" s="700">
        <f ca="1">J42/J$47</f>
        <v>0</v>
      </c>
      <c r="L42" s="699">
        <f>J42-'PyG 3'!N6+Financiación!H19</f>
        <v>0</v>
      </c>
      <c r="M42" s="700">
        <f ca="1">L42/L$47</f>
        <v>0</v>
      </c>
      <c r="N42" s="699">
        <f>L42-'PyG 4'!N6</f>
        <v>0</v>
      </c>
      <c r="O42" s="700">
        <f ca="1">N42/N$47</f>
        <v>0</v>
      </c>
    </row>
    <row r="43" spans="1:15" ht="18" customHeight="1">
      <c r="A43" s="1450" t="str">
        <v>Resultados pend. aplicación</v>
      </c>
      <c r="B43" s="699">
        <f>'Financiación Inicial'!B12</f>
        <v>0</v>
      </c>
      <c r="C43" s="700">
        <f ca="1">IFERROR(B43/B$24,0)</f>
        <v>0</v>
      </c>
      <c r="D43" s="699">
        <f>+'Financiación Inicial'!B12</f>
        <v>0</v>
      </c>
      <c r="E43" s="700">
        <f ca="1">D43/D$47</f>
        <v>0</v>
      </c>
      <c r="F43" s="699">
        <f ca="1">'PPyGG anuales'!B29
-IF(Isoc&lt;&gt;0,Imp.Sociedades!B15,0)
-IF(irpf&lt;&gt;0,'IRPF Prof y Autónomos'!K22*'IRPF Prof y Autónomos'!K19,0)</f>
        <v>-529.51246136363579</v>
      </c>
      <c r="G43" s="700">
        <f ca="1">F43/F$47</f>
        <v>-9.3567862371870869E-2</v>
      </c>
      <c r="H43" s="699">
        <f ca="1">'PPyGG anuales'!D29
-IF(Isoc&lt;&gt;0,Imp.Sociedades!D15,0)
-IF(irpf&lt;&gt;0,'IRPF Prof y Autónomos'!L22*'IRPF Prof y Autónomos'!L19,0)</f>
        <v>5011.0376863636375</v>
      </c>
      <c r="I43" s="700">
        <f ca="1">H43/H$47</f>
        <v>0.4441271207252202</v>
      </c>
      <c r="J43" s="699">
        <f ca="1">'PPyGG anuales'!$G$29
-IF(Isoc&lt;&gt;0,Imp.Sociedades!$G$15,0)
-IF(irpf&lt;&gt;0,'IRPF Prof y Autónomos'!M22*'IRPF Prof y Autónomos'!M19,0)</f>
        <v>1430.7703843181844</v>
      </c>
      <c r="K43" s="700">
        <f ca="1">J43/J$47</f>
        <v>0.11395429911122407</v>
      </c>
      <c r="L43" s="699">
        <f ca="1">'PPyGG anuales'!$J$29
-IF(Isoc&lt;&gt;0,Imp.Sociedades!$J$15,0)
-IF(irpf&lt;&gt;0,'IRPF Prof y Autónomos'!N22*'IRPF Prof y Autónomos'!N19,0)</f>
        <v>1933.5030510659053</v>
      </c>
      <c r="M43" s="700">
        <f ca="1">L43/L$47</f>
        <v>0.1323831818892004</v>
      </c>
      <c r="N43" s="699">
        <f ca="1">'PPyGG anuales'!$M$29
-IF(Isoc&lt;&gt;0,Imp.Sociedades!$M$15,0)
-IF(irpf&lt;&gt;0,'IRPF Prof y Autónomos'!O22*'IRPF Prof y Autónomos'!O19,0)</f>
        <v>2117.0168851847939</v>
      </c>
      <c r="O43" s="700">
        <f ca="1">N43/N$47</f>
        <v>0.12563176047475053</v>
      </c>
    </row>
    <row r="44" spans="1:15" ht="18" customHeight="1">
      <c r="A44" s="1777"/>
      <c r="B44" s="690"/>
      <c r="C44" s="691"/>
      <c r="D44" s="690"/>
      <c r="E44" s="691"/>
      <c r="F44" s="699"/>
      <c r="G44" s="700"/>
      <c r="H44" s="699"/>
      <c r="I44" s="700"/>
      <c r="J44" s="699"/>
      <c r="K44" s="700"/>
      <c r="L44" s="699"/>
      <c r="M44" s="700"/>
      <c r="N44" s="699"/>
      <c r="O44" s="700"/>
    </row>
    <row r="45" spans="1:15" s="794" customFormat="1" ht="18" customHeight="1">
      <c r="A45" s="1675" t="str">
        <f t="array" ref="A45:A47">'Balances anuales'!A44:A46</f>
        <v>Total Recursos Permanentes</v>
      </c>
      <c r="B45" s="1667">
        <f>B39+B34</f>
        <v>0</v>
      </c>
      <c r="C45" s="1668">
        <f ca="1">IFERROR(B45/B$24,0)</f>
        <v>0</v>
      </c>
      <c r="D45" s="1667">
        <f>D39+D34</f>
        <v>3000</v>
      </c>
      <c r="E45" s="1668">
        <f ca="1">D45/D$47</f>
        <v>1</v>
      </c>
      <c r="F45" s="1669">
        <f ca="1">F39+F34</f>
        <v>2470.4875386363642</v>
      </c>
      <c r="G45" s="1670">
        <f ca="1">F45/F$47</f>
        <v>0.43654919359452887</v>
      </c>
      <c r="H45" s="1669">
        <f ca="1">H39+H34</f>
        <v>7481.5252250000012</v>
      </c>
      <c r="I45" s="1670">
        <f ca="1">H45/H$47</f>
        <v>0.66308586460134489</v>
      </c>
      <c r="J45" s="1669">
        <f ca="1">J39+J34</f>
        <v>8912.2956093181856</v>
      </c>
      <c r="K45" s="1670">
        <f ca="1">J45/J$47</f>
        <v>0.70982347046263627</v>
      </c>
      <c r="L45" s="1669">
        <f ca="1">L39+L34</f>
        <v>10845.798660384091</v>
      </c>
      <c r="M45" s="1670">
        <f ca="1">L45/L$47</f>
        <v>0.74259067550979141</v>
      </c>
      <c r="N45" s="1669">
        <f ca="1">N39+N34</f>
        <v>12962.815545568885</v>
      </c>
      <c r="O45" s="1670">
        <f ca="1">N45/N$47</f>
        <v>0.76926232808819939</v>
      </c>
    </row>
    <row r="46" spans="1:15" s="794" customFormat="1" ht="21" customHeight="1" thickBot="1">
      <c r="A46" s="1676" t="str">
        <v>Total Recursos Ajenos</v>
      </c>
      <c r="B46" s="1669">
        <f>B34+B26</f>
        <v>0</v>
      </c>
      <c r="C46" s="1670">
        <f ca="1">IFERROR(B46/B$24,0)</f>
        <v>0</v>
      </c>
      <c r="D46" s="1669">
        <f ca="1">D34+D26</f>
        <v>0</v>
      </c>
      <c r="E46" s="1670">
        <f ca="1">D46/D$47</f>
        <v>0</v>
      </c>
      <c r="F46" s="1669">
        <f ca="1">F34+F26</f>
        <v>3188.6399431818177</v>
      </c>
      <c r="G46" s="1670">
        <f ca="1">F46/F$47</f>
        <v>0.56345080640547107</v>
      </c>
      <c r="H46" s="1669">
        <f ca="1">H34+H26</f>
        <v>3801.3653090909083</v>
      </c>
      <c r="I46" s="1670">
        <f ca="1">H46/H$47</f>
        <v>0.33691413539865506</v>
      </c>
      <c r="J46" s="1669">
        <f ca="1">J34+J26</f>
        <v>3643.3551689090909</v>
      </c>
      <c r="K46" s="1670">
        <f ca="1">J46/J$47</f>
        <v>0.29017652953736373</v>
      </c>
      <c r="L46" s="1669">
        <f ca="1">L34+L26</f>
        <v>3759.5539491654545</v>
      </c>
      <c r="M46" s="1670">
        <f ca="1">L46/L$47</f>
        <v>0.25740932449020865</v>
      </c>
      <c r="N46" s="1669">
        <f ca="1">N34+N26</f>
        <v>3888.1533271491871</v>
      </c>
      <c r="O46" s="1670">
        <f ca="1">N46/N$47</f>
        <v>0.23073767191180061</v>
      </c>
    </row>
    <row r="47" spans="1:15" s="48" customFormat="1" ht="21" customHeight="1" thickBot="1">
      <c r="A47" s="1666" t="str">
        <v>Patrimonio Neto y Pasivos</v>
      </c>
      <c r="B47" s="1662">
        <f>B39+B34+B26</f>
        <v>0</v>
      </c>
      <c r="C47" s="1663">
        <f ca="1">C39+C34+C26</f>
        <v>0</v>
      </c>
      <c r="D47" s="1662">
        <f t="shared" ref="D47:O47" ca="1" si="16">D39+D34+D26</f>
        <v>3000</v>
      </c>
      <c r="E47" s="1663">
        <f t="shared" ca="1" si="16"/>
        <v>1</v>
      </c>
      <c r="F47" s="1664">
        <f t="shared" ca="1" si="16"/>
        <v>5659.1274818181819</v>
      </c>
      <c r="G47" s="1665">
        <f t="shared" ca="1" si="16"/>
        <v>1</v>
      </c>
      <c r="H47" s="1664">
        <f t="shared" ca="1" si="16"/>
        <v>11282.89053409091</v>
      </c>
      <c r="I47" s="1665">
        <f t="shared" ca="1" si="16"/>
        <v>1</v>
      </c>
      <c r="J47" s="1664">
        <f t="shared" ca="1" si="16"/>
        <v>12555.650778227277</v>
      </c>
      <c r="K47" s="1665">
        <f t="shared" ca="1" si="16"/>
        <v>1</v>
      </c>
      <c r="L47" s="1664">
        <f t="shared" ca="1" si="16"/>
        <v>14605.352609549545</v>
      </c>
      <c r="M47" s="1665">
        <f t="shared" ca="1" si="16"/>
        <v>1</v>
      </c>
      <c r="N47" s="1664">
        <f t="shared" ca="1" si="16"/>
        <v>16850.968872718073</v>
      </c>
      <c r="O47" s="1665">
        <f t="shared" ca="1" si="16"/>
        <v>1</v>
      </c>
    </row>
    <row r="48" spans="1:15" ht="15.75" thickBot="1">
      <c r="B48" s="694"/>
      <c r="C48" s="695"/>
      <c r="D48" s="694"/>
      <c r="E48" s="695"/>
      <c r="F48" s="694"/>
      <c r="G48" s="702"/>
      <c r="H48" s="694"/>
      <c r="I48" s="702"/>
      <c r="J48" s="694"/>
      <c r="K48" s="702"/>
      <c r="L48" s="694"/>
      <c r="M48" s="702"/>
      <c r="N48" s="694"/>
      <c r="O48" s="702"/>
    </row>
    <row r="49" spans="1:15" s="48" customFormat="1" ht="20.25" customHeight="1" thickBot="1">
      <c r="A49" s="1661" t="str">
        <f>'Balances anuales'!A48</f>
        <v>Fondo de Maniobra</v>
      </c>
      <c r="B49" s="1657">
        <f>B45-B16</f>
        <v>0</v>
      </c>
      <c r="C49" s="1658">
        <f ca="1">IFERROR(B49/B$24,0)</f>
        <v>0</v>
      </c>
      <c r="D49" s="1657">
        <f>D45-D16</f>
        <v>3000</v>
      </c>
      <c r="E49" s="1658">
        <f ca="1">D49/D24</f>
        <v>1</v>
      </c>
      <c r="F49" s="1659">
        <f ca="1">F45-F16</f>
        <v>2470.4875386363642</v>
      </c>
      <c r="G49" s="1660">
        <f ca="1">F49/F24</f>
        <v>0.43654919359452893</v>
      </c>
      <c r="H49" s="1659">
        <f ca="1">H45-H16</f>
        <v>7481.5252250000012</v>
      </c>
      <c r="I49" s="1660">
        <f ca="1">H49/H24</f>
        <v>0.66308586460134489</v>
      </c>
      <c r="J49" s="1659">
        <f ca="1">J45-J16</f>
        <v>8912.2956093181856</v>
      </c>
      <c r="K49" s="1660">
        <f ca="1">J49/J24</f>
        <v>0.70982347046263627</v>
      </c>
      <c r="L49" s="1659">
        <f ca="1">L45-L16</f>
        <v>10845.798660384091</v>
      </c>
      <c r="M49" s="1660">
        <f ca="1">L49/L24</f>
        <v>0.74259067550979152</v>
      </c>
      <c r="N49" s="1659">
        <f ca="1">N45-N16</f>
        <v>12962.815545568885</v>
      </c>
      <c r="O49" s="1660">
        <f ca="1">N49/N24</f>
        <v>0.76926232808819939</v>
      </c>
    </row>
    <row r="50" spans="1:15" ht="15.75" thickBot="1"/>
    <row r="51" spans="1:15" s="48" customFormat="1" ht="20.25" customHeight="1" thickBot="1">
      <c r="A51" s="1856" t="str">
        <f>'Balances anuales'!A50</f>
        <v>Necesidad Operativa Fondos (NOF)</v>
      </c>
      <c r="B51" s="1657">
        <f ca="1">+B12+B11+B13-B29</f>
        <v>0</v>
      </c>
      <c r="C51" s="1660">
        <f ca="1">IFERROR(B51/B$24,0)</f>
        <v>0</v>
      </c>
      <c r="D51" s="1657">
        <f ca="1">+D12+D11+D13-D29</f>
        <v>0</v>
      </c>
      <c r="E51" s="1660">
        <f ca="1">D51/D39</f>
        <v>0</v>
      </c>
      <c r="F51" s="1657">
        <f ca="1">+F12+F11+F13-F29</f>
        <v>0</v>
      </c>
      <c r="G51" s="1660">
        <f ca="1">F51/F39</f>
        <v>0</v>
      </c>
      <c r="H51" s="1657">
        <f ca="1">+H12+H11+H13-H29</f>
        <v>0</v>
      </c>
      <c r="I51" s="1660">
        <f ca="1">H51/H39</f>
        <v>0</v>
      </c>
      <c r="J51" s="1657">
        <f ca="1">+J12+J11+J13-J29</f>
        <v>0</v>
      </c>
      <c r="K51" s="1660">
        <f ca="1">J51/J39</f>
        <v>0</v>
      </c>
      <c r="L51" s="1657">
        <f ca="1">+L12+L11+L13-L29</f>
        <v>0</v>
      </c>
      <c r="M51" s="1660">
        <f ca="1">L51/L39</f>
        <v>0</v>
      </c>
      <c r="N51" s="1657">
        <f ca="1">+N12+N11+N13-N29</f>
        <v>0</v>
      </c>
      <c r="O51" s="1660">
        <f ca="1">N51/N39</f>
        <v>0</v>
      </c>
    </row>
    <row r="53" spans="1:15">
      <c r="A53" s="39" t="str">
        <f>CONCATENATE("Todas las cantidades están expresadas en ",D4)</f>
        <v>Todas las cantidades están expresadas en €</v>
      </c>
      <c r="F53" s="35" t="s">
        <v>41</v>
      </c>
    </row>
    <row r="54" spans="1:15">
      <c r="A54" s="2334"/>
      <c r="B54" s="688" t="str">
        <f ca="1">IF(ABS(B47-B24)&gt;0.005,B47-B24,"")</f>
        <v/>
      </c>
      <c r="D54" s="688" t="str">
        <f ca="1">IF(ABS(D47-D24)&gt;0.005,D47-D24,"")</f>
        <v/>
      </c>
      <c r="F54" s="688" t="str">
        <f ca="1">IF(ABS(F47-F24)&gt;0.005,F47-F24,"")</f>
        <v/>
      </c>
      <c r="H54" s="688" t="str">
        <f ca="1">IF(ABS(H47-H24)&gt;0.005,H47-H24,"")</f>
        <v/>
      </c>
      <c r="J54" s="688" t="str">
        <f ca="1">IF(ABS(J47-J24)&gt;0.005,J47-J24,"")</f>
        <v/>
      </c>
      <c r="L54" s="688" t="str">
        <f ca="1">IF(ABS(L47-L24)&gt;0.005,L47-L24,"")</f>
        <v/>
      </c>
      <c r="N54" s="688" t="str">
        <f ca="1">IF(ABS(N47-N24)&gt;0.005,N47-N24,"")</f>
        <v/>
      </c>
    </row>
    <row r="55" spans="1:15">
      <c r="A55" s="39" t="str">
        <f>IF(consolidacion,"* El Balance Inicial es la combinación del Balance Previo, las inversiones iniciales y las financiaciones iniciales previstas","")</f>
        <v/>
      </c>
    </row>
    <row r="56" spans="1:15">
      <c r="J56" s="689"/>
    </row>
  </sheetData>
  <sheetProtection sheet="1" objects="1" scenarios="1"/>
  <printOptions horizontalCentered="1"/>
  <pageMargins left="0.78740157480314965" right="0.78740157480314965" top="0.59055118110236227" bottom="0.59055118110236227" header="0" footer="0.31496062992125984"/>
  <pageSetup paperSize="9" scale="59" orientation="landscape" horizontalDpi="300" verticalDpi="300" r:id="rId1"/>
  <headerFooter alignWithMargins="0">
    <oddFooter>&amp;C&amp;"Tahoma,Normal"&amp;10&amp;A</oddFooter>
  </headerFooter>
  <legacy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19">
    <tabColor indexed="61"/>
    <pageSetUpPr fitToPage="1"/>
  </sheetPr>
  <dimension ref="A1:O43"/>
  <sheetViews>
    <sheetView workbookViewId="0"/>
  </sheetViews>
  <sheetFormatPr baseColWidth="10" defaultColWidth="11" defaultRowHeight="15"/>
  <cols>
    <col min="1" max="1" width="43" style="20" customWidth="1"/>
    <col min="2" max="2" width="14" style="20" customWidth="1"/>
    <col min="3" max="3" width="13.75" style="20" customWidth="1"/>
    <col min="4" max="4" width="14" style="20" customWidth="1"/>
    <col min="5" max="5" width="14.25" style="20" customWidth="1"/>
    <col min="6" max="6" width="13.125" style="20" hidden="1" customWidth="1"/>
    <col min="7" max="7" width="14" style="20" customWidth="1"/>
    <col min="8" max="8" width="12.625" style="20" bestFit="1" customWidth="1"/>
    <col min="9" max="9" width="12.625" style="20" hidden="1" customWidth="1"/>
    <col min="10" max="10" width="14" style="20" customWidth="1"/>
    <col min="11" max="11" width="12.625" style="20" bestFit="1" customWidth="1"/>
    <col min="12" max="12" width="12.625" style="20" hidden="1" customWidth="1"/>
    <col min="13" max="13" width="14" style="20" customWidth="1"/>
    <col min="14" max="14" width="12.625" style="20" bestFit="1" customWidth="1"/>
    <col min="15" max="15" width="12.625" style="20" hidden="1" customWidth="1"/>
    <col min="16" max="16384" width="11" style="20"/>
  </cols>
  <sheetData>
    <row r="1" spans="1:15" ht="22.5">
      <c r="A1" s="450" t="s">
        <v>407</v>
      </c>
    </row>
    <row r="2" spans="1:15" ht="22.5">
      <c r="A2" s="450" t="str">
        <f>'Datos Básicos'!$B$9</f>
        <v>nombre empresa</v>
      </c>
    </row>
    <row r="3" spans="1:15" ht="26.25" thickBot="1">
      <c r="A3" s="449"/>
      <c r="B3" s="22"/>
    </row>
    <row r="4" spans="1:15" s="452" customFormat="1" ht="21.75" customHeight="1" thickTop="1" thickBot="1">
      <c r="A4" s="457" t="s">
        <v>34</v>
      </c>
      <c r="B4" s="460" t="str">
        <f>CONCATENATE(Parametros!B77,IF(mes0=1,"",CONCATENATE("   (",12-mes0+1," meses)")))</f>
        <v>Año 0:  2026</v>
      </c>
      <c r="C4" s="461"/>
      <c r="D4" s="460" t="str">
        <f>+Parametros!C77</f>
        <v>Año 1:  2027</v>
      </c>
      <c r="E4" s="461"/>
      <c r="F4" s="458" t="s">
        <v>38</v>
      </c>
      <c r="G4" s="460" t="str">
        <f>+Parametros!D77</f>
        <v>Año 2:  2028</v>
      </c>
      <c r="H4" s="461"/>
      <c r="I4" s="458" t="s">
        <v>38</v>
      </c>
      <c r="J4" s="460" t="str">
        <f>+Parametros!E77</f>
        <v>Año 3:  2029</v>
      </c>
      <c r="K4" s="461"/>
      <c r="L4" s="459" t="s">
        <v>38</v>
      </c>
      <c r="M4" s="460" t="str">
        <f>+Parametros!F77</f>
        <v>Año 4:  2030</v>
      </c>
      <c r="N4" s="461"/>
      <c r="O4" s="451" t="s">
        <v>38</v>
      </c>
    </row>
    <row r="5" spans="1:15" s="31" customFormat="1" ht="20.25" customHeight="1" thickTop="1">
      <c r="A5" s="1599" t="s">
        <v>603</v>
      </c>
      <c r="B5" s="490">
        <f t="array" ref="B5:B6" ca="1">'PyG 0'!N5:N6</f>
        <v>27482.95454545454</v>
      </c>
      <c r="C5" s="2585">
        <f t="array" aca="1" ref="C5:C7" ca="1">IFERROR(B5:B7/B$5,0)</f>
        <v>1</v>
      </c>
      <c r="D5" s="491">
        <f t="array" ref="D5:D6" ca="1">'PyG 1'!N5:N6</f>
        <v>38675</v>
      </c>
      <c r="E5" s="2585">
        <f t="array" aca="1" ref="E5:E7" ca="1">IFERROR(D5:D7/D$5,0)</f>
        <v>1</v>
      </c>
      <c r="F5" s="492">
        <f ca="1">IF(ABS(B5)&gt;0.01,(D5-B5)/B5,"")</f>
        <v>0.40723589001447202</v>
      </c>
      <c r="G5" s="490">
        <f t="array" ref="G5:G6" ca="1">'PyG 2'!N5:N6</f>
        <v>39835.25</v>
      </c>
      <c r="H5" s="2585">
        <f t="array" aca="1" ref="H5:H7" ca="1">IFERROR(G5:G7/G$5,0)</f>
        <v>1</v>
      </c>
      <c r="I5" s="493">
        <f ca="1">IF(ABS(D5)&gt;0.01,(G5-D5)/D5,"")</f>
        <v>0.03</v>
      </c>
      <c r="J5" s="490">
        <f t="array" ref="J5:J6" ca="1">'PyG 3'!N5:N6</f>
        <v>41030.307500000003</v>
      </c>
      <c r="K5" s="2585">
        <f t="array" aca="1" ref="K5:K7" ca="1">IFERROR(J5:J7/J$5,0)</f>
        <v>1</v>
      </c>
      <c r="L5" s="494">
        <f ca="1">IF(ABS(G5)&gt;0.01,(J5-G5)/G5,"")</f>
        <v>3.0000000000000065E-2</v>
      </c>
      <c r="M5" s="490">
        <f t="array" ref="M5:M6" ca="1">'PyG 4'!N5:N6</f>
        <v>42261.216725000006</v>
      </c>
      <c r="N5" s="2585">
        <f t="array" aca="1" ref="N5:N7" ca="1">IFERROR(M5:M7/M$5,0)</f>
        <v>1</v>
      </c>
      <c r="O5" s="469">
        <f ca="1">IF(ABS(J5)&gt;0.01,(M5-J5)/J5,"")</f>
        <v>3.0000000000000072E-2</v>
      </c>
    </row>
    <row r="6" spans="1:15" s="31" customFormat="1" ht="20.25" customHeight="1">
      <c r="A6" s="1600" t="s">
        <v>604</v>
      </c>
      <c r="B6" s="470">
        <v>0</v>
      </c>
      <c r="C6" s="2585">
        <f ca="1"/>
        <v>0</v>
      </c>
      <c r="D6" s="470">
        <v>0</v>
      </c>
      <c r="E6" s="2585">
        <f ca="1"/>
        <v>0</v>
      </c>
      <c r="F6" s="466"/>
      <c r="G6" s="1601">
        <v>0</v>
      </c>
      <c r="H6" s="2585">
        <f ca="1"/>
        <v>0</v>
      </c>
      <c r="I6" s="467"/>
      <c r="J6" s="1601">
        <v>0</v>
      </c>
      <c r="K6" s="2585">
        <f ca="1"/>
        <v>0</v>
      </c>
      <c r="L6" s="468"/>
      <c r="M6" s="1601">
        <v>0</v>
      </c>
      <c r="N6" s="2585">
        <f ca="1"/>
        <v>0</v>
      </c>
      <c r="O6" s="468"/>
    </row>
    <row r="7" spans="1:15" s="31" customFormat="1" ht="20.25" customHeight="1">
      <c r="A7" s="530" t="s">
        <v>673</v>
      </c>
      <c r="B7" s="464">
        <f ca="1">B6+B5</f>
        <v>27482.95454545454</v>
      </c>
      <c r="C7" s="2587">
        <f ca="1"/>
        <v>1</v>
      </c>
      <c r="D7" s="464">
        <f ca="1">D6+D5</f>
        <v>38675</v>
      </c>
      <c r="E7" s="2587">
        <f ca="1"/>
        <v>1</v>
      </c>
      <c r="F7" s="466"/>
      <c r="G7" s="464">
        <f ca="1">G6+G5</f>
        <v>39835.25</v>
      </c>
      <c r="H7" s="2587">
        <f ca="1"/>
        <v>1</v>
      </c>
      <c r="I7" s="467"/>
      <c r="J7" s="464">
        <f ca="1">J6+J5</f>
        <v>41030.307500000003</v>
      </c>
      <c r="K7" s="2587">
        <f ca="1"/>
        <v>1</v>
      </c>
      <c r="L7" s="468"/>
      <c r="M7" s="464">
        <f ca="1">M6+M5</f>
        <v>42261.216725000006</v>
      </c>
      <c r="N7" s="2587">
        <f ca="1"/>
        <v>1</v>
      </c>
      <c r="O7" s="468"/>
    </row>
    <row r="8" spans="1:15" s="31" customFormat="1" ht="20.25" customHeight="1">
      <c r="A8" s="530"/>
      <c r="B8" s="464"/>
      <c r="C8" s="2586"/>
      <c r="D8" s="465"/>
      <c r="E8" s="2586"/>
      <c r="F8" s="466"/>
      <c r="G8" s="464"/>
      <c r="H8" s="2586"/>
      <c r="I8" s="467"/>
      <c r="J8" s="464"/>
      <c r="K8" s="2586"/>
      <c r="L8" s="468"/>
      <c r="M8" s="464"/>
      <c r="N8" s="2586"/>
      <c r="O8" s="468"/>
    </row>
    <row r="9" spans="1:15" s="34" customFormat="1" ht="20.25" customHeight="1">
      <c r="A9" s="1600" t="s">
        <v>609</v>
      </c>
      <c r="B9" s="470">
        <f t="array" ref="B9:B10" ca="1">'PyG 0'!N9:N10</f>
        <v>2748.295454545455</v>
      </c>
      <c r="C9" s="2585">
        <f t="array" ref="C9:C11" ca="1">IFERROR(B9:B11/B$5,0)</f>
        <v>0.10000000000000003</v>
      </c>
      <c r="D9" s="471">
        <f t="array" ref="D9:D10" ca="1">'PyG 1'!N9:N10</f>
        <v>3867.5</v>
      </c>
      <c r="E9" s="2585">
        <f t="array" ref="E9:E11" ca="1">IFERROR(D9:D11/D$5,0)</f>
        <v>0.1</v>
      </c>
      <c r="F9" s="472">
        <f ca="1">IF(ABS(B9)&gt;0.01,(D9-B9)/B9,"")</f>
        <v>0.40723589001447158</v>
      </c>
      <c r="G9" s="470">
        <f t="array" ref="G9:G10" ca="1">'PyG 2'!N9:N10</f>
        <v>3983.5250000000005</v>
      </c>
      <c r="H9" s="2585">
        <f t="array" ref="H9:H11" ca="1">IFERROR(G9:G11/G$5,0)</f>
        <v>0.10000000000000002</v>
      </c>
      <c r="I9" s="473">
        <f ca="1">IF(ABS(D9)&gt;0.01,(G9-D9)/D9,"")</f>
        <v>3.0000000000000141E-2</v>
      </c>
      <c r="J9" s="470">
        <f t="array" ref="J9:J10" ca="1">'PyG 3'!N9:N10</f>
        <v>4103.0307500000008</v>
      </c>
      <c r="K9" s="2585">
        <f t="array" ref="K9:K11" ca="1">IFERROR(J9:J11/J$5,0)</f>
        <v>0.10000000000000002</v>
      </c>
      <c r="L9" s="474">
        <f ca="1">IF(ABS(G9)&gt;0.01,(J9-G9)/G9,"")</f>
        <v>3.0000000000000061E-2</v>
      </c>
      <c r="M9" s="470">
        <f t="array" ref="M9:M10" ca="1">'PyG 4'!N9:N10</f>
        <v>4226.1216725000004</v>
      </c>
      <c r="N9" s="2585">
        <f t="array" ref="N9:N11" ca="1">IFERROR(M9:M11/M$5,0)</f>
        <v>9.9999999999999992E-2</v>
      </c>
      <c r="O9" s="474">
        <f ca="1">IF(ABS(J9)&gt;0.01,(M9-J9)/J9,"")</f>
        <v>2.9999999999999891E-2</v>
      </c>
    </row>
    <row r="10" spans="1:15" s="34" customFormat="1" ht="20.25" customHeight="1">
      <c r="A10" s="1600" t="s">
        <v>605</v>
      </c>
      <c r="B10" s="470">
        <f ca="1"/>
        <v>0</v>
      </c>
      <c r="C10" s="2585">
        <f ca="1"/>
        <v>0</v>
      </c>
      <c r="D10" s="471">
        <f ca="1"/>
        <v>0</v>
      </c>
      <c r="E10" s="2585">
        <f ca="1"/>
        <v>0</v>
      </c>
      <c r="F10" s="1604"/>
      <c r="G10" s="470">
        <f ca="1"/>
        <v>0</v>
      </c>
      <c r="H10" s="2585">
        <f ca="1"/>
        <v>0</v>
      </c>
      <c r="I10" s="478"/>
      <c r="J10" s="470">
        <f ca="1"/>
        <v>0</v>
      </c>
      <c r="K10" s="2585">
        <f ca="1"/>
        <v>0</v>
      </c>
      <c r="L10" s="479"/>
      <c r="M10" s="470">
        <f ca="1"/>
        <v>0</v>
      </c>
      <c r="N10" s="2585">
        <f ca="1"/>
        <v>0</v>
      </c>
      <c r="O10" s="474"/>
    </row>
    <row r="11" spans="1:15" s="34" customFormat="1" ht="20.25" customHeight="1">
      <c r="A11" s="1605" t="s">
        <v>607</v>
      </c>
      <c r="B11" s="486">
        <f ca="1">B9+B10</f>
        <v>2748.295454545455</v>
      </c>
      <c r="C11" s="2587">
        <f ca="1"/>
        <v>0.10000000000000003</v>
      </c>
      <c r="D11" s="487">
        <f ca="1">D9+D10</f>
        <v>3867.5</v>
      </c>
      <c r="E11" s="2587">
        <f ca="1"/>
        <v>0.1</v>
      </c>
      <c r="F11" s="488"/>
      <c r="G11" s="487">
        <f ca="1">G9+G10</f>
        <v>3983.5250000000005</v>
      </c>
      <c r="H11" s="2587">
        <f ca="1"/>
        <v>0.10000000000000002</v>
      </c>
      <c r="I11" s="488"/>
      <c r="J11" s="487">
        <f ca="1">J9+J10</f>
        <v>4103.0307500000008</v>
      </c>
      <c r="K11" s="2587">
        <f ca="1"/>
        <v>0.10000000000000002</v>
      </c>
      <c r="L11" s="489"/>
      <c r="M11" s="487">
        <f ca="1">M9+M10</f>
        <v>4226.1216725000004</v>
      </c>
      <c r="N11" s="2587">
        <f ca="1"/>
        <v>9.9999999999999992E-2</v>
      </c>
      <c r="O11" s="474"/>
    </row>
    <row r="12" spans="1:15" s="34" customFormat="1" ht="20.25" customHeight="1">
      <c r="A12" s="1603"/>
      <c r="B12" s="475"/>
      <c r="C12" s="2588"/>
      <c r="D12" s="476"/>
      <c r="E12" s="2588"/>
      <c r="F12" s="478"/>
      <c r="G12" s="476"/>
      <c r="H12" s="2588"/>
      <c r="I12" s="478"/>
      <c r="J12" s="476"/>
      <c r="K12" s="2588"/>
      <c r="L12" s="479"/>
      <c r="M12" s="476"/>
      <c r="N12" s="2588"/>
      <c r="O12" s="474"/>
    </row>
    <row r="13" spans="1:15" s="31" customFormat="1" ht="20.25" customHeight="1" thickBot="1">
      <c r="A13" s="462" t="s">
        <v>16</v>
      </c>
      <c r="B13" s="495">
        <f ca="1">'PyG 0'!N13</f>
        <v>24734.659090909088</v>
      </c>
      <c r="C13" s="2589">
        <f ca="1">IFERROR(B13/B$5,0)</f>
        <v>0.9</v>
      </c>
      <c r="D13" s="496">
        <f ca="1">D7-D11</f>
        <v>34807.5</v>
      </c>
      <c r="E13" s="2589">
        <f ca="1">IFERROR(D13/D$5,0)</f>
        <v>0.9</v>
      </c>
      <c r="F13" s="498">
        <f ca="1">IF(ABS(B13)&gt;0.01,(D13-B13)/B13,"")</f>
        <v>0.40723589001447191</v>
      </c>
      <c r="G13" s="496">
        <f ca="1">G7-G11</f>
        <v>35851.724999999999</v>
      </c>
      <c r="H13" s="2589">
        <f ca="1">IFERROR(G13/G$5,0)</f>
        <v>0.89999999999999991</v>
      </c>
      <c r="I13" s="498">
        <f ca="1">IF(ABS(D13)&gt;0.01,(G13-D13)/D13,"")</f>
        <v>2.9999999999999957E-2</v>
      </c>
      <c r="J13" s="496">
        <f ca="1">J7-J11</f>
        <v>36927.276750000005</v>
      </c>
      <c r="K13" s="2589">
        <f ca="1">IFERROR(J13/J$5,0)</f>
        <v>0.9</v>
      </c>
      <c r="L13" s="499">
        <f ca="1">IF(ABS(G13)&gt;0.01,(J13-G13)/G13,"")</f>
        <v>3.0000000000000169E-2</v>
      </c>
      <c r="M13" s="496">
        <f ca="1">M7-M11</f>
        <v>38035.095052500008</v>
      </c>
      <c r="N13" s="2589">
        <f ca="1">IFERROR(M13/M$5,0)</f>
        <v>0.9</v>
      </c>
      <c r="O13" s="456">
        <f ca="1">IF(ABS(J13)&gt;0.01,(M13-J13)/J13,"")</f>
        <v>3.0000000000000089E-2</v>
      </c>
    </row>
    <row r="14" spans="1:15" s="31" customFormat="1" ht="15.75" thickBot="1">
      <c r="A14" s="529"/>
      <c r="B14" s="500"/>
      <c r="C14" s="2590"/>
      <c r="D14" s="501"/>
      <c r="E14" s="2590"/>
      <c r="F14" s="502"/>
      <c r="G14" s="500"/>
      <c r="H14" s="2590"/>
      <c r="I14" s="503"/>
      <c r="J14" s="500"/>
      <c r="K14" s="2590"/>
      <c r="L14" s="504"/>
      <c r="M14" s="500"/>
      <c r="N14" s="2590"/>
      <c r="O14" s="456"/>
    </row>
    <row r="15" spans="1:15" s="34" customFormat="1" ht="20.25" customHeight="1">
      <c r="A15" s="953" t="s">
        <v>197</v>
      </c>
      <c r="B15" s="490">
        <f>'G.F. 0'!N15+'G.F. 0'!N25</f>
        <v>18000</v>
      </c>
      <c r="C15" s="2584">
        <f t="array" ref="C15:C18" ca="1">IFERROR(B15:B18/B$5,0)</f>
        <v>0.65495141616704577</v>
      </c>
      <c r="D15" s="491">
        <f>'G.F. 1'!N15+'G.F. 1'!N25</f>
        <v>18720</v>
      </c>
      <c r="E15" s="2584">
        <f t="array" ref="E15:E18" ca="1">IFERROR(D15:D18/D$5,0)</f>
        <v>0.48403361344537815</v>
      </c>
      <c r="F15" s="492">
        <f>IF(ABS(B15)&gt;0.01,(D15-B15)/B15,"")</f>
        <v>0.04</v>
      </c>
      <c r="G15" s="490">
        <f>'G.F. 2'!N15+'G.F. 2'!N25</f>
        <v>19468.8</v>
      </c>
      <c r="H15" s="2584">
        <f t="array" ref="H15:H18" ca="1">IFERROR(G15:G18/G$5,0)</f>
        <v>0.4887329689157216</v>
      </c>
      <c r="I15" s="493">
        <f>IF(ABS(D15)&gt;0.01,(G15-D15)/D15,"")</f>
        <v>3.9999999999999959E-2</v>
      </c>
      <c r="J15" s="490">
        <f>'G.F. 3'!N15+'G.F. 3'!N25</f>
        <v>20247.551999999996</v>
      </c>
      <c r="K15" s="2584">
        <f t="array" ref="K15:K18" ca="1">IFERROR(J15:J18/J$5,0)</f>
        <v>0.49347794919645666</v>
      </c>
      <c r="L15" s="494">
        <f>IF(ABS(G15)&gt;0.01,(J15-G15)/G15,"")</f>
        <v>3.9999999999999834E-2</v>
      </c>
      <c r="M15" s="490">
        <f>'G.F. 4'!N15+'G.F. 4'!N25</f>
        <v>21057.454080000007</v>
      </c>
      <c r="N15" s="2584">
        <f t="array" ref="N15:N18" ca="1">IFERROR(M15:M18/M$5,0)</f>
        <v>0.49826899724690793</v>
      </c>
      <c r="O15" s="474">
        <f>IF(ABS(J15)&gt;0.01,(M15-J15)/J15,"")</f>
        <v>4.0000000000000542E-2</v>
      </c>
    </row>
    <row r="16" spans="1:15" s="34" customFormat="1" ht="20.25" customHeight="1">
      <c r="A16" s="2800" t="s">
        <v>1091</v>
      </c>
      <c r="B16" s="1601">
        <f>'G.F. 0'!N20</f>
        <v>1032</v>
      </c>
      <c r="C16" s="2801">
        <f ca="1"/>
        <v>3.7550547860243963E-2</v>
      </c>
      <c r="D16" s="2802">
        <f>'G.F. 1'!N20</f>
        <v>1032</v>
      </c>
      <c r="E16" s="2801">
        <f ca="1"/>
        <v>2.6683904330963154E-2</v>
      </c>
      <c r="F16" s="2803"/>
      <c r="G16" s="1601">
        <f ca="1">'G.F. 2'!N20</f>
        <v>6000</v>
      </c>
      <c r="H16" s="2801">
        <f ca="1"/>
        <v>0.15062036763921402</v>
      </c>
      <c r="I16" s="2804"/>
      <c r="J16" s="1601">
        <f ca="1">'G.F. 3'!N20</f>
        <v>5120</v>
      </c>
      <c r="K16" s="2801">
        <f ca="1"/>
        <v>0.12478580619947827</v>
      </c>
      <c r="L16" s="2805"/>
      <c r="M16" s="1601">
        <f ca="1">'G.F. 4'!N20</f>
        <v>4680</v>
      </c>
      <c r="N16" s="2801">
        <f ca="1"/>
        <v>0.11073983104777728</v>
      </c>
      <c r="O16" s="474"/>
    </row>
    <row r="17" spans="1:15" s="34" customFormat="1" ht="20.25" customHeight="1">
      <c r="A17" s="952" t="s">
        <v>196</v>
      </c>
      <c r="B17" s="470">
        <f ca="1">'G.F. 0'!N55++'IVA 0'!O13</f>
        <v>1209.25</v>
      </c>
      <c r="C17" s="2585">
        <f ca="1"/>
        <v>4.4000000000000011E-2</v>
      </c>
      <c r="D17" s="471">
        <f ca="1">'G.F. 1'!N55+'IVA 1'!O13</f>
        <v>1661.3290909090915</v>
      </c>
      <c r="E17" s="2585">
        <f ca="1"/>
        <v>4.2956149732620338E-2</v>
      </c>
      <c r="F17" s="472">
        <f ca="1">IF(ABS(B17)&gt;0.01,(D17-B17)/B17,"")</f>
        <v>0.37385080910406576</v>
      </c>
      <c r="G17" s="470">
        <f ca="1">'G.F. 2'!N55+'IVA 2'!O13</f>
        <v>1712.3122545454537</v>
      </c>
      <c r="H17" s="2585">
        <f ca="1"/>
        <v>4.2984850215461272E-2</v>
      </c>
      <c r="I17" s="473">
        <f ca="1">IF(ABS(D17)&gt;0.01,(G17-D17)/D17,"")</f>
        <v>3.0688178468279162E-2</v>
      </c>
      <c r="J17" s="470">
        <f ca="1">'G.F. 3'!N55+'IVA 3'!O13</f>
        <v>1764.870644727273</v>
      </c>
      <c r="K17" s="2585">
        <f ca="1"/>
        <v>4.3013829343766748E-2</v>
      </c>
      <c r="L17" s="474">
        <f ca="1">IF(ABS(G17)&gt;0.01,(J17-G17)/G17,"")</f>
        <v>3.0694395862845298E-2</v>
      </c>
      <c r="M17" s="470">
        <f ca="1">'G.F. 4'!N55+'IVA 4'!O13</f>
        <v>1819.0533475163641</v>
      </c>
      <c r="N17" s="2585">
        <f ca="1"/>
        <v>4.3043089822832448E-2</v>
      </c>
      <c r="O17" s="474">
        <f ca="1">IF(ABS(J17)&gt;0.01,(M17-J17)/J17,"")</f>
        <v>3.0700665202272649E-2</v>
      </c>
    </row>
    <row r="18" spans="1:15" s="31" customFormat="1" ht="20.25" customHeight="1" thickBot="1">
      <c r="A18" s="462" t="s">
        <v>895</v>
      </c>
      <c r="B18" s="495">
        <f ca="1">SUM(B15:B17)</f>
        <v>20241.25</v>
      </c>
      <c r="C18" s="2589">
        <f ca="1"/>
        <v>0.73650196402728973</v>
      </c>
      <c r="D18" s="495">
        <f ca="1">SUM(D15:D17)</f>
        <v>21413.32909090909</v>
      </c>
      <c r="E18" s="2589">
        <f ca="1"/>
        <v>0.55367366750896163</v>
      </c>
      <c r="F18" s="497">
        <f ca="1">IF(ABS(B18)&gt;0.01,(D18-B18)/B18,"")</f>
        <v>5.7905469815801407E-2</v>
      </c>
      <c r="G18" s="495">
        <f ca="1">SUM(G15:G17)</f>
        <v>27181.112254545453</v>
      </c>
      <c r="H18" s="2589">
        <f ca="1"/>
        <v>0.68233818677039693</v>
      </c>
      <c r="I18" s="498">
        <f ca="1">IF(ABS(D18)&gt;0.01,(G18-D18)/D18,"")</f>
        <v>0.26935480882722918</v>
      </c>
      <c r="J18" s="495">
        <f ca="1">SUM(J15:J17)</f>
        <v>27132.42264472727</v>
      </c>
      <c r="K18" s="2589">
        <f ca="1"/>
        <v>0.66127758473970166</v>
      </c>
      <c r="L18" s="499">
        <f ca="1">IF(ABS(G18)&gt;0.01,(J18-G18)/G18,"")</f>
        <v>-1.791303069654189E-3</v>
      </c>
      <c r="M18" s="495">
        <f ca="1">SUM(M15:M17)</f>
        <v>27556.507427516372</v>
      </c>
      <c r="N18" s="2589">
        <f ca="1"/>
        <v>0.65205191811751761</v>
      </c>
      <c r="O18" s="456">
        <f ca="1">IF(ABS(J18)&gt;0.01,(M18-J18)/J18,"")</f>
        <v>1.5630184902471835E-2</v>
      </c>
    </row>
    <row r="19" spans="1:15" s="31" customFormat="1" ht="15.75" thickBot="1">
      <c r="A19" s="529"/>
      <c r="B19" s="500"/>
      <c r="C19" s="2590"/>
      <c r="D19" s="501"/>
      <c r="E19" s="2590"/>
      <c r="F19" s="502"/>
      <c r="G19" s="500"/>
      <c r="H19" s="2590"/>
      <c r="I19" s="503"/>
      <c r="J19" s="500"/>
      <c r="K19" s="2590"/>
      <c r="L19" s="504"/>
      <c r="M19" s="500"/>
      <c r="N19" s="2590"/>
      <c r="O19" s="456"/>
    </row>
    <row r="20" spans="1:15" ht="36.75" customHeight="1" thickBot="1">
      <c r="A20" s="2003" t="s">
        <v>894</v>
      </c>
      <c r="B20" s="2004">
        <f ca="1">B13-B18</f>
        <v>4493.4090909090883</v>
      </c>
      <c r="C20" s="2591">
        <f ca="1">IFERROR(B20/B$5,0)</f>
        <v>0.16349803597271029</v>
      </c>
      <c r="D20" s="2004">
        <f ca="1">D13-D18</f>
        <v>13394.17090909091</v>
      </c>
      <c r="E20" s="2591">
        <f ca="1">IFERROR(D20/D$5,0)</f>
        <v>0.34632633249103839</v>
      </c>
      <c r="F20" s="2005"/>
      <c r="G20" s="2004">
        <f ca="1">G13-G18</f>
        <v>8670.6127454545458</v>
      </c>
      <c r="H20" s="2591">
        <f ca="1">IFERROR(G20/G$5,0)</f>
        <v>0.21766181322960307</v>
      </c>
      <c r="I20" s="2005"/>
      <c r="J20" s="2004">
        <f ca="1">J13-J18</f>
        <v>9794.8541052727342</v>
      </c>
      <c r="K20" s="2591">
        <f ca="1">IFERROR(J20/J$5,0)</f>
        <v>0.23872241526029833</v>
      </c>
      <c r="L20" s="2005"/>
      <c r="M20" s="2004">
        <f ca="1">M13-M18</f>
        <v>10478.587624983636</v>
      </c>
      <c r="N20" s="2591">
        <f ca="1">IFERROR(M20/M$5,0)</f>
        <v>0.24794808188248241</v>
      </c>
    </row>
    <row r="21" spans="1:15" s="31" customFormat="1">
      <c r="A21" s="530"/>
      <c r="B21" s="464"/>
      <c r="C21" s="2586"/>
      <c r="D21" s="465"/>
      <c r="E21" s="2586"/>
      <c r="F21" s="466"/>
      <c r="G21" s="464"/>
      <c r="H21" s="2586"/>
      <c r="I21" s="467"/>
      <c r="J21" s="464"/>
      <c r="K21" s="2586"/>
      <c r="L21" s="468"/>
      <c r="M21" s="464"/>
      <c r="N21" s="2586"/>
      <c r="O21" s="456"/>
    </row>
    <row r="22" spans="1:15" s="34" customFormat="1" ht="20.25" customHeight="1">
      <c r="A22" s="952" t="s">
        <v>17</v>
      </c>
      <c r="B22" s="470">
        <f>'PyG 0'!N22</f>
        <v>0</v>
      </c>
      <c r="C22" s="2585">
        <f t="array" ref="C22:C23" ca="1">IFERROR(B22:B23/B$5,0)</f>
        <v>0</v>
      </c>
      <c r="D22" s="471">
        <f>'PyG 1'!N22</f>
        <v>0</v>
      </c>
      <c r="E22" s="2585">
        <f t="array" ref="E22:E23" ca="1">IFERROR(D22:D23/D$5,0)</f>
        <v>0</v>
      </c>
      <c r="F22" s="472" t="str">
        <f>IF(ABS(B22)&gt;0.01,(D22-B22)/B22,"")</f>
        <v/>
      </c>
      <c r="G22" s="470">
        <f>'PyG 2'!N22</f>
        <v>0</v>
      </c>
      <c r="H22" s="2585">
        <f t="array" ref="H22:H23" ca="1">IFERROR(G22:G23/G$5,0)</f>
        <v>0</v>
      </c>
      <c r="I22" s="473" t="str">
        <f>IF(ABS(D22)&gt;0.01,(G22-D22)/D22,"")</f>
        <v/>
      </c>
      <c r="J22" s="470">
        <f>'PyG 3'!N22</f>
        <v>0</v>
      </c>
      <c r="K22" s="2585">
        <f t="array" ref="K22:K23" ca="1">IFERROR(J22:J23/J$5,0)</f>
        <v>0</v>
      </c>
      <c r="L22" s="474" t="str">
        <f>IF(ABS(G22)&gt;0.01,(J22-G22)/G22,"")</f>
        <v/>
      </c>
      <c r="M22" s="470">
        <f>'PyG 4'!N22</f>
        <v>0</v>
      </c>
      <c r="N22" s="2585">
        <f t="array" ref="N22:N23" ca="1">IFERROR(M22:M23/M$5,0)</f>
        <v>0</v>
      </c>
      <c r="O22" s="474" t="str">
        <f>IF(ABS(J22)&gt;0.01,(M22-J22)/J22,"")</f>
        <v/>
      </c>
    </row>
    <row r="23" spans="1:15" s="31" customFormat="1" ht="23.25" customHeight="1">
      <c r="A23" s="2002" t="s">
        <v>1092</v>
      </c>
      <c r="B23" s="455">
        <f ca="1">B20-B22</f>
        <v>4493.4090909090883</v>
      </c>
      <c r="C23" s="2587">
        <f ca="1"/>
        <v>0.16349803597271029</v>
      </c>
      <c r="D23" s="2255">
        <f ca="1">D20-D22</f>
        <v>13394.17090909091</v>
      </c>
      <c r="E23" s="2587">
        <f ca="1"/>
        <v>0.34632633249103839</v>
      </c>
      <c r="F23" s="454">
        <f ca="1">IF(ABS(B23)&gt;0.01,(D23-B23)/B23,"")</f>
        <v>1.9808483131859813</v>
      </c>
      <c r="G23" s="455">
        <f ca="1">G20-G22</f>
        <v>8670.6127454545458</v>
      </c>
      <c r="H23" s="2587">
        <f ca="1"/>
        <v>0.21766181322960307</v>
      </c>
      <c r="I23" s="463">
        <f ca="1">IF(ABS(D23)&gt;0.01,(G23-D23)/D23,"")</f>
        <v>-0.35265774908325115</v>
      </c>
      <c r="J23" s="455">
        <f ca="1">J20-J22</f>
        <v>9794.8541052727342</v>
      </c>
      <c r="K23" s="2587">
        <f ca="1"/>
        <v>0.23872241526029833</v>
      </c>
      <c r="L23" s="456">
        <f ca="1">IF(ABS(G23)&gt;0.01,(J23-G23)/G23,"")</f>
        <v>0.12966112001802377</v>
      </c>
      <c r="M23" s="455">
        <f ca="1">M20-M22</f>
        <v>10478.587624983636</v>
      </c>
      <c r="N23" s="2587">
        <f ca="1"/>
        <v>0.24794808188248241</v>
      </c>
      <c r="O23" s="456">
        <f ca="1">IF(ABS(J23)&gt;0.01,(M23-J23)/J23,"")</f>
        <v>6.9805380699120068E-2</v>
      </c>
    </row>
    <row r="24" spans="1:15" s="31" customFormat="1" ht="15.75" thickBot="1">
      <c r="A24" s="531"/>
      <c r="B24" s="486"/>
      <c r="C24" s="2592"/>
      <c r="D24" s="487"/>
      <c r="E24" s="2592"/>
      <c r="F24" s="477"/>
      <c r="G24" s="486"/>
      <c r="H24" s="2592"/>
      <c r="I24" s="488"/>
      <c r="J24" s="486"/>
      <c r="K24" s="2592"/>
      <c r="L24" s="489"/>
      <c r="M24" s="486"/>
      <c r="N24" s="2592"/>
      <c r="O24" s="456"/>
    </row>
    <row r="25" spans="1:15" s="34" customFormat="1" ht="18" customHeight="1">
      <c r="A25" s="953" t="s">
        <v>18</v>
      </c>
      <c r="B25" s="490">
        <f t="array" aca="1" ref="B25:B26" ca="1">'PyG 0'!N25:N26</f>
        <v>0</v>
      </c>
      <c r="C25" s="2584">
        <f t="array" ref="C25:C27" ca="1">IFERROR(B25:B27/B$5,0)</f>
        <v>0</v>
      </c>
      <c r="D25" s="491">
        <f t="array" ref="D25:D26" ca="1">'PyG 1'!N25:N26</f>
        <v>0</v>
      </c>
      <c r="E25" s="2584">
        <f t="array" aca="1" ref="E25:E27" ca="1">IFERROR(D25:D27/D$5,0)</f>
        <v>0</v>
      </c>
      <c r="F25" s="492" t="str">
        <f ca="1">IF(ABS(B25)&gt;0.01,(D25-B25)/B25,"")</f>
        <v/>
      </c>
      <c r="G25" s="490">
        <f t="array" aca="1" ref="G25:G26" ca="1">'PyG 2'!N25:N26</f>
        <v>0</v>
      </c>
      <c r="H25" s="2584">
        <f t="array" aca="1" ref="H25:H27" ca="1">IFERROR(G25:G27/G$5,0)</f>
        <v>0</v>
      </c>
      <c r="I25" s="493" t="str">
        <f ca="1">IF(ABS(D25)&gt;0.01,(G25-D25)/D25,"")</f>
        <v/>
      </c>
      <c r="J25" s="490">
        <f t="array" aca="1" ref="J25:J26" ca="1">'PyG 3'!N25:N26</f>
        <v>0</v>
      </c>
      <c r="K25" s="2584">
        <f t="array" ref="K25:K27" ca="1">IFERROR(J25:J27/J$5,0)</f>
        <v>0</v>
      </c>
      <c r="L25" s="494" t="str">
        <f ca="1">IF(ABS(G25)&gt;0.01,(J25-G25)/G25,"")</f>
        <v/>
      </c>
      <c r="M25" s="490">
        <f t="array" aca="1" ref="M25:M26" ca="1">'PyG 4'!N25:N26</f>
        <v>0</v>
      </c>
      <c r="N25" s="2584">
        <f t="array" ref="N25:N27" ca="1">IFERROR(M25:M27/M$5,0)</f>
        <v>0</v>
      </c>
      <c r="O25" s="474" t="str">
        <f ca="1">IF(ABS(J25)&gt;0.01,(M25-J25)/J25,"")</f>
        <v/>
      </c>
    </row>
    <row r="26" spans="1:15" s="34" customFormat="1" ht="18" customHeight="1">
      <c r="A26" s="952" t="s">
        <v>19</v>
      </c>
      <c r="B26" s="475">
        <f ca="1"/>
        <v>1662.71875</v>
      </c>
      <c r="C26" s="2585">
        <f ca="1"/>
        <v>6.0500000000000012E-2</v>
      </c>
      <c r="D26" s="471">
        <f ca="1"/>
        <v>2339.8375000000001</v>
      </c>
      <c r="E26" s="2585">
        <f ca="1"/>
        <v>6.0500000000000005E-2</v>
      </c>
      <c r="F26" s="472">
        <f ca="1">IF(ABS(B26)&gt;0.01,(D26-B26)/B26,"")</f>
        <v>0.40723589001447186</v>
      </c>
      <c r="G26" s="470">
        <f ca="1"/>
        <v>2410.0326249999998</v>
      </c>
      <c r="H26" s="2585">
        <f ca="1"/>
        <v>6.0499999999999998E-2</v>
      </c>
      <c r="I26" s="473">
        <f ca="1">IF(ABS(D26)&gt;0.01,(G26-D26)/D26,"")</f>
        <v>2.9999999999999884E-2</v>
      </c>
      <c r="J26" s="470">
        <f ca="1"/>
        <v>2482.3336037499998</v>
      </c>
      <c r="K26" s="2585">
        <f ca="1"/>
        <v>6.0499999999999991E-2</v>
      </c>
      <c r="L26" s="474">
        <f ca="1">IF(ABS(G26)&gt;0.01,(J26-G26)/G26,"")</f>
        <v>3.0000000000000006E-2</v>
      </c>
      <c r="M26" s="470">
        <f ca="1"/>
        <v>2556.8036118625</v>
      </c>
      <c r="N26" s="2585">
        <f ca="1"/>
        <v>6.0499999999999991E-2</v>
      </c>
      <c r="O26" s="474">
        <f ca="1">IF(ABS(J26)&gt;0.01,(M26-J26)/J26,"")</f>
        <v>3.0000000000000075E-2</v>
      </c>
    </row>
    <row r="27" spans="1:15" s="31" customFormat="1" ht="18" customHeight="1" thickBot="1">
      <c r="A27" s="462" t="s">
        <v>20</v>
      </c>
      <c r="B27" s="1808">
        <f ca="1">'PyG 0'!N27</f>
        <v>-1662.71875</v>
      </c>
      <c r="C27" s="2665">
        <f ca="1"/>
        <v>-6.0500000000000012E-2</v>
      </c>
      <c r="D27" s="1808">
        <f ca="1">D25-D26</f>
        <v>-2339.8375000000001</v>
      </c>
      <c r="E27" s="2665">
        <f ca="1"/>
        <v>-6.0500000000000005E-2</v>
      </c>
      <c r="F27" s="497">
        <f ca="1">IF(ABS(B27)&gt;0.01,(D27-B27)/B27,"")</f>
        <v>0.40723589001447186</v>
      </c>
      <c r="G27" s="1808">
        <f ca="1">G25-G26</f>
        <v>-2410.0326249999998</v>
      </c>
      <c r="H27" s="2665">
        <f ca="1"/>
        <v>-6.0499999999999998E-2</v>
      </c>
      <c r="I27" s="498">
        <f ca="1">IF(ABS(D27)&gt;0.01,(G27-D27)/D27,"")</f>
        <v>2.9999999999999884E-2</v>
      </c>
      <c r="J27" s="1808">
        <f ca="1">J25-J26</f>
        <v>-2482.3336037499998</v>
      </c>
      <c r="K27" s="2665">
        <f ca="1"/>
        <v>-6.0499999999999991E-2</v>
      </c>
      <c r="L27" s="499">
        <f ca="1">IF(ABS(G27)&gt;0.01,(J27-G27)/G27,"")</f>
        <v>3.0000000000000006E-2</v>
      </c>
      <c r="M27" s="1808">
        <f ca="1">M25-M26</f>
        <v>-2556.8036118625</v>
      </c>
      <c r="N27" s="2666">
        <f ca="1"/>
        <v>-6.0499999999999991E-2</v>
      </c>
      <c r="O27" s="456">
        <f ca="1">IF(ABS(J27)&gt;0.01,(M27-J27)/J27,"")</f>
        <v>3.0000000000000075E-2</v>
      </c>
    </row>
    <row r="28" spans="1:15" s="31" customFormat="1" ht="15.75" thickBot="1">
      <c r="A28" s="529"/>
      <c r="B28" s="500"/>
      <c r="C28" s="2590"/>
      <c r="D28" s="501"/>
      <c r="E28" s="2590"/>
      <c r="F28" s="502"/>
      <c r="G28" s="500"/>
      <c r="H28" s="2590"/>
      <c r="I28" s="503"/>
      <c r="J28" s="500"/>
      <c r="K28" s="2590"/>
      <c r="L28" s="504"/>
      <c r="M28" s="500"/>
      <c r="N28" s="2590"/>
      <c r="O28" s="456"/>
    </row>
    <row r="29" spans="1:15" s="31" customFormat="1" ht="20.25" customHeight="1" thickBot="1">
      <c r="A29" s="532" t="s">
        <v>672</v>
      </c>
      <c r="B29" s="518">
        <f ca="1">'PyG 0'!N29</f>
        <v>2830.6903409090901</v>
      </c>
      <c r="C29" s="2591">
        <f ca="1">IFERROR(B29/B$5,0)</f>
        <v>0.10299803597271034</v>
      </c>
      <c r="D29" s="518">
        <f ca="1">'PyG 1'!N29</f>
        <v>11054.33340909091</v>
      </c>
      <c r="E29" s="2591">
        <f ca="1">IFERROR(D29/D$5,0)</f>
        <v>0.28582633249103839</v>
      </c>
      <c r="F29" s="510">
        <f ca="1">IF(ABS(B29)&gt;0.01,(D29-B29)/B29,"")</f>
        <v>2.9051722646358971</v>
      </c>
      <c r="G29" s="518">
        <f ca="1">'PyG 2'!N29</f>
        <v>6260.5801204545478</v>
      </c>
      <c r="H29" s="2591">
        <f ca="1">IFERROR(G29/G$5,0)</f>
        <v>0.15716181322960313</v>
      </c>
      <c r="I29" s="511">
        <f ca="1">IF(ABS(D29)&gt;0.01,(G29-D29)/D29,"")</f>
        <v>-0.43365376375332182</v>
      </c>
      <c r="J29" s="518">
        <f ca="1">'PyG 3'!N29</f>
        <v>7312.5205015227239</v>
      </c>
      <c r="K29" s="2591">
        <f ca="1">IFERROR(J29/J$5,0)</f>
        <v>0.17822241526029808</v>
      </c>
      <c r="L29" s="512">
        <f ca="1">IF(ABS(G29)&gt;0.01,(J29-G29)/G29,"")</f>
        <v>0.16802602328037936</v>
      </c>
      <c r="M29" s="518">
        <f ca="1">'PyG 4'!N29</f>
        <v>7921.784013121136</v>
      </c>
      <c r="N29" s="2591">
        <f ca="1">IFERROR(M29/M$5,0)</f>
        <v>0.18744808188248241</v>
      </c>
      <c r="O29" s="482">
        <f ca="1">IF(ABS(J29)&gt;0.01,(M29-J29)/J29,"")</f>
        <v>8.3317853464006303E-2</v>
      </c>
    </row>
    <row r="30" spans="1:15" s="31" customFormat="1">
      <c r="A30" s="533"/>
      <c r="B30" s="505"/>
      <c r="C30" s="2593"/>
      <c r="D30" s="507"/>
      <c r="E30" s="2593"/>
      <c r="F30" s="506"/>
      <c r="G30" s="505"/>
      <c r="H30" s="2593"/>
      <c r="I30" s="508"/>
      <c r="J30" s="505"/>
      <c r="K30" s="2593"/>
      <c r="L30" s="509"/>
      <c r="M30" s="507"/>
      <c r="N30" s="2593"/>
      <c r="O30" s="482"/>
    </row>
    <row r="31" spans="1:15" s="34" customFormat="1" ht="20.25" customHeight="1">
      <c r="A31" s="528" t="str">
        <f>IF(Isoc=0,'Datos Básicos'!H43&amp;" ( "&amp;'Datos Básicos'!I43&amp;" )",'Datos Básicos'!H44&amp;" ( "&amp;'Datos Básicos'!I44&amp;" )")</f>
        <v>Impuesto de la Renta ( I.R.P.F. )</v>
      </c>
      <c r="B31" s="483">
        <f ca="1">Imp.Sociedades!B15+'IRPF Prof y Autónomos'!K22*'IRPF Prof y Autónomos'!K19</f>
        <v>3360.2028022727259</v>
      </c>
      <c r="C31" s="2585">
        <f ca="1">IFERROR(B31/B$5,0)</f>
        <v>0.12226497688649987</v>
      </c>
      <c r="D31" s="483">
        <f ca="1">Imp.Sociedades!D15+'IRPF Prof y Autónomos'!L22*'IRPF Prof y Autónomos'!L19</f>
        <v>6043.2957227272727</v>
      </c>
      <c r="E31" s="2585">
        <f ca="1">IFERROR(D31/D$5,0)</f>
        <v>0.15625845436916025</v>
      </c>
      <c r="F31" s="480">
        <f ca="1">IF(ABS(B31)&gt;0.01,(D31-B31)/B31,"")</f>
        <v>0.7984913644616316</v>
      </c>
      <c r="G31" s="483">
        <f ca="1">Imp.Sociedades!G15+'IRPF Prof y Autónomos'!M22*'IRPF Prof y Autónomos'!M19</f>
        <v>4829.8097361363634</v>
      </c>
      <c r="H31" s="2585">
        <f ca="1">IFERROR(G31/G$5,0)</f>
        <v>0.12124461968071905</v>
      </c>
      <c r="I31" s="481">
        <f ca="1">IF(ABS(D31)&gt;0.01,(G31-D31)/D31,"")</f>
        <v>-0.20079871021821788</v>
      </c>
      <c r="J31" s="483">
        <f ca="1">Imp.Sociedades!J15+'IRPF Prof y Autónomos'!N22*'IRPF Prof y Autónomos'!N19</f>
        <v>5379.0174504568186</v>
      </c>
      <c r="K31" s="2585">
        <f ca="1">IFERROR(J31/J$5,0)</f>
        <v>0.13109863849928052</v>
      </c>
      <c r="L31" s="482">
        <f ca="1">IF(ABS(G31)&gt;0.01,(J31-G31)/G31,"")</f>
        <v>0.11371208066672152</v>
      </c>
      <c r="M31" s="484">
        <f ca="1">Imp.Sociedades!M15+'IRPF Prof y Autónomos'!O22*'IRPF Prof y Autónomos'!O19</f>
        <v>5804.7671279363421</v>
      </c>
      <c r="N31" s="2585">
        <f ca="1">IFERROR(M31/M$5,0)</f>
        <v>0.1373544724400346</v>
      </c>
      <c r="O31" s="482">
        <f ca="1">IF(ABS(J31)&gt;0.01,(M31-J31)/J31,"")</f>
        <v>7.9150082966056634E-2</v>
      </c>
    </row>
    <row r="32" spans="1:15" s="34" customFormat="1" ht="15.75" thickBot="1">
      <c r="A32" s="534"/>
      <c r="B32" s="513"/>
      <c r="C32" s="2594"/>
      <c r="D32" s="515"/>
      <c r="E32" s="2594"/>
      <c r="F32" s="514"/>
      <c r="G32" s="513"/>
      <c r="H32" s="2594"/>
      <c r="I32" s="516"/>
      <c r="J32" s="513"/>
      <c r="K32" s="2594"/>
      <c r="L32" s="517"/>
      <c r="M32" s="515"/>
      <c r="N32" s="2594"/>
      <c r="O32" s="485"/>
    </row>
    <row r="33" spans="1:15" s="34" customFormat="1" ht="22.5" customHeight="1" thickBot="1">
      <c r="A33" s="532" t="s">
        <v>610</v>
      </c>
      <c r="B33" s="518">
        <f ca="1">B29-B31</f>
        <v>-529.51246136363579</v>
      </c>
      <c r="C33" s="2591">
        <f ca="1">IFERROR(B33/B$5,0)</f>
        <v>-1.9266940913789523E-2</v>
      </c>
      <c r="D33" s="519">
        <f ca="1">D29-D31</f>
        <v>5011.0376863636375</v>
      </c>
      <c r="E33" s="2591">
        <f ca="1">IFERROR(D33/D$5,0)</f>
        <v>0.12956787812187814</v>
      </c>
      <c r="F33" s="510">
        <f ca="1">IF(ABS(B33)&gt;0.01,(D33-B33)/B33,"")</f>
        <v>-10.463493405724352</v>
      </c>
      <c r="G33" s="518">
        <f ca="1">G29-G31</f>
        <v>1430.7703843181844</v>
      </c>
      <c r="H33" s="2591">
        <f ca="1">IFERROR(G33/G$5,0)</f>
        <v>3.5917193548884077E-2</v>
      </c>
      <c r="I33" s="511">
        <f ca="1">IF(ABS(D33)&gt;0.01,(G33-D33)/D33,"")</f>
        <v>-0.7144762275063925</v>
      </c>
      <c r="J33" s="518">
        <f ca="1">J29-J31</f>
        <v>1933.5030510659053</v>
      </c>
      <c r="K33" s="2591">
        <f ca="1">IFERROR(J33/J$5,0)</f>
        <v>4.7123776761017575E-2</v>
      </c>
      <c r="L33" s="512">
        <f ca="1">IF(ABS(G33)&gt;0.01,(J33-G33)/G33,"")</f>
        <v>0.35137201067192336</v>
      </c>
      <c r="M33" s="519">
        <f ca="1">M29-M31</f>
        <v>2117.0168851847939</v>
      </c>
      <c r="N33" s="2591">
        <f ca="1">IFERROR(M33/M$5,0)</f>
        <v>5.0093609442447819E-2</v>
      </c>
      <c r="O33" s="453">
        <f ca="1">IF(ABS(J33)&gt;0.01,(M33-J33)/J33,"")</f>
        <v>9.4912616774884676E-2</v>
      </c>
    </row>
    <row r="34" spans="1:15">
      <c r="A34" s="2024" t="str">
        <f>'Datos Evaluación'!B53</f>
        <v/>
      </c>
      <c r="D34" s="161"/>
    </row>
    <row r="35" spans="1:15">
      <c r="A35" s="1449" t="str">
        <f>Imp.Sociedades!A35</f>
        <v>Todas las cantidades están expresadas en Euros</v>
      </c>
      <c r="D35" s="161"/>
    </row>
    <row r="36" spans="1:15">
      <c r="A36" s="1449" t="str">
        <f>IF(mes0=1,"",CONCATENATE("Sólo ",12-mes0+1," meses de actividad en ",B4," ( de ",LEFT('Datos Básicos'!F21,LEN('Datos Básicos'!F21)-8)," a diciembre )"))</f>
        <v/>
      </c>
      <c r="D36" s="161"/>
    </row>
    <row r="37" spans="1:15">
      <c r="A37" s="1449" t="str">
        <f>IF(irpf&lt;&gt;0,CONCATENATE("Forma jurídica: ",'Datos Básicos'!B24,"  No sujeto a Imp. de Sociedades sino a I.R.P.F."),"")</f>
        <v>Forma jurídica: Empresario Individual (Reg. General)  No sujeto a Imp. de Sociedades sino a I.R.P.F.</v>
      </c>
      <c r="D37" s="161"/>
    </row>
    <row r="38" spans="1:15">
      <c r="A38" s="1449" t="str">
        <f>IF(A37="","","Las cuentas de resultados reflejan el resultado contable, NO el computable para el IRPF")</f>
        <v>Las cuentas de resultados reflejan el resultado contable, NO el computable para el IRPF</v>
      </c>
      <c r="D38" s="161"/>
    </row>
    <row r="39" spans="1:15">
      <c r="D39" s="161"/>
    </row>
    <row r="40" spans="1:15">
      <c r="D40" s="161"/>
    </row>
    <row r="41" spans="1:15">
      <c r="D41" s="161"/>
    </row>
    <row r="42" spans="1:15">
      <c r="D42" s="161"/>
    </row>
    <row r="43" spans="1:15">
      <c r="D43" s="161"/>
    </row>
  </sheetData>
  <sheetProtection sheet="1" objects="1" scenarios="1"/>
  <phoneticPr fontId="6" type="noConversion"/>
  <printOptions horizontalCentered="1" verticalCentered="1"/>
  <pageMargins left="0.61" right="0.61" top="0.33" bottom="0.45" header="0.11811023622047245" footer="0.11811023622047245"/>
  <pageSetup paperSize="9" scale="62" orientation="landscape" horizontalDpi="300" verticalDpi="300" r:id="rId1"/>
  <headerFooter alignWithMargins="0">
    <oddFooter>&amp;C&amp;"Tahoma,Normal"&amp;10&amp;A</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EC135-28EA-40EB-ADBC-76E7E42E93DF}">
  <sheetPr>
    <tabColor rgb="FFFF0000"/>
  </sheetPr>
  <dimension ref="A2:M30"/>
  <sheetViews>
    <sheetView workbookViewId="0">
      <selection activeCell="J14" sqref="J14"/>
    </sheetView>
  </sheetViews>
  <sheetFormatPr baseColWidth="10" defaultColWidth="8" defaultRowHeight="15"/>
  <cols>
    <col min="1" max="1" width="8" style="3129"/>
    <col min="2" max="2" width="19.875" style="3129" customWidth="1"/>
    <col min="3" max="3" width="12.75" style="3129" customWidth="1"/>
    <col min="4" max="4" width="9.375" style="3129" customWidth="1"/>
    <col min="5" max="5" width="8" style="3129"/>
    <col min="6" max="9" width="9.5" style="3129" customWidth="1"/>
    <col min="10" max="11" width="9.625" style="3129" customWidth="1"/>
    <col min="12" max="12" width="8" style="3129"/>
    <col min="13" max="13" width="10.125" style="3129" bestFit="1" customWidth="1"/>
    <col min="14" max="16384" width="8" style="3129"/>
  </cols>
  <sheetData>
    <row r="2" spans="1:13">
      <c r="B2" s="3129" t="s">
        <v>1236</v>
      </c>
    </row>
    <row r="3" spans="1:13">
      <c r="C3" s="3130" t="s">
        <v>1237</v>
      </c>
    </row>
    <row r="5" spans="1:13">
      <c r="B5" s="3131" t="s">
        <v>1238</v>
      </c>
      <c r="C5" s="3132">
        <v>7.0000000000000007E-2</v>
      </c>
      <c r="D5" s="3129" t="s">
        <v>1239</v>
      </c>
    </row>
    <row r="6" spans="1:13">
      <c r="C6" s="3132">
        <v>0.03</v>
      </c>
      <c r="D6" s="3129" t="s">
        <v>1240</v>
      </c>
    </row>
    <row r="7" spans="1:13">
      <c r="C7" s="3133"/>
    </row>
    <row r="8" spans="1:13">
      <c r="B8" s="3129" t="s">
        <v>1241</v>
      </c>
      <c r="C8" s="3134">
        <v>80</v>
      </c>
      <c r="D8" s="3129" t="s">
        <v>1242</v>
      </c>
      <c r="E8" s="3129" t="s">
        <v>1243</v>
      </c>
    </row>
    <row r="9" spans="1:13">
      <c r="C9" s="3133"/>
    </row>
    <row r="10" spans="1:13" ht="15.75">
      <c r="D10" s="3135" t="s">
        <v>1244</v>
      </c>
      <c r="E10" s="3136">
        <v>0.3060016231390445</v>
      </c>
      <c r="K10" s="3297"/>
    </row>
    <row r="11" spans="1:13" ht="15.75" thickBot="1"/>
    <row r="12" spans="1:13" ht="15.75" thickBot="1">
      <c r="B12" s="3137" t="s">
        <v>1245</v>
      </c>
      <c r="C12" s="3137"/>
      <c r="D12" s="3138">
        <v>2023</v>
      </c>
      <c r="E12" s="3139"/>
      <c r="F12" s="3138">
        <f>D12+1</f>
        <v>2024</v>
      </c>
      <c r="G12" s="3139"/>
      <c r="H12" s="3138">
        <f>F12+1</f>
        <v>2025</v>
      </c>
      <c r="I12" s="3139"/>
      <c r="J12" s="3138">
        <f>H12+1</f>
        <v>2026</v>
      </c>
      <c r="K12" s="3139"/>
    </row>
    <row r="13" spans="1:13" s="3140" customFormat="1" ht="15.75" thickBot="1">
      <c r="B13" s="3141" t="s">
        <v>1246</v>
      </c>
      <c r="C13" s="3141" t="s">
        <v>1247</v>
      </c>
      <c r="D13" s="3142" t="s">
        <v>1248</v>
      </c>
      <c r="E13" s="3143" t="s">
        <v>1249</v>
      </c>
      <c r="F13" s="3142" t="s">
        <v>1248</v>
      </c>
      <c r="G13" s="3143" t="s">
        <v>1249</v>
      </c>
      <c r="H13" s="3142" t="s">
        <v>1248</v>
      </c>
      <c r="I13" s="3143" t="s">
        <v>1249</v>
      </c>
      <c r="J13" s="3142" t="s">
        <v>1248</v>
      </c>
      <c r="K13" s="3143" t="s">
        <v>1249</v>
      </c>
    </row>
    <row r="14" spans="1:13">
      <c r="A14" s="3129">
        <v>1</v>
      </c>
      <c r="B14" s="3144">
        <v>0</v>
      </c>
      <c r="C14" s="3145">
        <v>670</v>
      </c>
      <c r="D14" s="3151">
        <v>751.63</v>
      </c>
      <c r="E14" s="3152">
        <f>ROUND(D14*$E$10,0)</f>
        <v>230</v>
      </c>
      <c r="F14" s="3153">
        <v>735.29</v>
      </c>
      <c r="G14" s="3152">
        <f>ROUND(F14*$E$10,0)</f>
        <v>225</v>
      </c>
      <c r="H14" s="3153">
        <v>653.59</v>
      </c>
      <c r="I14" s="3152">
        <f>ROUND(H14*$E$10,0)</f>
        <v>200</v>
      </c>
      <c r="J14" s="3153">
        <f>653.59*0+999999</f>
        <v>999999</v>
      </c>
      <c r="K14" s="3152">
        <v>230</v>
      </c>
      <c r="M14" s="3298">
        <f>K14/J14</f>
        <v>2.3000023000023E-4</v>
      </c>
    </row>
    <row r="15" spans="1:13">
      <c r="A15" s="3129">
        <v>2</v>
      </c>
      <c r="B15" s="3146">
        <f>+C14</f>
        <v>670</v>
      </c>
      <c r="C15" s="3147">
        <v>900</v>
      </c>
      <c r="D15" s="3154">
        <v>849.67</v>
      </c>
      <c r="E15" s="3155">
        <f t="shared" ref="E15:E28" si="0">ROUND(D15*$E$10,0)</f>
        <v>260</v>
      </c>
      <c r="F15" s="3156">
        <v>816.99</v>
      </c>
      <c r="G15" s="3155">
        <f t="shared" ref="G15:G28" si="1">ROUND(F15*$E$10,0)</f>
        <v>250</v>
      </c>
      <c r="H15" s="3156">
        <v>718.95</v>
      </c>
      <c r="I15" s="3155">
        <f t="shared" ref="I15:I28" si="2">ROUND(H15*$E$10,0)</f>
        <v>220</v>
      </c>
      <c r="J15" s="3156">
        <v>718.95</v>
      </c>
      <c r="K15" s="3155">
        <v>260</v>
      </c>
      <c r="M15" s="3298">
        <f t="shared" ref="M15:M28" si="3">K15/J15</f>
        <v>0.36163850059113983</v>
      </c>
    </row>
    <row r="16" spans="1:13">
      <c r="A16" s="3129">
        <v>3</v>
      </c>
      <c r="B16" s="3146">
        <f t="shared" ref="B16:B28" si="4">+C15</f>
        <v>900</v>
      </c>
      <c r="C16" s="3147">
        <v>1166.69</v>
      </c>
      <c r="D16" s="3154">
        <v>898.69</v>
      </c>
      <c r="E16" s="3155">
        <f t="shared" si="0"/>
        <v>275</v>
      </c>
      <c r="F16" s="3156">
        <v>872.55</v>
      </c>
      <c r="G16" s="3155">
        <f t="shared" si="1"/>
        <v>267</v>
      </c>
      <c r="H16" s="3156">
        <v>849.67</v>
      </c>
      <c r="I16" s="3155">
        <f t="shared" si="2"/>
        <v>260</v>
      </c>
      <c r="J16" s="3156">
        <v>849.67</v>
      </c>
      <c r="K16" s="3155">
        <v>260</v>
      </c>
      <c r="M16" s="3298">
        <f t="shared" si="3"/>
        <v>0.30600115338896278</v>
      </c>
    </row>
    <row r="17" spans="1:13">
      <c r="A17" s="3129">
        <v>4</v>
      </c>
      <c r="B17" s="3146">
        <f t="shared" si="4"/>
        <v>1166.69</v>
      </c>
      <c r="C17" s="3147">
        <v>1300</v>
      </c>
      <c r="D17" s="3154">
        <v>950.98</v>
      </c>
      <c r="E17" s="3155">
        <f>ROUND(D17*$E$10,0)</f>
        <v>291</v>
      </c>
      <c r="F17" s="3156">
        <f>+D17</f>
        <v>950.98</v>
      </c>
      <c r="G17" s="3155">
        <f t="shared" si="1"/>
        <v>291</v>
      </c>
      <c r="H17" s="3156">
        <v>950.98</v>
      </c>
      <c r="I17" s="3155">
        <f t="shared" si="2"/>
        <v>291</v>
      </c>
      <c r="J17" s="3156">
        <v>950.98</v>
      </c>
      <c r="K17" s="3155">
        <v>280</v>
      </c>
      <c r="M17" s="3298">
        <f t="shared" si="3"/>
        <v>0.29443311110643755</v>
      </c>
    </row>
    <row r="18" spans="1:13">
      <c r="A18" s="3129">
        <v>5</v>
      </c>
      <c r="B18" s="3146">
        <f t="shared" si="4"/>
        <v>1300</v>
      </c>
      <c r="C18" s="3147">
        <f>+C17+200</f>
        <v>1500</v>
      </c>
      <c r="D18" s="3154">
        <v>960.78</v>
      </c>
      <c r="E18" s="3155">
        <f>ROUND(D18*$E$10,0)</f>
        <v>294</v>
      </c>
      <c r="F18" s="3156">
        <f>+D18</f>
        <v>960.78</v>
      </c>
      <c r="G18" s="3155">
        <f t="shared" si="1"/>
        <v>294</v>
      </c>
      <c r="H18" s="3156">
        <v>960.78</v>
      </c>
      <c r="I18" s="3155">
        <f t="shared" si="2"/>
        <v>294</v>
      </c>
      <c r="J18" s="3156">
        <v>960.78</v>
      </c>
      <c r="K18" s="3155">
        <v>294</v>
      </c>
      <c r="M18" s="3298">
        <f t="shared" si="3"/>
        <v>0.30600137388371951</v>
      </c>
    </row>
    <row r="19" spans="1:13">
      <c r="A19" s="3129">
        <v>6</v>
      </c>
      <c r="B19" s="3146">
        <f t="shared" si="4"/>
        <v>1500</v>
      </c>
      <c r="C19" s="3147">
        <f>+C18+200</f>
        <v>1700</v>
      </c>
      <c r="D19" s="3157">
        <v>960.78</v>
      </c>
      <c r="E19" s="3155">
        <f>ROUND(D19*$E$10,0)</f>
        <v>294</v>
      </c>
      <c r="F19" s="3156">
        <f>+D19</f>
        <v>960.78</v>
      </c>
      <c r="G19" s="3155">
        <f t="shared" si="1"/>
        <v>294</v>
      </c>
      <c r="H19" s="3156">
        <v>960.78</v>
      </c>
      <c r="I19" s="3155">
        <f t="shared" si="2"/>
        <v>294</v>
      </c>
      <c r="J19" s="3156">
        <v>960.78</v>
      </c>
      <c r="K19" s="3155">
        <v>294</v>
      </c>
      <c r="M19" s="3298">
        <f t="shared" si="3"/>
        <v>0.30600137388371951</v>
      </c>
    </row>
    <row r="20" spans="1:13">
      <c r="A20" s="3129">
        <v>7</v>
      </c>
      <c r="B20" s="3146">
        <f t="shared" si="4"/>
        <v>1700</v>
      </c>
      <c r="C20" s="3147">
        <v>1850</v>
      </c>
      <c r="D20" s="3157">
        <v>1013.07</v>
      </c>
      <c r="E20" s="3155">
        <f>ROUND(D20*$E$10,0)</f>
        <v>310</v>
      </c>
      <c r="F20" s="3156">
        <v>1045.75</v>
      </c>
      <c r="G20" s="3155">
        <f t="shared" si="1"/>
        <v>320</v>
      </c>
      <c r="H20" s="3156">
        <v>1143.79</v>
      </c>
      <c r="I20" s="3155">
        <f t="shared" si="2"/>
        <v>350</v>
      </c>
      <c r="J20" s="3156">
        <v>1143.79</v>
      </c>
      <c r="K20" s="3155">
        <v>350</v>
      </c>
      <c r="M20" s="3298">
        <f t="shared" si="3"/>
        <v>0.30600022731445459</v>
      </c>
    </row>
    <row r="21" spans="1:13">
      <c r="A21" s="3129">
        <v>8</v>
      </c>
      <c r="B21" s="3146">
        <f t="shared" si="4"/>
        <v>1850</v>
      </c>
      <c r="C21" s="3147">
        <v>2030</v>
      </c>
      <c r="D21" s="3154">
        <v>1029.4100000000001</v>
      </c>
      <c r="E21" s="3155">
        <f t="shared" si="0"/>
        <v>315</v>
      </c>
      <c r="F21" s="3156">
        <v>1062.0899999999999</v>
      </c>
      <c r="G21" s="3155">
        <f t="shared" si="1"/>
        <v>325</v>
      </c>
      <c r="H21" s="3156">
        <v>1209.1500000000001</v>
      </c>
      <c r="I21" s="3155">
        <f t="shared" si="2"/>
        <v>370</v>
      </c>
      <c r="J21" s="3156">
        <v>1209.1500000000001</v>
      </c>
      <c r="K21" s="3155">
        <v>370</v>
      </c>
      <c r="M21" s="3298">
        <f t="shared" si="3"/>
        <v>0.30600008270272505</v>
      </c>
    </row>
    <row r="22" spans="1:13">
      <c r="A22" s="3129">
        <v>9</v>
      </c>
      <c r="B22" s="3146">
        <f t="shared" si="4"/>
        <v>2030</v>
      </c>
      <c r="C22" s="3147">
        <v>2330</v>
      </c>
      <c r="D22" s="3154">
        <v>1045.75</v>
      </c>
      <c r="E22" s="3155">
        <f>ROUND(D22*$E$10,0)</f>
        <v>320</v>
      </c>
      <c r="F22" s="3156">
        <v>1078.43</v>
      </c>
      <c r="G22" s="3155">
        <f t="shared" si="1"/>
        <v>330</v>
      </c>
      <c r="H22" s="3156">
        <v>1274.51</v>
      </c>
      <c r="I22" s="3155">
        <f t="shared" si="2"/>
        <v>390</v>
      </c>
      <c r="J22" s="3156">
        <v>1274.51</v>
      </c>
      <c r="K22" s="3155">
        <v>390</v>
      </c>
      <c r="M22" s="3298">
        <f t="shared" si="3"/>
        <v>0.30599995292308418</v>
      </c>
    </row>
    <row r="23" spans="1:13">
      <c r="A23" s="3129">
        <v>10</v>
      </c>
      <c r="B23" s="3146">
        <f t="shared" si="4"/>
        <v>2330</v>
      </c>
      <c r="C23" s="3147">
        <v>2760</v>
      </c>
      <c r="D23" s="3154">
        <v>1078.43</v>
      </c>
      <c r="E23" s="3155">
        <f t="shared" si="0"/>
        <v>330</v>
      </c>
      <c r="F23" s="3156">
        <v>1111.1099999999999</v>
      </c>
      <c r="G23" s="3155">
        <f t="shared" si="1"/>
        <v>340</v>
      </c>
      <c r="H23" s="3156">
        <v>1356.21</v>
      </c>
      <c r="I23" s="3155">
        <f t="shared" si="2"/>
        <v>415</v>
      </c>
      <c r="J23" s="3156">
        <v>1356.21</v>
      </c>
      <c r="K23" s="3155">
        <v>390</v>
      </c>
      <c r="M23" s="3298">
        <f t="shared" si="3"/>
        <v>0.28756608489835644</v>
      </c>
    </row>
    <row r="24" spans="1:13">
      <c r="A24" s="3129">
        <v>11</v>
      </c>
      <c r="B24" s="3146">
        <f t="shared" si="4"/>
        <v>2760</v>
      </c>
      <c r="C24" s="3147">
        <v>3190</v>
      </c>
      <c r="D24" s="3154">
        <v>1143.79</v>
      </c>
      <c r="E24" s="3155">
        <f t="shared" si="0"/>
        <v>350</v>
      </c>
      <c r="F24" s="3156">
        <v>1176.47</v>
      </c>
      <c r="G24" s="3155">
        <f t="shared" si="1"/>
        <v>360</v>
      </c>
      <c r="H24" s="3156">
        <v>1437.91</v>
      </c>
      <c r="I24" s="3155">
        <f t="shared" si="2"/>
        <v>440</v>
      </c>
      <c r="J24" s="3156">
        <v>1537.91</v>
      </c>
      <c r="K24" s="3155">
        <v>440</v>
      </c>
      <c r="M24" s="3298">
        <f t="shared" si="3"/>
        <v>0.28610256777054571</v>
      </c>
    </row>
    <row r="25" spans="1:13">
      <c r="A25" s="3129">
        <v>12</v>
      </c>
      <c r="B25" s="3146">
        <f t="shared" si="4"/>
        <v>3190</v>
      </c>
      <c r="C25" s="3147">
        <v>3620</v>
      </c>
      <c r="D25" s="3154">
        <v>1209.1500000000001</v>
      </c>
      <c r="E25" s="3155">
        <f t="shared" si="0"/>
        <v>370</v>
      </c>
      <c r="F25" s="3156">
        <v>1241.83</v>
      </c>
      <c r="G25" s="3155">
        <f t="shared" si="1"/>
        <v>380</v>
      </c>
      <c r="H25" s="3156">
        <v>1519.61</v>
      </c>
      <c r="I25" s="3155">
        <f t="shared" si="2"/>
        <v>465</v>
      </c>
      <c r="J25" s="3156">
        <v>1537.52</v>
      </c>
      <c r="K25" s="3155">
        <v>500</v>
      </c>
      <c r="M25" s="3298">
        <f t="shared" si="3"/>
        <v>0.32519902180134241</v>
      </c>
    </row>
    <row r="26" spans="1:13">
      <c r="A26" s="3129">
        <v>13</v>
      </c>
      <c r="B26" s="3146">
        <f t="shared" si="4"/>
        <v>3620</v>
      </c>
      <c r="C26" s="3147">
        <v>4050</v>
      </c>
      <c r="D26" s="3154">
        <v>1274.51</v>
      </c>
      <c r="E26" s="3155">
        <f t="shared" si="0"/>
        <v>390</v>
      </c>
      <c r="F26" s="3156">
        <v>1307.19</v>
      </c>
      <c r="G26" s="3155">
        <f t="shared" si="1"/>
        <v>400</v>
      </c>
      <c r="H26" s="3156">
        <v>1601.31</v>
      </c>
      <c r="I26" s="3155">
        <f t="shared" si="2"/>
        <v>490</v>
      </c>
      <c r="J26" s="3156">
        <v>1700</v>
      </c>
      <c r="K26" s="3155">
        <v>530</v>
      </c>
      <c r="M26" s="3298">
        <f t="shared" si="3"/>
        <v>0.31176470588235294</v>
      </c>
    </row>
    <row r="27" spans="1:13">
      <c r="A27" s="3129">
        <v>14</v>
      </c>
      <c r="B27" s="3146">
        <f t="shared" si="4"/>
        <v>4050</v>
      </c>
      <c r="C27" s="3147">
        <v>6000</v>
      </c>
      <c r="D27" s="3154">
        <v>1372.55</v>
      </c>
      <c r="E27" s="3155">
        <f t="shared" si="0"/>
        <v>420</v>
      </c>
      <c r="F27" s="3156">
        <v>1454.25</v>
      </c>
      <c r="G27" s="3155">
        <f t="shared" si="1"/>
        <v>445</v>
      </c>
      <c r="H27" s="3156">
        <v>1732.03</v>
      </c>
      <c r="I27" s="3155">
        <f t="shared" si="2"/>
        <v>530</v>
      </c>
      <c r="J27" s="3156">
        <v>1700</v>
      </c>
      <c r="K27" s="3155">
        <v>590</v>
      </c>
      <c r="M27" s="3298">
        <f t="shared" si="3"/>
        <v>0.34705882352941175</v>
      </c>
    </row>
    <row r="28" spans="1:13" ht="15.75" thickBot="1">
      <c r="A28" s="3129">
        <v>15</v>
      </c>
      <c r="B28" s="3148">
        <f t="shared" si="4"/>
        <v>6000</v>
      </c>
      <c r="C28" s="3149"/>
      <c r="D28" s="3158">
        <v>1633.99</v>
      </c>
      <c r="E28" s="3159">
        <f t="shared" si="0"/>
        <v>500</v>
      </c>
      <c r="F28" s="3160">
        <v>1732.03</v>
      </c>
      <c r="G28" s="3159">
        <f t="shared" si="1"/>
        <v>530</v>
      </c>
      <c r="H28" s="3160">
        <v>1928.1</v>
      </c>
      <c r="I28" s="3159">
        <f t="shared" si="2"/>
        <v>590</v>
      </c>
      <c r="J28" s="3160">
        <v>1700</v>
      </c>
      <c r="K28" s="3159">
        <v>590</v>
      </c>
      <c r="M28" s="3298">
        <f t="shared" si="3"/>
        <v>0.34705882352941175</v>
      </c>
    </row>
    <row r="29" spans="1:13">
      <c r="B29" s="3150"/>
      <c r="C29" s="3150"/>
    </row>
    <row r="30" spans="1:13">
      <c r="B30" s="3150"/>
      <c r="C30" s="3150"/>
    </row>
  </sheetData>
  <sheetProtection sheet="1" objects="1" scenarios="1"/>
  <printOptions horizontalCentered="1"/>
  <pageMargins left="0.70866141732283472" right="0.70866141732283472" top="0.74803149606299213" bottom="0.74803149606299213" header="0.31496062992125984" footer="0.31496062992125984"/>
  <pageSetup paperSize="9" orientation="landscape" horizontalDpi="300" verticalDpi="300" r:id="rId1"/>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281">
    <pageSetUpPr fitToPage="1"/>
  </sheetPr>
  <dimension ref="A1:V40"/>
  <sheetViews>
    <sheetView topLeftCell="A18" workbookViewId="0">
      <selection activeCell="P35" sqref="P35"/>
    </sheetView>
  </sheetViews>
  <sheetFormatPr baseColWidth="10" defaultColWidth="11" defaultRowHeight="15"/>
  <cols>
    <col min="1" max="1" width="18.625" style="35" customWidth="1"/>
    <col min="2" max="2" width="11" style="35"/>
    <col min="3" max="7" width="11.875" style="35" customWidth="1"/>
    <col min="8" max="8" width="6.125" style="35" customWidth="1"/>
    <col min="9" max="9" width="16.125" style="35" customWidth="1"/>
    <col min="10" max="10" width="11.875" style="35" bestFit="1" customWidth="1"/>
    <col min="11" max="11" width="12" style="35" customWidth="1"/>
    <col min="12" max="13" width="11" style="35"/>
    <col min="14" max="14" width="10.5" style="35" customWidth="1"/>
    <col min="15" max="16" width="11" style="35"/>
    <col min="17" max="17" width="11.75" style="35" bestFit="1" customWidth="1"/>
    <col min="18" max="18" width="11" style="35" customWidth="1"/>
    <col min="19" max="19" width="10" style="35" customWidth="1"/>
    <col min="20" max="22" width="9.875" style="35" customWidth="1"/>
    <col min="23" max="16384" width="11" style="35"/>
  </cols>
  <sheetData>
    <row r="1" spans="1:22" ht="23.25">
      <c r="A1" s="67" t="str">
        <f>'Datos Básicos'!$H$43&amp;" Profesionales y Empresarios Individuales"</f>
        <v>Impuesto de la Renta Profesionales y Empresarios Individuales</v>
      </c>
      <c r="K1" s="1002" t="str">
        <f>IF(irpf=0,CONCATENATE("Forma Jurídica: ",'Datos Básicos'!B24),"")</f>
        <v/>
      </c>
    </row>
    <row r="2" spans="1:22" s="61" customFormat="1" ht="23.25">
      <c r="A2" s="67" t="str">
        <f>"Previsiones de retenciones y pagos de "&amp;'Datos Básicos'!$I$43</f>
        <v>Previsiones de retenciones y pagos de I.R.P.F.</v>
      </c>
      <c r="B2" s="1003"/>
      <c r="K2" s="1002" t="str">
        <f>IF($K$1="","","No sujeto "&amp;'Datos Básicos'!$I$43)</f>
        <v/>
      </c>
    </row>
    <row r="3" spans="1:22" s="61" customFormat="1" ht="23.25">
      <c r="A3" s="67" t="str">
        <f>'Prev.Ventas 0'!A2</f>
        <v>nombre empresa</v>
      </c>
      <c r="B3" s="1003"/>
      <c r="K3" s="1002" t="str">
        <f>IF(K1="","","TRIBUTACIÓN EN "&amp;'Datos Básicos'!$H$44)</f>
        <v/>
      </c>
    </row>
    <row r="4" spans="1:22" s="61" customFormat="1" ht="22.5">
      <c r="A4" s="67"/>
      <c r="B4" s="1003"/>
    </row>
    <row r="5" spans="1:22" ht="23.25" thickBot="1">
      <c r="A5" s="235" t="str">
        <f>"Datos para las declaraciones anuales de "&amp;'Datos Básicos'!$I$43</f>
        <v>Datos para las declaraciones anuales de I.R.P.F.</v>
      </c>
    </row>
    <row r="6" spans="1:22" ht="20.25" customHeight="1" thickTop="1" thickBot="1">
      <c r="A6" s="59"/>
      <c r="J6" s="1040" t="str">
        <f>"Tabla de Tipos del "&amp;'Datos Básicos'!$I$43&amp;" en Euros (ejercicio fiscal 2026)"</f>
        <v>Tabla de Tipos del I.R.P.F. en Euros (ejercicio fiscal 2026)</v>
      </c>
      <c r="K6" s="1041"/>
      <c r="L6" s="1041"/>
      <c r="M6" s="1041"/>
      <c r="N6" s="1042"/>
      <c r="P6" s="2503">
        <v>2027</v>
      </c>
      <c r="R6" s="732" t="str">
        <f>"Cálculo detallado tramos "&amp;'Datos Básicos'!$I$43&amp;" por socio"</f>
        <v>Cálculo detallado tramos I.R.P.F. por socio</v>
      </c>
      <c r="S6" s="3109"/>
      <c r="T6" s="3109"/>
      <c r="U6" s="3109"/>
      <c r="V6" s="3111"/>
    </row>
    <row r="7" spans="1:22" ht="31.5" customHeight="1" thickTop="1" thickBot="1">
      <c r="A7" s="1021"/>
      <c r="B7" s="1022"/>
      <c r="C7" s="2089" t="str">
        <f t="array" ref="C7:G7">anni</f>
        <v>Año 0:  2026</v>
      </c>
      <c r="D7" s="2090" t="str">
        <v>Año 1:  2027</v>
      </c>
      <c r="E7" s="2091" t="str">
        <v>Año 2:  2028</v>
      </c>
      <c r="F7" s="2089" t="str">
        <v>Año 3:  2029</v>
      </c>
      <c r="G7" s="2092" t="str">
        <v>Año 4:  2030</v>
      </c>
      <c r="J7" s="2442" t="s">
        <v>207</v>
      </c>
      <c r="K7" s="2443" t="s">
        <v>204</v>
      </c>
      <c r="L7" s="2449" t="s">
        <v>206</v>
      </c>
      <c r="M7" s="2444" t="s">
        <v>205</v>
      </c>
      <c r="N7" s="2445" t="s">
        <v>11</v>
      </c>
      <c r="P7" s="2506" t="s">
        <v>1040</v>
      </c>
      <c r="R7" s="2093" t="str">
        <f t="array" ref="R7:V7">anni</f>
        <v>Año 0:  2026</v>
      </c>
      <c r="S7" s="2093" t="str">
        <v>Año 1:  2027</v>
      </c>
      <c r="T7" s="2093" t="str">
        <v>Año 2:  2028</v>
      </c>
      <c r="U7" s="2093" t="str">
        <v>Año 3:  2029</v>
      </c>
      <c r="V7" s="2093" t="str">
        <v>Año 4:  2030</v>
      </c>
    </row>
    <row r="8" spans="1:22">
      <c r="A8" s="1024" t="s">
        <v>193</v>
      </c>
      <c r="B8" s="352"/>
      <c r="C8" s="1004"/>
      <c r="D8" s="1005"/>
      <c r="E8" s="762"/>
      <c r="F8" s="1004"/>
      <c r="G8" s="1025"/>
      <c r="J8" s="1086">
        <v>0</v>
      </c>
      <c r="K8" s="1084">
        <f t="shared" ref="K8:K14" si="0">J9-0.01</f>
        <v>5549.99</v>
      </c>
      <c r="L8" s="1017">
        <v>0</v>
      </c>
      <c r="M8" s="1018">
        <v>0</v>
      </c>
      <c r="N8" s="1043">
        <v>0</v>
      </c>
      <c r="P8" s="2504">
        <v>0</v>
      </c>
      <c r="R8" s="3112">
        <f ca="1">IF(K$20&gt;=$J8,(MIN($K8,K$20)-$J8)*$N8,0)</f>
        <v>0</v>
      </c>
      <c r="S8" s="3110">
        <f t="shared" ref="S8:V15" ca="1" si="1">IF(L$20&gt;=$J8,(MIN($K8,L$20)-$J8)*$N8,0)</f>
        <v>0</v>
      </c>
      <c r="T8" s="3110">
        <f t="shared" ca="1" si="1"/>
        <v>0</v>
      </c>
      <c r="U8" s="3110">
        <f t="shared" ca="1" si="1"/>
        <v>0</v>
      </c>
      <c r="V8" s="3113">
        <f t="shared" ca="1" si="1"/>
        <v>0</v>
      </c>
    </row>
    <row r="9" spans="1:22">
      <c r="A9" s="1026"/>
      <c r="B9" s="1082" t="s">
        <v>201</v>
      </c>
      <c r="C9" s="2649">
        <f ca="1">IF(irpf&lt;&gt;0,'Prev.Ventas 0'!$N$25,0)</f>
        <v>27482.95454545454</v>
      </c>
      <c r="D9" s="2650">
        <f ca="1">IF(irpf&lt;&gt;0,'Prev.Ventas 1'!$N$25,0)</f>
        <v>38675</v>
      </c>
      <c r="E9" s="2651">
        <f ca="1">IF(irpf&lt;&gt;0,'Prev.Ventas 2'!$N$25,0)</f>
        <v>39835.25</v>
      </c>
      <c r="F9" s="2649">
        <f ca="1">IF(irpf&lt;&gt;0,'Prev.Ventas 3'!$N$25,0)</f>
        <v>41030.307500000003</v>
      </c>
      <c r="G9" s="2652">
        <f ca="1">IF(irpf&lt;&gt;0,'Prev.Ventas 4'!$N$25,0)</f>
        <v>42261.216725000006</v>
      </c>
      <c r="J9" s="1087">
        <v>5550</v>
      </c>
      <c r="K9" s="1085">
        <f t="shared" si="0"/>
        <v>12449.99</v>
      </c>
      <c r="L9" s="1019">
        <f t="shared" ref="L9:M15" si="2">$N9/2</f>
        <v>9.5000000000000001E-2</v>
      </c>
      <c r="M9" s="1020">
        <f t="shared" si="2"/>
        <v>9.5000000000000001E-2</v>
      </c>
      <c r="N9" s="1044">
        <v>0.19</v>
      </c>
      <c r="P9" s="2504">
        <v>0.19</v>
      </c>
      <c r="R9" s="3112">
        <f t="shared" ref="R9:R15" ca="1" si="3">IF(K$20&gt;=$J9,(MIN($K9,K$20)-$J9)*$N9,0)</f>
        <v>1310.9981</v>
      </c>
      <c r="S9" s="3110">
        <f ca="1">IF(L$20&gt;=$J9,(MIN($K9,L$20)-$J9)*$N9,0)</f>
        <v>1310.9981</v>
      </c>
      <c r="T9" s="3110">
        <f t="shared" ca="1" si="1"/>
        <v>1310.9981</v>
      </c>
      <c r="U9" s="3110">
        <f t="shared" ca="1" si="1"/>
        <v>1310.9981</v>
      </c>
      <c r="V9" s="3114">
        <f t="shared" ca="1" si="1"/>
        <v>1310.9981</v>
      </c>
    </row>
    <row r="10" spans="1:22">
      <c r="A10" s="1027"/>
      <c r="B10" s="1083" t="s">
        <v>237</v>
      </c>
      <c r="C10" s="2635">
        <f>IF(irpf&lt;&gt;0,'PyG 0'!$N$6,0)</f>
        <v>0</v>
      </c>
      <c r="D10" s="2636">
        <f>IF(irpf&lt;&gt;0,'PyG 1'!$N$6,0)</f>
        <v>0</v>
      </c>
      <c r="E10" s="2637">
        <f>IF(irpf&lt;&gt;0,'PyG 2'!$N$6,0)</f>
        <v>0</v>
      </c>
      <c r="F10" s="2635">
        <f>IF(irpf&lt;&gt;0,'PyG 3'!$N$6,0)</f>
        <v>0</v>
      </c>
      <c r="G10" s="2638">
        <f>IF(irpf&lt;&gt;0,'PyG 4'!$N$6,0)</f>
        <v>0</v>
      </c>
      <c r="J10" s="1088">
        <v>12450</v>
      </c>
      <c r="K10" s="1085">
        <f t="shared" si="0"/>
        <v>20199.990000000002</v>
      </c>
      <c r="L10" s="1019">
        <f t="shared" si="2"/>
        <v>0.12</v>
      </c>
      <c r="M10" s="1020">
        <f t="shared" si="2"/>
        <v>0.12</v>
      </c>
      <c r="N10" s="1044">
        <v>0.24</v>
      </c>
      <c r="O10" s="997"/>
      <c r="P10" s="2504">
        <v>0.24</v>
      </c>
      <c r="R10" s="3112">
        <f t="shared" ca="1" si="3"/>
        <v>1859.9976000000004</v>
      </c>
      <c r="S10" s="3110">
        <f t="shared" ca="1" si="1"/>
        <v>1859.9976000000004</v>
      </c>
      <c r="T10" s="3110">
        <f t="shared" ca="1" si="1"/>
        <v>1859.9976000000004</v>
      </c>
      <c r="U10" s="3110">
        <f t="shared" ca="1" si="1"/>
        <v>1859.9976000000004</v>
      </c>
      <c r="V10" s="3114">
        <f t="shared" ca="1" si="1"/>
        <v>1859.9976000000004</v>
      </c>
    </row>
    <row r="11" spans="1:22">
      <c r="A11" s="1027"/>
      <c r="B11" s="1081" t="s">
        <v>238</v>
      </c>
      <c r="C11" s="2635">
        <f ca="1">C9+C10</f>
        <v>27482.95454545454</v>
      </c>
      <c r="D11" s="2636">
        <f ca="1">D9+D10</f>
        <v>38675</v>
      </c>
      <c r="E11" s="2637">
        <f ca="1">E9+E10</f>
        <v>39835.25</v>
      </c>
      <c r="F11" s="2635">
        <f ca="1">F9+F10</f>
        <v>41030.307500000003</v>
      </c>
      <c r="G11" s="2638">
        <f ca="1">G9+G10</f>
        <v>42261.216725000006</v>
      </c>
      <c r="J11" s="1088">
        <v>20200</v>
      </c>
      <c r="K11" s="1085">
        <f t="shared" si="0"/>
        <v>35199.99</v>
      </c>
      <c r="L11" s="1019">
        <f t="shared" si="2"/>
        <v>0.15</v>
      </c>
      <c r="M11" s="1020">
        <f t="shared" si="2"/>
        <v>0.15</v>
      </c>
      <c r="N11" s="1044">
        <v>0.3</v>
      </c>
      <c r="O11" s="997"/>
      <c r="P11" s="2504">
        <v>0.3</v>
      </c>
      <c r="R11" s="3112">
        <f t="shared" ca="1" si="3"/>
        <v>189.20710227272539</v>
      </c>
      <c r="S11" s="3110">
        <f t="shared" ca="1" si="1"/>
        <v>2872.3000227272723</v>
      </c>
      <c r="T11" s="3110">
        <f t="shared" ca="1" si="1"/>
        <v>1658.8140361363635</v>
      </c>
      <c r="U11" s="3110">
        <f t="shared" ca="1" si="1"/>
        <v>2208.0217504568186</v>
      </c>
      <c r="V11" s="3114">
        <f t="shared" ca="1" si="1"/>
        <v>2633.7714279363413</v>
      </c>
    </row>
    <row r="12" spans="1:22">
      <c r="A12" s="1027"/>
      <c r="B12" s="998"/>
      <c r="C12" s="1006"/>
      <c r="D12" s="1007"/>
      <c r="E12" s="1008"/>
      <c r="F12" s="1006"/>
      <c r="G12" s="1028"/>
      <c r="J12" s="1088">
        <v>35200</v>
      </c>
      <c r="K12" s="1085">
        <f t="shared" si="0"/>
        <v>59999.99</v>
      </c>
      <c r="L12" s="1019">
        <f t="shared" si="2"/>
        <v>0.185</v>
      </c>
      <c r="M12" s="1020">
        <f t="shared" si="2"/>
        <v>0.185</v>
      </c>
      <c r="N12" s="1044">
        <v>0.37</v>
      </c>
      <c r="O12" s="997"/>
      <c r="P12" s="2504">
        <v>0.37</v>
      </c>
      <c r="R12" s="3112">
        <f t="shared" ca="1" si="3"/>
        <v>0</v>
      </c>
      <c r="S12" s="3110">
        <f t="shared" ca="1" si="1"/>
        <v>0</v>
      </c>
      <c r="T12" s="3110">
        <f t="shared" ca="1" si="1"/>
        <v>0</v>
      </c>
      <c r="U12" s="3110">
        <f t="shared" ca="1" si="1"/>
        <v>0</v>
      </c>
      <c r="V12" s="3114">
        <f t="shared" ca="1" si="1"/>
        <v>0</v>
      </c>
    </row>
    <row r="13" spans="1:22">
      <c r="A13" s="1029"/>
      <c r="B13" s="1080" t="s">
        <v>194</v>
      </c>
      <c r="C13" s="2635">
        <f ca="1">IF(irpf&lt;&gt;0,'Distr CV 0'!$N$28,0)</f>
        <v>2748.295454545455</v>
      </c>
      <c r="D13" s="2636">
        <f ca="1">IF(irpf&lt;&gt;0,'Distr CV 1'!$N$28,0)</f>
        <v>3867.5</v>
      </c>
      <c r="E13" s="2637">
        <f ca="1">IF(irpf&lt;&gt;0,'Distr CV 2'!$N$28,0)</f>
        <v>3983.5250000000005</v>
      </c>
      <c r="F13" s="2635">
        <f ca="1">IF(irpf&lt;&gt;0,'Distr CV 3'!$N$28,0)</f>
        <v>4103.0307500000008</v>
      </c>
      <c r="G13" s="2638">
        <f ca="1">IF(irpf&lt;&gt;0,'Distr CV 4'!$N$28,0)</f>
        <v>4226.1216725000004</v>
      </c>
      <c r="J13" s="1088">
        <v>60000</v>
      </c>
      <c r="K13" s="1085">
        <f t="shared" si="0"/>
        <v>175000.19</v>
      </c>
      <c r="L13" s="1019">
        <f t="shared" si="2"/>
        <v>0.22500000000000001</v>
      </c>
      <c r="M13" s="1020">
        <f t="shared" si="2"/>
        <v>0.22500000000000001</v>
      </c>
      <c r="N13" s="1044">
        <v>0.45</v>
      </c>
      <c r="O13" s="997"/>
      <c r="P13" s="2504">
        <v>0.45</v>
      </c>
      <c r="R13" s="3112">
        <f t="shared" ca="1" si="3"/>
        <v>0</v>
      </c>
      <c r="S13" s="3110">
        <f t="shared" ca="1" si="1"/>
        <v>0</v>
      </c>
      <c r="T13" s="3110">
        <f t="shared" ca="1" si="1"/>
        <v>0</v>
      </c>
      <c r="U13" s="3110">
        <f t="shared" ca="1" si="1"/>
        <v>0</v>
      </c>
      <c r="V13" s="3114">
        <f t="shared" ca="1" si="1"/>
        <v>0</v>
      </c>
    </row>
    <row r="14" spans="1:22">
      <c r="A14" s="1029"/>
      <c r="B14" s="1080" t="s">
        <v>195</v>
      </c>
      <c r="C14" s="2635">
        <f>IF(irpf&lt;&gt;0,'G.F. 0'!N27-SUM('Resumen Gastos Fijos'!B5:B6),0)</f>
        <v>1032</v>
      </c>
      <c r="D14" s="2636">
        <f>IF(irpf&lt;&gt;0,'G.F. 1'!N27-SUM('Resumen Gastos Fijos'!C5:C6),0)</f>
        <v>1032</v>
      </c>
      <c r="E14" s="2637">
        <f ca="1">IF(irpf&lt;&gt;0,'G.F. 2'!$N$27-SUM('Resumen Gastos Fijos'!D5:D6),0)</f>
        <v>6000</v>
      </c>
      <c r="F14" s="2635">
        <f ca="1">IF(irpf&lt;&gt;0,'G.F. 3'!$N$27-SUM('Resumen Gastos Fijos'!E5:E6),0)</f>
        <v>5120</v>
      </c>
      <c r="G14" s="2638">
        <f ca="1">IF(irpf&lt;&gt;0,'G.F. 4'!$N$27-SUM('Resumen Gastos Fijos'!F5:F6),0)</f>
        <v>4680</v>
      </c>
      <c r="J14" s="1088">
        <v>175000.2</v>
      </c>
      <c r="K14" s="1085">
        <f t="shared" si="0"/>
        <v>300000.19</v>
      </c>
      <c r="L14" s="1019">
        <f t="shared" si="2"/>
        <v>0.22500000000000001</v>
      </c>
      <c r="M14" s="1020">
        <f t="shared" si="2"/>
        <v>0.22500000000000001</v>
      </c>
      <c r="N14" s="1044">
        <f>+N13</f>
        <v>0.45</v>
      </c>
      <c r="O14" s="997"/>
      <c r="P14" s="2504">
        <v>0.45</v>
      </c>
      <c r="R14" s="3112">
        <f t="shared" ca="1" si="3"/>
        <v>0</v>
      </c>
      <c r="S14" s="3110">
        <f t="shared" ca="1" si="1"/>
        <v>0</v>
      </c>
      <c r="T14" s="3110">
        <f t="shared" ca="1" si="1"/>
        <v>0</v>
      </c>
      <c r="U14" s="3110">
        <f t="shared" ca="1" si="1"/>
        <v>0</v>
      </c>
      <c r="V14" s="3114">
        <f t="shared" ca="1" si="1"/>
        <v>0</v>
      </c>
    </row>
    <row r="15" spans="1:22" ht="15.75" thickBot="1">
      <c r="A15" s="1029"/>
      <c r="B15" s="1080" t="s">
        <v>216</v>
      </c>
      <c r="C15" s="2635">
        <f ca="1">IF(irpf&lt;&gt;0,'G.F. 0'!$N$55,0)</f>
        <v>1209.25</v>
      </c>
      <c r="D15" s="2636">
        <f ca="1">IF(irpf&lt;&gt;0,'G.F. 1'!$N$55,0)</f>
        <v>1661.3290909090915</v>
      </c>
      <c r="E15" s="2637">
        <f ca="1">IF(irpf&lt;&gt;0,'G.F. 2'!$N$55,0)</f>
        <v>1712.3122545454537</v>
      </c>
      <c r="F15" s="2635">
        <f ca="1">IF(irpf&lt;&gt;0,'G.F. 3'!$N$55,0)</f>
        <v>1764.870644727273</v>
      </c>
      <c r="G15" s="2638">
        <f ca="1">IF(irpf&lt;&gt;0,'G.F. 4'!$N$55,0)</f>
        <v>1819.0533475163641</v>
      </c>
      <c r="J15" s="1089">
        <v>300000.2</v>
      </c>
      <c r="K15" s="1045"/>
      <c r="L15" s="1046">
        <f t="shared" si="2"/>
        <v>0.245</v>
      </c>
      <c r="M15" s="1047">
        <f t="shared" si="2"/>
        <v>0.245</v>
      </c>
      <c r="N15" s="1048">
        <v>0.49</v>
      </c>
      <c r="O15" s="997"/>
      <c r="P15" s="2505">
        <v>0.49</v>
      </c>
      <c r="R15" s="3115">
        <f t="shared" ca="1" si="3"/>
        <v>0</v>
      </c>
      <c r="S15" s="3116">
        <f t="shared" ca="1" si="1"/>
        <v>0</v>
      </c>
      <c r="T15" s="3116">
        <f t="shared" ca="1" si="1"/>
        <v>0</v>
      </c>
      <c r="U15" s="3116">
        <f t="shared" ca="1" si="1"/>
        <v>0</v>
      </c>
      <c r="V15" s="3117">
        <f t="shared" ca="1" si="1"/>
        <v>0</v>
      </c>
    </row>
    <row r="16" spans="1:22" ht="16.5" thickTop="1" thickBot="1">
      <c r="A16" s="1029"/>
      <c r="B16" s="1080" t="s">
        <v>202</v>
      </c>
      <c r="C16" s="2643">
        <f t="array" ref="C16:G16">IF(irpf&lt;&gt;0,Amortizaciones!D41:H41,0)</f>
        <v>0</v>
      </c>
      <c r="D16" s="2643">
        <v>0</v>
      </c>
      <c r="E16" s="2644">
        <v>0</v>
      </c>
      <c r="F16" s="2643">
        <v>0</v>
      </c>
      <c r="G16" s="2645">
        <v>0</v>
      </c>
      <c r="I16" s="999"/>
      <c r="K16" s="997"/>
      <c r="L16" s="997"/>
      <c r="M16" s="997"/>
      <c r="R16" s="3118">
        <f ca="1">SUM(R8:R15)</f>
        <v>3360.2028022727259</v>
      </c>
      <c r="S16" s="3119">
        <f t="shared" ref="S16:V16" ca="1" si="4">SUM(S8:S15)</f>
        <v>6043.2957227272727</v>
      </c>
      <c r="T16" s="3119">
        <f t="shared" ca="1" si="4"/>
        <v>4829.8097361363634</v>
      </c>
      <c r="U16" s="3119">
        <f t="shared" ca="1" si="4"/>
        <v>5379.0174504568186</v>
      </c>
      <c r="V16" s="3120">
        <f t="shared" ca="1" si="4"/>
        <v>5804.7671279363421</v>
      </c>
    </row>
    <row r="17" spans="1:17" ht="16.5" thickTop="1" thickBot="1">
      <c r="A17" s="1029"/>
      <c r="B17" s="1080" t="s">
        <v>215</v>
      </c>
      <c r="C17" s="2643">
        <f ca="1">IF(irpf&lt;&gt;0,-'PPyGG anuales'!B27,0)</f>
        <v>1662.71875</v>
      </c>
      <c r="D17" s="2646">
        <f ca="1">IF(irpf&lt;&gt;0,-'PPyGG anuales'!D27,0)</f>
        <v>2339.8375000000001</v>
      </c>
      <c r="E17" s="2644">
        <f ca="1">IF(irpf&lt;&gt;0,-'PPyGG anuales'!G27,0)</f>
        <v>2410.0326249999998</v>
      </c>
      <c r="F17" s="2647">
        <f ca="1">IF(irpf&lt;&gt;0,-'PPyGG anuales'!J27,0)</f>
        <v>2482.3336037499998</v>
      </c>
      <c r="G17" s="2648">
        <f ca="1">IF(irpf&lt;&gt;0,-'PPyGG anuales'!M27,0)</f>
        <v>2556.8036118625</v>
      </c>
      <c r="I17" s="1050" t="s">
        <v>311</v>
      </c>
      <c r="J17" s="1051"/>
      <c r="K17" s="1051"/>
      <c r="L17" s="1051"/>
      <c r="M17" s="1052"/>
      <c r="N17" s="1037"/>
      <c r="O17" s="1038"/>
    </row>
    <row r="18" spans="1:17" ht="31.5" customHeight="1" thickBot="1">
      <c r="A18" s="1029"/>
      <c r="B18" s="1081" t="s">
        <v>198</v>
      </c>
      <c r="C18" s="2653">
        <f ca="1">SUM(C13:C17)</f>
        <v>6652.264204545455</v>
      </c>
      <c r="D18" s="2654">
        <f ca="1">SUM(D13:D17)</f>
        <v>8900.6665909090916</v>
      </c>
      <c r="E18" s="2655">
        <f ca="1">SUM(E13:E17)</f>
        <v>14105.869879545455</v>
      </c>
      <c r="F18" s="2653">
        <f ca="1">SUM(F13:F17)</f>
        <v>13470.234998477274</v>
      </c>
      <c r="G18" s="2656">
        <f ca="1">SUM(G13:G17)</f>
        <v>13281.978631878867</v>
      </c>
      <c r="I18" s="1039"/>
      <c r="J18" s="2446" t="s">
        <v>213</v>
      </c>
      <c r="K18" s="2093" t="str">
        <f t="array" ref="K18:O18">anni</f>
        <v>Año 0:  2026</v>
      </c>
      <c r="L18" s="2094" t="str">
        <v>Año 1:  2027</v>
      </c>
      <c r="M18" s="2093" t="str">
        <v>Año 2:  2028</v>
      </c>
      <c r="N18" s="2093" t="str">
        <v>Año 3:  2029</v>
      </c>
      <c r="O18" s="2095" t="str">
        <v>Año 4:  2030</v>
      </c>
    </row>
    <row r="19" spans="1:17">
      <c r="A19" s="1027"/>
      <c r="B19" s="357"/>
      <c r="C19" s="1009"/>
      <c r="D19" s="897"/>
      <c r="E19" s="1010"/>
      <c r="F19" s="1009"/>
      <c r="G19" s="1030"/>
      <c r="I19" s="1053"/>
      <c r="J19" s="2447" t="s">
        <v>208</v>
      </c>
      <c r="K19" s="1401">
        <f>MAX(Plantilla!O23,1)</f>
        <v>1</v>
      </c>
      <c r="L19" s="1400">
        <f>MAX(Plantilla!O42,1)</f>
        <v>1</v>
      </c>
      <c r="M19" s="1401">
        <f>MAX(Plantilla!O61,1)</f>
        <v>1</v>
      </c>
      <c r="N19" s="1401">
        <f>MAX(Plantilla!O80,1)</f>
        <v>1</v>
      </c>
      <c r="O19" s="3184">
        <f>MAX(Plantilla!O99,1)</f>
        <v>1</v>
      </c>
    </row>
    <row r="20" spans="1:17" ht="15.75" thickBot="1">
      <c r="A20" s="1031"/>
      <c r="B20" s="1001" t="str">
        <f>"Base Imponible "&amp;'Datos Básicos'!$I$43</f>
        <v>Base Imponible I.R.P.F.</v>
      </c>
      <c r="C20" s="2657">
        <f t="array" ref="C20:G20" ca="1">IF(C11:G11-C18:G18&lt;0,0,C11:G11-C18:G18)</f>
        <v>20830.690340909085</v>
      </c>
      <c r="D20" s="2658">
        <f ca="1"/>
        <v>29774.333409090908</v>
      </c>
      <c r="E20" s="2659">
        <f ca="1"/>
        <v>25729.380120454545</v>
      </c>
      <c r="F20" s="2657">
        <f ca="1"/>
        <v>27560.072501522729</v>
      </c>
      <c r="G20" s="2660">
        <f ca="1"/>
        <v>28979.238093121137</v>
      </c>
      <c r="I20" s="1029"/>
      <c r="J20" s="1081" t="s">
        <v>209</v>
      </c>
      <c r="K20" s="3188">
        <f t="array" ref="K20:O20" ca="1">IF(C20:G20=0,0,C20:G20/K19:O19)</f>
        <v>20830.690340909085</v>
      </c>
      <c r="L20" s="3189">
        <f ca="1"/>
        <v>29774.333409090908</v>
      </c>
      <c r="M20" s="3188">
        <f ca="1"/>
        <v>25729.380120454545</v>
      </c>
      <c r="N20" s="3188">
        <f ca="1"/>
        <v>27560.072501522729</v>
      </c>
      <c r="O20" s="3190">
        <f ca="1"/>
        <v>28979.238093121137</v>
      </c>
    </row>
    <row r="21" spans="1:17" ht="15.75" thickBot="1">
      <c r="A21" s="1023"/>
      <c r="B21" s="708"/>
      <c r="C21" s="1011"/>
      <c r="D21" s="1012"/>
      <c r="E21" s="1013"/>
      <c r="F21" s="1011"/>
      <c r="G21" s="1032"/>
      <c r="I21" s="1027"/>
      <c r="J21" s="385"/>
      <c r="K21" s="1009"/>
      <c r="L21" s="897"/>
      <c r="M21" s="1009"/>
      <c r="N21" s="1009"/>
      <c r="O21" s="1030"/>
    </row>
    <row r="22" spans="1:17">
      <c r="A22" s="1033" t="s">
        <v>199</v>
      </c>
      <c r="B22" s="1005"/>
      <c r="C22" s="1014"/>
      <c r="D22" s="1015"/>
      <c r="E22" s="1016"/>
      <c r="F22" s="1014"/>
      <c r="G22" s="1034"/>
      <c r="I22" s="1029"/>
      <c r="J22" s="1081" t="s">
        <v>210</v>
      </c>
      <c r="K22" s="3188">
        <f ca="1">R16</f>
        <v>3360.2028022727259</v>
      </c>
      <c r="L22" s="3188">
        <f t="shared" ref="L22:O22" ca="1" si="5">S16</f>
        <v>6043.2957227272727</v>
      </c>
      <c r="M22" s="3188">
        <f t="shared" ca="1" si="5"/>
        <v>4829.8097361363634</v>
      </c>
      <c r="N22" s="3188">
        <f t="shared" ca="1" si="5"/>
        <v>5379.0174504568186</v>
      </c>
      <c r="O22" s="3190">
        <f t="shared" ca="1" si="5"/>
        <v>5804.7671279363421</v>
      </c>
    </row>
    <row r="23" spans="1:17">
      <c r="A23" s="1029"/>
      <c r="B23" s="1080" t="s">
        <v>200</v>
      </c>
      <c r="C23" s="2635">
        <f ca="1">'Ret IRPF'!N9</f>
        <v>0</v>
      </c>
      <c r="D23" s="2636">
        <f ca="1">'Ret IRPF'!N18</f>
        <v>0</v>
      </c>
      <c r="E23" s="2637">
        <f ca="1">'Ret IRPF'!N27</f>
        <v>0</v>
      </c>
      <c r="F23" s="2635">
        <f ca="1">'Ret IRPF'!N36</f>
        <v>0</v>
      </c>
      <c r="G23" s="2638">
        <f ca="1">'Ret IRPF'!N45</f>
        <v>0</v>
      </c>
      <c r="I23" s="1029"/>
      <c r="J23" s="1081" t="s">
        <v>199</v>
      </c>
      <c r="K23" s="3197">
        <f t="array" ref="K23:O23" ca="1">IF(K19:O19=0,0,C25:G25/K19:O19)</f>
        <v>4166.1380681818182</v>
      </c>
      <c r="L23" s="3198">
        <f ca="1"/>
        <v>5954.8666818181828</v>
      </c>
      <c r="M23" s="3197">
        <f ca="1"/>
        <v>5145.8760240909105</v>
      </c>
      <c r="N23" s="3197">
        <f ca="1"/>
        <v>5512.0145003045454</v>
      </c>
      <c r="O23" s="3199">
        <f ca="1"/>
        <v>5795.8476186242278</v>
      </c>
    </row>
    <row r="24" spans="1:17">
      <c r="A24" s="1029"/>
      <c r="B24" s="1080" t="s">
        <v>203</v>
      </c>
      <c r="C24" s="2635">
        <f ca="1">SUM('Ret IRPF'!C13:N13)</f>
        <v>4166.1380681818182</v>
      </c>
      <c r="D24" s="2636">
        <f ca="1">SUM('Ret IRPF'!C22:N22)</f>
        <v>5954.8666818181828</v>
      </c>
      <c r="E24" s="2637">
        <f ca="1">SUM('Ret IRPF'!C31:N31)</f>
        <v>5145.8760240909105</v>
      </c>
      <c r="F24" s="2635">
        <f ca="1">SUM('Ret IRPF'!C40:N40)</f>
        <v>5512.0145003045454</v>
      </c>
      <c r="G24" s="2638">
        <f ca="1">SUM('Ret IRPF'!C49:N49)</f>
        <v>5795.8476186242278</v>
      </c>
      <c r="I24" s="1027"/>
      <c r="J24" s="357"/>
      <c r="K24" s="1009"/>
      <c r="L24" s="897"/>
      <c r="M24" s="1009"/>
      <c r="N24" s="1009"/>
      <c r="O24" s="1030"/>
    </row>
    <row r="25" spans="1:17" ht="15.75" thickBot="1">
      <c r="A25" s="1035"/>
      <c r="B25" s="1036" t="s">
        <v>212</v>
      </c>
      <c r="C25" s="2639">
        <f t="array" ref="C25:G25" ca="1">C23:G23+C24:G24</f>
        <v>4166.1380681818182</v>
      </c>
      <c r="D25" s="2640">
        <f ca="1"/>
        <v>5954.8666818181828</v>
      </c>
      <c r="E25" s="2641">
        <f ca="1"/>
        <v>5145.8760240909105</v>
      </c>
      <c r="F25" s="2639">
        <f ca="1"/>
        <v>5512.0145003045454</v>
      </c>
      <c r="G25" s="2642">
        <f ca="1"/>
        <v>5795.8476186242278</v>
      </c>
      <c r="I25" s="1029"/>
      <c r="J25" s="1081" t="s">
        <v>211</v>
      </c>
      <c r="K25" s="3188">
        <f t="array" ref="K25:O25" ca="1">K22:O22-K23:O23</f>
        <v>-805.93526590909232</v>
      </c>
      <c r="L25" s="3189">
        <f ca="1"/>
        <v>88.429040909089963</v>
      </c>
      <c r="M25" s="3188">
        <f ca="1"/>
        <v>-316.06628795454708</v>
      </c>
      <c r="N25" s="3188">
        <f ca="1"/>
        <v>-132.99704984772688</v>
      </c>
      <c r="O25" s="3190">
        <f ca="1"/>
        <v>8.9195093121143145</v>
      </c>
    </row>
    <row r="26" spans="1:17" s="61" customFormat="1" ht="18.75" customHeight="1" thickTop="1" thickBot="1">
      <c r="A26" s="59"/>
      <c r="B26" s="60"/>
      <c r="I26" s="1023"/>
      <c r="J26" s="1399" t="s">
        <v>220</v>
      </c>
      <c r="K26" s="3191">
        <f ca="1">IF(K25=0,'Ret IRPF'!N11,0)</f>
        <v>0</v>
      </c>
      <c r="L26" s="3192">
        <f ca="1">IF(L25=0,'Ret IRPF'!N20,0)</f>
        <v>0</v>
      </c>
      <c r="M26" s="3191">
        <f ca="1">IF(M25=0,'Ret IRPF'!N29,0)</f>
        <v>0</v>
      </c>
      <c r="N26" s="3191">
        <f ca="1">IF(N25=0,'Ret IRPF'!N38,0)</f>
        <v>0</v>
      </c>
      <c r="O26" s="3193">
        <f ca="1">IF(O25=0,'Ret IRPF'!N47,0)</f>
        <v>0</v>
      </c>
      <c r="Q26" s="232"/>
    </row>
    <row r="27" spans="1:17" s="61" customFormat="1" ht="18.75" customHeight="1" thickBot="1">
      <c r="A27" s="59"/>
      <c r="B27" s="248" t="s">
        <v>283</v>
      </c>
      <c r="C27" s="1588">
        <f>+J9</f>
        <v>5550</v>
      </c>
      <c r="I27" s="1049"/>
      <c r="J27" s="2448" t="s">
        <v>235</v>
      </c>
      <c r="K27" s="3200">
        <f t="array" ref="K27:O27" ca="1">IF(K20:O20=0,0,K22:O22/K20:O20)</f>
        <v>0.16131019890750684</v>
      </c>
      <c r="L27" s="3201">
        <f ca="1"/>
        <v>0.20296997550521453</v>
      </c>
      <c r="M27" s="3200">
        <f ca="1"/>
        <v>0.18771574416193273</v>
      </c>
      <c r="N27" s="3202">
        <f ca="1"/>
        <v>0.19517428519680494</v>
      </c>
      <c r="O27" s="3203">
        <f ca="1"/>
        <v>0.20030778964179297</v>
      </c>
      <c r="Q27" s="232"/>
    </row>
    <row r="28" spans="1:17" ht="15.75" thickBot="1">
      <c r="A28" s="3162"/>
      <c r="B28" s="3162"/>
      <c r="C28" s="3162"/>
      <c r="D28" s="3162"/>
      <c r="E28" s="900"/>
      <c r="F28" s="900"/>
      <c r="G28" s="900"/>
    </row>
    <row r="29" spans="1:17" ht="15.75" thickBot="1">
      <c r="A29" s="3162"/>
      <c r="B29" s="3162"/>
      <c r="C29" s="3162"/>
      <c r="D29" s="3162"/>
      <c r="E29" s="900"/>
      <c r="F29" s="900"/>
      <c r="G29" s="900"/>
      <c r="I29" s="2538"/>
      <c r="J29" s="3164" t="s">
        <v>1051</v>
      </c>
      <c r="K29" s="3194">
        <f ca="1">IF(K19&gt;0,K20/K19/12,0)</f>
        <v>1735.8908617424238</v>
      </c>
      <c r="L29" s="3195">
        <f ca="1">IF(L19&gt;0,L20/L19/12,0)</f>
        <v>2481.1944507575759</v>
      </c>
      <c r="M29" s="3194">
        <f ca="1">IF(M19&gt;0,M20/M19/12,0)</f>
        <v>2144.1150100378786</v>
      </c>
      <c r="N29" s="3194">
        <f ca="1">IF(N19&gt;0,N20/N19/12,0)</f>
        <v>2296.6727084602276</v>
      </c>
      <c r="O29" s="3196">
        <f ca="1">IF(O19&gt;0,O20/O19/12,0)</f>
        <v>2414.9365077600946</v>
      </c>
    </row>
    <row r="30" spans="1:17" ht="19.5" thickBot="1">
      <c r="A30" s="3163" t="s">
        <v>1252</v>
      </c>
      <c r="B30" s="60"/>
      <c r="C30" s="61"/>
      <c r="D30" s="61"/>
      <c r="E30" s="61"/>
      <c r="F30" s="61"/>
      <c r="G30" s="61"/>
    </row>
    <row r="31" spans="1:17" ht="27.75" customHeight="1" thickBot="1">
      <c r="A31" s="3175"/>
      <c r="B31" s="3176"/>
      <c r="C31" s="3177" t="str">
        <f t="array" ref="C31:G31">anni</f>
        <v>Año 0:  2026</v>
      </c>
      <c r="D31" s="3178" t="str">
        <v>Año 1:  2027</v>
      </c>
      <c r="E31" s="3179" t="str">
        <v>Año 2:  2028</v>
      </c>
      <c r="F31" s="3177" t="str">
        <v>Año 3:  2029</v>
      </c>
      <c r="G31" s="3177" t="str">
        <v>Año 4:  2030</v>
      </c>
    </row>
    <row r="32" spans="1:17">
      <c r="A32" s="3181"/>
      <c r="B32" s="3165" t="s">
        <v>1251</v>
      </c>
      <c r="C32" s="3242"/>
      <c r="D32" s="3243">
        <f ca="1">C20+'G.F. 0'!$N$18+Imp.Sociedades!B32</f>
        <v>21862.690340909085</v>
      </c>
      <c r="E32" s="3244">
        <f ca="1">D20+'G.F. 1'!$N$18+Imp.Sociedades!D32</f>
        <v>30806.333409090908</v>
      </c>
      <c r="F32" s="3242">
        <f ca="1">E20+'G.F. 2'!$N$18+Imp.Sociedades!G32</f>
        <v>30409.380120454545</v>
      </c>
      <c r="G32" s="3242">
        <f ca="1">F20+'G.F. 3'!$N$18+Imp.Sociedades!J32</f>
        <v>32240.072501522729</v>
      </c>
    </row>
    <row r="33" spans="1:7">
      <c r="A33" s="3180"/>
      <c r="B33" s="1080" t="s">
        <v>1253</v>
      </c>
      <c r="C33" s="3204">
        <v>0</v>
      </c>
      <c r="D33" s="2636">
        <f ca="1">D32/(finTemporada-inicioTemporada+1)/K19</f>
        <v>1821.8908617424238</v>
      </c>
      <c r="E33" s="2637">
        <f ca="1">E32/(finTemporada-inicioTemporada+1)/L19</f>
        <v>2567.1944507575759</v>
      </c>
      <c r="F33" s="2635">
        <f ca="1">F32/(finTemporada-inicioTemporada+1)/M19</f>
        <v>2534.1150100378786</v>
      </c>
      <c r="G33" s="2635">
        <f ca="1">G32/(finTemporada-inicioTemporada+1)/N19</f>
        <v>2686.6727084602276</v>
      </c>
    </row>
    <row r="34" spans="1:7">
      <c r="A34" s="380"/>
      <c r="B34" s="3172" t="s">
        <v>1254</v>
      </c>
      <c r="C34" s="3166">
        <f>'Datos Básicos'!B15</f>
        <v>2026</v>
      </c>
      <c r="D34" s="3167">
        <f t="shared" ref="D34:G34" si="6">C34+1</f>
        <v>2027</v>
      </c>
      <c r="E34" s="3168">
        <f t="shared" si="6"/>
        <v>2028</v>
      </c>
      <c r="F34" s="3166">
        <f t="shared" si="6"/>
        <v>2029</v>
      </c>
      <c r="G34" s="3166">
        <f t="shared" si="6"/>
        <v>2030</v>
      </c>
    </row>
    <row r="35" spans="1:7">
      <c r="A35" s="380"/>
      <c r="B35" s="3173" t="s">
        <v>1257</v>
      </c>
      <c r="C35" s="3185">
        <f>MATCH(C34,'RETA 2026'!$D$12:$K$12,1)</f>
        <v>7</v>
      </c>
      <c r="D35" s="3186">
        <f>MATCH(C34,'RETA 2026'!$D$12:$K$12,1)</f>
        <v>7</v>
      </c>
      <c r="E35" s="3187">
        <f>_xlfn.IFNA(MATCH(D34,'RETA 2026'!$D$12:$K$12,1),MAX($C35:D35))</f>
        <v>7</v>
      </c>
      <c r="F35" s="3185">
        <f>_xlfn.IFNA(MATCH(E34,'RETA 2026'!$D$12:$K$12,1),MAX($C35:E35))</f>
        <v>7</v>
      </c>
      <c r="G35" s="3185">
        <f>_xlfn.IFNA(MATCH(F34,'RETA 2026'!$D$12:$K$12,1),MAX($C35:F35))</f>
        <v>7</v>
      </c>
    </row>
    <row r="36" spans="1:7">
      <c r="A36" s="380"/>
      <c r="B36" s="3174" t="s">
        <v>1255</v>
      </c>
      <c r="C36" s="3169">
        <f ca="1">INDEX(OFFSET('RETA 2026'!$D$14,0,(C35-1),15,1),MATCH(C33,'RETA 2026'!$B$14:$B$28,1))</f>
        <v>999999</v>
      </c>
      <c r="D36" s="3170">
        <f ca="1">INDEX(OFFSET('RETA 2026'!$D$14,0,(D35-1),15,1),MATCH(D33,'RETA 2026'!$B$14:$B$28,1))</f>
        <v>1143.79</v>
      </c>
      <c r="E36" s="3171">
        <f ca="1">INDEX(OFFSET('RETA 2026'!$D$14,0,(E35-1),15,1),MATCH(E33,'RETA 2026'!$B$14:$B$28,1))</f>
        <v>1356.21</v>
      </c>
      <c r="F36" s="3169">
        <f ca="1">INDEX(OFFSET('RETA 2026'!$D$14,0,(F35-1),15,1),MATCH(F33,'RETA 2026'!$B$14:$B$28,1))</f>
        <v>1356.21</v>
      </c>
      <c r="G36" s="3169">
        <f ca="1">INDEX(OFFSET('RETA 2026'!$D$14,0,(G35-1),15,1),MATCH(G33,'RETA 2026'!$B$14:$B$28,1))</f>
        <v>1356.21</v>
      </c>
    </row>
    <row r="37" spans="1:7" ht="15.75" thickBot="1">
      <c r="A37" s="3182"/>
      <c r="B37" s="3183" t="s">
        <v>1256</v>
      </c>
      <c r="C37" s="2657">
        <f ca="1">INDEX(OFFSET('RETA 2026'!$D$14,0,(C35-1)+1,15,1),MATCH(C33,'RETA 2026'!$B$14:$B$28,1))</f>
        <v>230</v>
      </c>
      <c r="D37" s="2658">
        <f ca="1">INDEX(OFFSET('RETA 2026'!$D$14,0,(D35-1)+1,15,1),MATCH(D33,'RETA 2026'!$B$14:$B$28,1))</f>
        <v>350</v>
      </c>
      <c r="E37" s="2659">
        <f ca="1">INDEX(OFFSET('RETA 2026'!$D$14,0,(E35-1)+1,15,1),MATCH(E33,'RETA 2026'!$B$14:$B$28,1))</f>
        <v>390</v>
      </c>
      <c r="F37" s="2657">
        <f ca="1">INDEX(OFFSET('RETA 2026'!$D$14,0,(F35-1)+1,15,1),MATCH(F33,'RETA 2026'!$B$14:$B$28,1))</f>
        <v>390</v>
      </c>
      <c r="G37" s="2657">
        <f ca="1">INDEX(OFFSET('RETA 2026'!$D$14,0,(G35-1)+1,15,1),MATCH(G33,'RETA 2026'!$B$14:$B$28,1))</f>
        <v>390</v>
      </c>
    </row>
    <row r="38" spans="1:7" ht="15.75" thickBot="1"/>
    <row r="39" spans="1:7">
      <c r="A39" s="3205"/>
      <c r="B39" s="3206" t="s">
        <v>1260</v>
      </c>
      <c r="C39" s="3207">
        <v>0</v>
      </c>
      <c r="D39" s="3208">
        <f ca="1">D37-C37</f>
        <v>120</v>
      </c>
      <c r="E39" s="3209">
        <f ca="1">E37-D37</f>
        <v>40</v>
      </c>
      <c r="F39" s="3207">
        <f ca="1">F37-E37</f>
        <v>0</v>
      </c>
      <c r="G39" s="3207">
        <f ca="1">G37-F37</f>
        <v>0</v>
      </c>
    </row>
    <row r="40" spans="1:7" ht="15.75" thickBot="1">
      <c r="A40" s="3182"/>
      <c r="B40" s="3210" t="s">
        <v>1261</v>
      </c>
      <c r="C40" s="3211">
        <v>0</v>
      </c>
      <c r="D40" s="3212">
        <f ca="1">D39*IF(mes0&gt;finTemporada,0,IF(mes0&lt;=inicioTemporada,finTemporada-inicioTemporada,MIN(finTemporada,mes0)-inicioTemporada))*K19</f>
        <v>1320</v>
      </c>
      <c r="E40" s="3213">
        <f ca="1">E39*(finTemporada-inicioTemporada)*L19</f>
        <v>440</v>
      </c>
      <c r="F40" s="3211">
        <f ca="1">F39*(finTemporada-inicioTemporada)*M19</f>
        <v>0</v>
      </c>
      <c r="G40" s="3211">
        <f ca="1">G39*(finTemporada-inicioTemporada)*N19</f>
        <v>0</v>
      </c>
    </row>
  </sheetData>
  <sheetProtection sheet="1" objects="1" scenarios="1"/>
  <phoneticPr fontId="6" type="noConversion"/>
  <printOptions horizontalCentered="1"/>
  <pageMargins left="0.56999999999999995" right="0.75" top="0.55000000000000004" bottom="0.57999999999999996" header="0" footer="0"/>
  <pageSetup paperSize="9" scale="68" orientation="landscape" horizontalDpi="300" r:id="rId1"/>
  <headerFooter alignWithMargins="0"/>
  <rowBreaks count="1" manualBreakCount="1">
    <brk id="35" max="1638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88892F3-4127-4D5F-B21E-C1BD3966EF6F}">
          <x14:formula1>
            <xm:f>'RETA 2026'!$B$14:$B$28</xm:f>
          </x14:formula1>
          <xm:sqref>C33</xm:sqref>
        </x14:dataValidation>
      </x14:dataValidations>
    </ext>
  </extLs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60">
    <pageSetUpPr fitToPage="1"/>
  </sheetPr>
  <dimension ref="A1:O35"/>
  <sheetViews>
    <sheetView workbookViewId="0"/>
  </sheetViews>
  <sheetFormatPr baseColWidth="10" defaultColWidth="11" defaultRowHeight="15"/>
  <cols>
    <col min="1" max="1" width="29" style="20" customWidth="1"/>
    <col min="2" max="2" width="11.25" style="20" customWidth="1"/>
    <col min="3" max="3" width="10.5" style="20" customWidth="1"/>
    <col min="4" max="4" width="11.25" style="20" customWidth="1"/>
    <col min="5" max="5" width="10.5" style="20" customWidth="1"/>
    <col min="6" max="6" width="12" style="20" customWidth="1"/>
    <col min="7" max="7" width="11.25" style="20" customWidth="1"/>
    <col min="8" max="9" width="10.5" style="20" customWidth="1"/>
    <col min="10" max="10" width="11.25" style="20" customWidth="1"/>
    <col min="11" max="11" width="10.5" style="20" customWidth="1"/>
    <col min="12" max="12" width="11.625" style="20" customWidth="1"/>
    <col min="13" max="13" width="11.25" style="20" customWidth="1"/>
    <col min="14" max="15" width="10.5" style="20" customWidth="1"/>
    <col min="16" max="16384" width="11" style="20"/>
  </cols>
  <sheetData>
    <row r="1" spans="1:15" ht="25.5">
      <c r="A1" s="956" t="str">
        <f>'Datos Básicos'!$J$44</f>
        <v>Impuesto de Sociedades</v>
      </c>
      <c r="I1" s="954" t="str">
        <f>IF(Isoc=0,CONCATENATE("Forma Jurídica: ",'Datos Básicos'!B24),"")</f>
        <v>Forma Jurídica: Empresario Individual (Reg. General)</v>
      </c>
      <c r="J1" s="954"/>
      <c r="M1" s="954"/>
    </row>
    <row r="2" spans="1:15" ht="25.5">
      <c r="A2" s="956" t="str">
        <f>'Datos Básicos'!$B$9</f>
        <v>nombre empresa</v>
      </c>
      <c r="I2" s="954" t="str">
        <f>IF(Isoc=0,"No sujeto "&amp;'Datos Básicos'!H44,"")</f>
        <v>No sujeto Impuesto Sociedades</v>
      </c>
      <c r="J2" s="954"/>
      <c r="M2" s="954"/>
    </row>
    <row r="3" spans="1:15" ht="23.25">
      <c r="I3" s="954" t="str">
        <f>IF(Isoc=0,"TRIBUTACIÓN EN "&amp;'Datos Básicos'!I43,"")</f>
        <v>TRIBUTACIÓN EN I.R.P.F.</v>
      </c>
      <c r="J3" s="954"/>
      <c r="M3" s="954"/>
    </row>
    <row r="4" spans="1:15" ht="23.25">
      <c r="F4" s="955"/>
    </row>
    <row r="5" spans="1:15" ht="23.25" thickBot="1">
      <c r="A5" s="450" t="str">
        <f>"Cuotas y pagos a cuenta del "&amp;'Datos Básicos'!H44</f>
        <v>Cuotas y pagos a cuenta del Impuesto Sociedades</v>
      </c>
      <c r="B5" s="23"/>
      <c r="D5" s="23"/>
      <c r="E5" s="23"/>
      <c r="F5" s="23"/>
      <c r="G5" s="23"/>
      <c r="H5" s="23"/>
      <c r="I5" s="23"/>
      <c r="J5" s="23"/>
      <c r="K5" s="23"/>
      <c r="L5" s="23"/>
      <c r="M5" s="23"/>
      <c r="N5" s="23"/>
      <c r="O5" s="23"/>
    </row>
    <row r="6" spans="1:15" s="34" customFormat="1" ht="20.25" customHeight="1" thickBot="1">
      <c r="A6" s="988"/>
      <c r="B6" s="989" t="str">
        <f>Parametros!D$65</f>
        <v>2026</v>
      </c>
      <c r="C6" s="990" t="s">
        <v>32</v>
      </c>
      <c r="D6" s="991" t="str">
        <f>Parametros!E$65</f>
        <v>2027</v>
      </c>
      <c r="E6" s="992" t="s">
        <v>120</v>
      </c>
      <c r="F6" s="458" t="s">
        <v>38</v>
      </c>
      <c r="G6" s="993" t="str">
        <f>Parametros!F$65</f>
        <v>2028</v>
      </c>
      <c r="H6" s="992" t="s">
        <v>32</v>
      </c>
      <c r="I6" s="994" t="s">
        <v>38</v>
      </c>
      <c r="J6" s="995" t="str">
        <f>Parametros!G$65</f>
        <v>2029</v>
      </c>
      <c r="K6" s="992" t="s">
        <v>32</v>
      </c>
      <c r="L6" s="458" t="s">
        <v>38</v>
      </c>
      <c r="M6" s="993" t="str">
        <f>Parametros!H$65</f>
        <v>2030</v>
      </c>
      <c r="N6" s="990" t="s">
        <v>32</v>
      </c>
      <c r="O6" s="996" t="s">
        <v>38</v>
      </c>
    </row>
    <row r="7" spans="1:15" s="34" customFormat="1" ht="20.25" customHeight="1">
      <c r="A7" s="959" t="s">
        <v>136</v>
      </c>
      <c r="B7" s="966">
        <f ca="1">IF('PPyGG anuales'!B29&lt;0,0,IF(SUM(resprevio)&gt;0,0,IF('PPyGG anuales'!B29&gt;-SUM(resprevio),-SUM(resprevio),'PPyGG anuales'!B29)))</f>
        <v>0</v>
      </c>
      <c r="C7" s="962"/>
      <c r="D7" s="963">
        <f ca="1">IF('PPyGG anuales'!D29&lt;0,0,IF(B9=0,0,IF('PPyGG anuales'!D29&gt;B9,B9,'PPyGG anuales'!D29)))</f>
        <v>0</v>
      </c>
      <c r="E7" s="964"/>
      <c r="F7" s="965"/>
      <c r="G7" s="966">
        <f ca="1">IF('PPyGG anuales'!G29&lt;0,0,IF(D9=0,0,IF('PPyGG anuales'!G29&gt;D9,D9,'PPyGG anuales'!G29)))</f>
        <v>0</v>
      </c>
      <c r="H7" s="964"/>
      <c r="I7" s="967"/>
      <c r="J7" s="963">
        <f ca="1">IF('PPyGG anuales'!J29&lt;0,0,IF(G9=0,0,IF('PPyGG anuales'!J29&gt;G9,G9,'PPyGG anuales'!J29)))</f>
        <v>0</v>
      </c>
      <c r="K7" s="964"/>
      <c r="L7" s="968"/>
      <c r="M7" s="966">
        <f ca="1">IF('PPyGG anuales'!M29&lt;0,0,IF(J9=0,0,IF('PPyGG anuales'!M29&gt;J9,J9,'PPyGG anuales'!M29)))</f>
        <v>0</v>
      </c>
      <c r="N7" s="964"/>
      <c r="O7" s="967"/>
    </row>
    <row r="8" spans="1:15" ht="18" customHeight="1">
      <c r="A8" s="957"/>
      <c r="B8" s="969"/>
      <c r="C8" s="970"/>
      <c r="D8" s="971"/>
      <c r="E8" s="972"/>
      <c r="F8" s="973"/>
      <c r="G8" s="969"/>
      <c r="H8" s="972"/>
      <c r="I8" s="974"/>
      <c r="J8" s="971"/>
      <c r="K8" s="972"/>
      <c r="L8" s="973"/>
      <c r="M8" s="969"/>
      <c r="N8" s="972"/>
      <c r="O8" s="974"/>
    </row>
    <row r="9" spans="1:15" s="34" customFormat="1" ht="18" customHeight="1">
      <c r="A9" s="958" t="s">
        <v>116</v>
      </c>
      <c r="B9" s="1768">
        <f ca="1">IF('Balances anuales'!$D$28+'Balances anuales'!$D$30&lt;0,
      IF('PPyGG anuales'!B29&lt;0,
          -'PPyGG anuales'!B29-'Balances anuales'!$D$28-'Balances anuales'!$D$30,
           IF('PPyGG anuales'!B29&gt;-'Balances anuales'!$D$28-'Balances anuales'!$D$30,
                0,
               -'PPyGG anuales'!B29-'Balances anuales'!$D$28-'Balances anuales'!$D$30)),
     IF('PPyGG anuales'!B29&gt;0,
          0,
          IF('Balances anuales'!$D$28+'Balances anuales'!$D$30&gt;-'PPyGG anuales'!B29,
              -'PPyGG anuales'!B29,
              -'Balances anuales'!$D$28-'Balances anuales'!$D$30-'PPyGG anuales'!B29)))</f>
        <v>0</v>
      </c>
      <c r="C9" s="982">
        <f ca="1">IFERROR(B9/'PPyGG anuales'!B$5,0)</f>
        <v>0</v>
      </c>
      <c r="D9" s="1679">
        <f ca="1">IF('PPyGG anuales'!D29-B9&lt;0,-'PPyGG anuales'!D29+B9,0)</f>
        <v>0</v>
      </c>
      <c r="E9" s="1446">
        <f ca="1">IFERROR(D9/'PPyGG anuales'!D$5,0)</f>
        <v>0</v>
      </c>
      <c r="F9" s="981" t="str">
        <f ca="1">IF(ABS(B9)&gt;0.01,(D9-B9)/B9,"")</f>
        <v/>
      </c>
      <c r="G9" s="1680">
        <f ca="1">IF('PPyGG anuales'!G29-D9&lt;0,-'PPyGG anuales'!G29+D9,0)</f>
        <v>0</v>
      </c>
      <c r="H9" s="1446">
        <f ca="1">IFERROR(G9/'PPyGG anuales'!G$5,0)</f>
        <v>0</v>
      </c>
      <c r="I9" s="981" t="str">
        <f ca="1">IF(ABS(D9)&gt;0.01,(G9-D9)/D9,"")</f>
        <v/>
      </c>
      <c r="J9" s="1679">
        <f ca="1">IF('PPyGG anuales'!J29-G9&lt;0,-'PPyGG anuales'!J29+G9,0)</f>
        <v>0</v>
      </c>
      <c r="K9" s="1446">
        <f ca="1">IFERROR(J9/'PPyGG anuales'!J$5,0)</f>
        <v>0</v>
      </c>
      <c r="L9" s="978" t="str">
        <f ca="1">IF(ABS(G9)&gt;0.01,(J9-G9)/G9,"")</f>
        <v/>
      </c>
      <c r="M9" s="1680">
        <f ca="1">IF('PPyGG anuales'!M29-J9&lt;0,-'PPyGG anuales'!M29+J9,0)</f>
        <v>0</v>
      </c>
      <c r="N9" s="1446">
        <f ca="1">IFERROR(M9/'PPyGG anuales'!M$5,0)</f>
        <v>0</v>
      </c>
      <c r="O9" s="981" t="str">
        <f ca="1">IF(ABS(J9)&gt;0.01,(M9-J9)/J9,"")</f>
        <v/>
      </c>
    </row>
    <row r="10" spans="1:15" s="34" customFormat="1" ht="18" customHeight="1">
      <c r="A10" s="1678"/>
      <c r="B10" s="1680"/>
      <c r="C10" s="1681"/>
      <c r="D10" s="1679"/>
      <c r="E10" s="1682"/>
      <c r="F10" s="980"/>
      <c r="G10" s="1680"/>
      <c r="H10" s="1682"/>
      <c r="I10" s="979"/>
      <c r="J10" s="1679"/>
      <c r="K10" s="1682"/>
      <c r="L10" s="980"/>
      <c r="M10" s="1680"/>
      <c r="N10" s="1682"/>
      <c r="O10" s="979"/>
    </row>
    <row r="11" spans="1:15" s="34" customFormat="1" ht="18" customHeight="1">
      <c r="A11" s="960" t="s">
        <v>408</v>
      </c>
      <c r="B11" s="1680">
        <f>IF(Isoc=0,0,IF(B9&gt;0,0,'PPyGG anuales'!B29+IF(SUM(resprevio)&lt;0,SUM(resprevio),0)))</f>
        <v>0</v>
      </c>
      <c r="C11" s="1681" t="str">
        <f>IF(B11&lt;&gt;0,B11/'PPyGG anuales'!B$5,"")</f>
        <v/>
      </c>
      <c r="D11" s="1679">
        <f>IF(Isoc=0,0,IF('PPyGG anuales'!D29-B9&gt;0,'PPyGG anuales'!D29-B9,0))</f>
        <v>0</v>
      </c>
      <c r="E11" s="1446" t="str">
        <f>IF(D11&lt;&gt;0,D11/'PPyGG anuales'!D$5,"")</f>
        <v/>
      </c>
      <c r="F11" s="980" t="str">
        <f>IF(ABS(B11)&gt;0.01,(D11-B11)/B11,"")</f>
        <v/>
      </c>
      <c r="G11" s="1680">
        <f>IF(Isoc=0,0,IF('PPyGG anuales'!G29-D9&gt;0,'PPyGG anuales'!G29-D9,0))</f>
        <v>0</v>
      </c>
      <c r="H11" s="1446" t="str">
        <f>IF(G11&lt;&gt;0,G11/'PPyGG anuales'!G$5,"")</f>
        <v/>
      </c>
      <c r="I11" s="981" t="str">
        <f>IF(ABS(D11)&gt;0.01,(G11-D11)/D11,"")</f>
        <v/>
      </c>
      <c r="J11" s="1679">
        <f>IF(Isoc=0,0,IF('PPyGG anuales'!J29-G9&gt;0,'PPyGG anuales'!J29-G9,0))</f>
        <v>0</v>
      </c>
      <c r="K11" s="1446" t="str">
        <f>IF(J11&lt;&gt;0,J11/'PPyGG anuales'!J$5,"")</f>
        <v/>
      </c>
      <c r="L11" s="978" t="str">
        <f>IF(ABS(G11)&gt;0.01,(J11-G11)/G11,"")</f>
        <v/>
      </c>
      <c r="M11" s="1680">
        <f>IF(Isoc=0,0,IF('PPyGG anuales'!M29-J9&gt;0,'PPyGG anuales'!M29-J9,0))</f>
        <v>0</v>
      </c>
      <c r="N11" s="1446" t="str">
        <f>IF(M11&lt;&gt;0,M11/'PPyGG anuales'!M$5,"")</f>
        <v/>
      </c>
      <c r="O11" s="981" t="str">
        <f>IF(ABS(J11)&gt;0.01,(M11-J11)/J11,"")</f>
        <v/>
      </c>
    </row>
    <row r="12" spans="1:15" s="34" customFormat="1" ht="18" customHeight="1">
      <c r="A12" s="1694" t="str">
        <f>CONCATENATE("Base imponible al  ",TEXT(Isoc,"0%"))</f>
        <v>Base imponible al  0%</v>
      </c>
      <c r="B12" s="1683">
        <f>MIN(B11,'Datos Básicos'!$C$84)</f>
        <v>0</v>
      </c>
      <c r="C12" s="976" t="str">
        <f t="shared" ref="C12:E13" si="0">IF(B$11&lt;&gt;0,B12/B$11,"")</f>
        <v/>
      </c>
      <c r="D12" s="1683">
        <f>MIN(D11,'Datos Básicos'!$C$84)</f>
        <v>0</v>
      </c>
      <c r="E12" s="977" t="str">
        <f t="shared" si="0"/>
        <v/>
      </c>
      <c r="F12" s="1684" t="str">
        <f>IF(ABS(B12)&gt;0.01,(D12-B12)/B12,"")</f>
        <v/>
      </c>
      <c r="G12" s="1683">
        <f>MIN(G11,'Datos Básicos'!$C$84)</f>
        <v>0</v>
      </c>
      <c r="H12" s="977" t="str">
        <f>IF(G$11&lt;&gt;0,G12/G$11,"")</f>
        <v/>
      </c>
      <c r="I12" s="980" t="str">
        <f>IF(ABS(D12)&gt;0.01,(G12-D12)/D12,"")</f>
        <v/>
      </c>
      <c r="J12" s="1683">
        <f>MIN(J11,'Datos Básicos'!$C$84)</f>
        <v>0</v>
      </c>
      <c r="K12" s="977" t="str">
        <f>IF(J$11&lt;&gt;0,J12/J$11,"")</f>
        <v/>
      </c>
      <c r="L12" s="980" t="str">
        <f>IF(ABS(G12)&gt;0.01,(J12-G12)/G12,"")</f>
        <v/>
      </c>
      <c r="M12" s="1683">
        <f>MIN(M11,'Datos Básicos'!$C$84)</f>
        <v>0</v>
      </c>
      <c r="N12" s="977" t="str">
        <f>IF(M$11&lt;&gt;0,M12/M$11,"")</f>
        <v/>
      </c>
      <c r="O12" s="979" t="str">
        <f>IF(ABS(J12)&gt;0.01,(M12-J12)/J12,"")</f>
        <v/>
      </c>
    </row>
    <row r="13" spans="1:15" s="34" customFormat="1" ht="18" customHeight="1">
      <c r="A13" s="1694" t="str">
        <f>CONCATENATE("Base imponible al  ",TEXT('Datos Básicos'!C37,"0%"))</f>
        <v>Base imponible al  0%</v>
      </c>
      <c r="B13" s="1683">
        <f>B11-B12</f>
        <v>0</v>
      </c>
      <c r="C13" s="976" t="str">
        <f t="shared" si="0"/>
        <v/>
      </c>
      <c r="D13" s="1683">
        <f>D11-D12</f>
        <v>0</v>
      </c>
      <c r="E13" s="977" t="str">
        <f t="shared" si="0"/>
        <v/>
      </c>
      <c r="F13" s="1685" t="str">
        <f>IF(ABS(B13)&gt;0.01,(D13-B13)/B13,"")</f>
        <v/>
      </c>
      <c r="G13" s="1683">
        <f>G11-G12</f>
        <v>0</v>
      </c>
      <c r="H13" s="977" t="str">
        <f>IF(G$11&lt;&gt;0,G13/G$11,"")</f>
        <v/>
      </c>
      <c r="I13" s="978" t="str">
        <f>IF(ABS(D13)&gt;0.01,(G13-D13)/D13,"")</f>
        <v/>
      </c>
      <c r="J13" s="1683">
        <f>J11-J12</f>
        <v>0</v>
      </c>
      <c r="K13" s="977" t="str">
        <f>IF(J$11&lt;&gt;0,J13/J$11,"")</f>
        <v/>
      </c>
      <c r="L13" s="978" t="str">
        <f>IF(ABS(G13)&gt;0.01,(J13-G13)/G13,"")</f>
        <v/>
      </c>
      <c r="M13" s="1683">
        <f>M11-M12</f>
        <v>0</v>
      </c>
      <c r="N13" s="977" t="str">
        <f>IF(M$11&lt;&gt;0,M13/M$11,"")</f>
        <v/>
      </c>
      <c r="O13" s="981" t="str">
        <f>IF(ABS(J13)&gt;0.01,(M13-J13)/J13,"")</f>
        <v/>
      </c>
    </row>
    <row r="14" spans="1:15" s="34" customFormat="1" ht="13.5" customHeight="1">
      <c r="A14" s="1694"/>
      <c r="B14" s="1683"/>
      <c r="C14" s="976"/>
      <c r="D14" s="1683"/>
      <c r="E14" s="977"/>
      <c r="F14" s="1685"/>
      <c r="G14" s="1683"/>
      <c r="H14" s="977"/>
      <c r="I14" s="978"/>
      <c r="J14" s="1683"/>
      <c r="K14" s="977"/>
      <c r="L14" s="978"/>
      <c r="M14" s="1683"/>
      <c r="N14" s="977"/>
      <c r="O14" s="981"/>
    </row>
    <row r="15" spans="1:15" s="34" customFormat="1" ht="21.75" customHeight="1">
      <c r="A15" s="960" t="s">
        <v>640</v>
      </c>
      <c r="B15" s="975">
        <f>B12*Isoc+B13*'Datos Básicos'!$C$37</f>
        <v>0</v>
      </c>
      <c r="C15" s="976" t="str">
        <f>IF(B15&lt;&gt;0,B15/'PPyGG anuales'!B$29,"")</f>
        <v/>
      </c>
      <c r="D15" s="975">
        <f>D12*Isoc+D13*'Datos Básicos'!$C$37</f>
        <v>0</v>
      </c>
      <c r="E15" s="977" t="str">
        <f>IF(D15&lt;&gt;0,D15/'PPyGG anuales'!D$29,"")</f>
        <v/>
      </c>
      <c r="F15" s="978" t="str">
        <f>IF(ABS(B15)&gt;0.01,(D15-B15)/B15,"")</f>
        <v/>
      </c>
      <c r="G15" s="975">
        <f>G12*Isoc+G13*'Datos Básicos'!$C$37</f>
        <v>0</v>
      </c>
      <c r="H15" s="977" t="str">
        <f>IF(G15&lt;&gt;0,G15/'PPyGG anuales'!G$29,"")</f>
        <v/>
      </c>
      <c r="I15" s="979" t="str">
        <f>IF(ABS(D15)&gt;0.01,(G15-D15)/D15,"")</f>
        <v/>
      </c>
      <c r="J15" s="975">
        <f>J12*Isoc+J13*'Datos Básicos'!$C$37</f>
        <v>0</v>
      </c>
      <c r="K15" s="977" t="str">
        <f>IF(J15&lt;&gt;0,J15/'PPyGG anuales'!J$29,"")</f>
        <v/>
      </c>
      <c r="L15" s="980" t="str">
        <f>IF(ABS(G15)&gt;0.01,(J15-G15)/G15,"")</f>
        <v/>
      </c>
      <c r="M15" s="975">
        <f>M12*Isoc+M13*'Datos Básicos'!$C$37</f>
        <v>0</v>
      </c>
      <c r="N15" s="977" t="str">
        <f>IF(M15&lt;&gt;0,M15/'PPyGG anuales'!M$29,"")</f>
        <v/>
      </c>
      <c r="O15" s="981" t="str">
        <f>IF(ABS(J15)&gt;0.01,(M15-J15)/J15,"")</f>
        <v/>
      </c>
    </row>
    <row r="16" spans="1:15" s="34" customFormat="1" ht="18" customHeight="1">
      <c r="A16" s="1678"/>
      <c r="B16" s="1680"/>
      <c r="C16" s="1681"/>
      <c r="D16" s="1679"/>
      <c r="E16" s="1446"/>
      <c r="F16" s="980"/>
      <c r="G16" s="1680"/>
      <c r="H16" s="1446"/>
      <c r="I16" s="981"/>
      <c r="J16" s="1679"/>
      <c r="K16" s="1446"/>
      <c r="L16" s="978"/>
      <c r="M16" s="1680"/>
      <c r="N16" s="1446"/>
      <c r="O16" s="981"/>
    </row>
    <row r="17" spans="1:15" s="34" customFormat="1" ht="18" customHeight="1">
      <c r="A17" s="2055" t="s">
        <v>928</v>
      </c>
      <c r="B17" s="2056" t="str">
        <f>'Datos Básicos'!$B$38</f>
        <v>Año anterior</v>
      </c>
      <c r="C17" s="2057"/>
      <c r="D17" s="2054">
        <f>'Datos Básicos'!$D$38</f>
        <v>-1</v>
      </c>
      <c r="E17" s="1682"/>
      <c r="F17" s="980"/>
      <c r="G17" s="1680"/>
      <c r="H17" s="1682"/>
      <c r="I17" s="979"/>
      <c r="J17" s="1679"/>
      <c r="K17" s="1682"/>
      <c r="L17" s="980"/>
      <c r="M17" s="1680"/>
      <c r="N17" s="1682"/>
      <c r="O17" s="979"/>
    </row>
    <row r="18" spans="1:15" s="34" customFormat="1" ht="18" customHeight="1">
      <c r="A18" s="1686" t="s">
        <v>117</v>
      </c>
      <c r="B18" s="1687">
        <f>IF($D$17=-1,0,
IF('PyG 0'!$D$31&gt;0,'PyG 0'!$D$31*'Datos Básicos'!$C$39,0))</f>
        <v>0</v>
      </c>
      <c r="C18" s="982" t="str">
        <f>IF(B18&lt;&gt;0,B18/'PPyGG anuales'!B$29,"")</f>
        <v/>
      </c>
      <c r="D18" s="1688">
        <f>IF($D$17=-1,B19,
IF('PyG 1'!$D$31&gt;0,'PyG 1'!$D$31*'Datos Básicos'!$C$39,0))</f>
        <v>0</v>
      </c>
      <c r="E18" s="1682" t="str">
        <f>IF(D18&lt;&gt;0,D18/'PPyGG anuales'!D$29,"")</f>
        <v/>
      </c>
      <c r="F18" s="978" t="str">
        <f>IF(ABS(B18)&gt;0.01,(D18-B18)/B18,"")</f>
        <v/>
      </c>
      <c r="G18" s="1687">
        <f>IF($D$17=-1,D19,
IF('PyG 2'!$D$31&gt;0,'PyG 2'!$D$31*'Datos Básicos'!$C$39,0))</f>
        <v>0</v>
      </c>
      <c r="H18" s="1682"/>
      <c r="I18" s="981" t="str">
        <f>IF(ABS(D18)&gt;0.01,(G18-D18)/D18,"")</f>
        <v/>
      </c>
      <c r="J18" s="1688">
        <f>IF($D$17=-1,G19,
IF('PyG 3'!$D$31&gt;0,'PyG 3'!$D$31*'Datos Básicos'!$C$39,0))</f>
        <v>0</v>
      </c>
      <c r="K18" s="1682"/>
      <c r="L18" s="978" t="str">
        <f>IF(ABS(G18)&gt;0.01,(J18-G18)/G18,"")</f>
        <v/>
      </c>
      <c r="M18" s="1687">
        <f>IF($D$17=-1,J19,
IF('PyG 4'!$D$31&gt;0,'PyG 4'!$D$31*'Datos Básicos'!$C$39,0))</f>
        <v>0</v>
      </c>
      <c r="N18" s="1682"/>
      <c r="O18" s="981" t="str">
        <f>IF(ABS(J18)&gt;0.01,(M18-J18)/J18,"")</f>
        <v/>
      </c>
    </row>
    <row r="19" spans="1:15" s="34" customFormat="1" ht="18" customHeight="1">
      <c r="A19" s="1686" t="s">
        <v>118</v>
      </c>
      <c r="B19" s="1687">
        <f>IF($D$17=-1,IF(AND(Isoc&lt;&gt;0,SUM(resprevio)&gt;0,'Financiación Inicial'!$B$12&gt;0),
          'Financiación Inicial'!$B$12*'Datos Básicos'!$C$39,   0),
    IF('PyG 0'!$J$31*'Datos Básicos'!$C$39-B18&gt;0,'PyG 0'!$J$31*'Datos Básicos'!$C$39-B18,0))</f>
        <v>0</v>
      </c>
      <c r="C19" s="982" t="str">
        <f>IF(B19&lt;&gt;0,B19/'PPyGG anuales'!B$29,"")</f>
        <v/>
      </c>
      <c r="D19" s="1688">
        <f>IF($D$17=-1,$B$15*'Datos Básicos'!$C$39,
    IF('PyG 1'!$J$31*'Datos Básicos'!$C$39-D18&gt;0,'PyG 1'!$J$31*'Datos Básicos'!$C$39-D18,0))</f>
        <v>0</v>
      </c>
      <c r="E19" s="1446" t="str">
        <f>IF(D19&lt;&gt;0,D19/'PPyGG anuales'!D$29,"")</f>
        <v/>
      </c>
      <c r="F19" s="978" t="str">
        <f>IF(ABS(B19)&gt;0.01,(D19-B19)/B19,"")</f>
        <v/>
      </c>
      <c r="G19" s="1687">
        <f>IF($D$17=-1,$D$15*'Datos Básicos'!$C$39,
    IF('PyG 2'!$J$31*'Datos Básicos'!$C$39-G18&gt;0,'PyG 2'!$J$31*'Datos Básicos'!$C$39-G18,0))</f>
        <v>0</v>
      </c>
      <c r="H19" s="1682"/>
      <c r="I19" s="981" t="str">
        <f>IF(ABS(D19)&gt;0.01,(G19-D19)/D19,"")</f>
        <v/>
      </c>
      <c r="J19" s="1688">
        <f>IF($D$17=-1,$G$15*'Datos Básicos'!$C$39,
    IF('PyG 3'!$J$31*'Datos Básicos'!$C$39-J18&gt;0,'PyG 3'!$J$31*'Datos Básicos'!$C$39-J18,0))</f>
        <v>0</v>
      </c>
      <c r="K19" s="1682"/>
      <c r="L19" s="978" t="str">
        <f>IF(ABS(G19)&gt;0.01,(J19-G19)/G19,"")</f>
        <v/>
      </c>
      <c r="M19" s="1687">
        <f>IF($D$17=-1,$J$15*'Datos Básicos'!$C$39,
    IF('PyG 4'!$J$31*'Datos Básicos'!$C$39-M18&gt;0,'PyG 4'!$J$31*'Datos Básicos'!$C$39-M18,0))</f>
        <v>0</v>
      </c>
      <c r="N19" s="1682"/>
      <c r="O19" s="981" t="str">
        <f>IF(ABS(J19)&gt;0.01,(M19-J19)/J19,"")</f>
        <v/>
      </c>
    </row>
    <row r="20" spans="1:15" s="34" customFormat="1" ht="18" customHeight="1">
      <c r="A20" s="1686" t="s">
        <v>119</v>
      </c>
      <c r="B20" s="1687">
        <f>IF($D$17=-1,B19,
IF('PyG 0'!$L$31*'Datos Básicos'!$C$39-B19-B18&gt;0,'PyG 0'!$L$31*'Datos Básicos'!$C$39-B19-B18,0))</f>
        <v>0</v>
      </c>
      <c r="C20" s="982" t="str">
        <f>IF(B20&lt;&gt;0,B20/'PPyGG anuales'!B$29,"")</f>
        <v/>
      </c>
      <c r="D20" s="1688">
        <f>IF($D$17=-1,D19,
IF('PyG 1'!$L$31*'Datos Básicos'!$C$39-D19-D18&gt;0,'PyG 1'!$L$31*'Datos Básicos'!$C$39-D19-D18,0))</f>
        <v>0</v>
      </c>
      <c r="E20" s="1446" t="str">
        <f>IF(D20&lt;&gt;0,D20/'PPyGG anuales'!D$29,"")</f>
        <v/>
      </c>
      <c r="F20" s="978" t="str">
        <f>IF(ABS(B20)&gt;0.01,(D20-B20)/B20,"")</f>
        <v/>
      </c>
      <c r="G20" s="1687">
        <f>IF($D$17=-1,G19,
IF('PyG 2'!$L$31*'Datos Básicos'!$C$39-G19-G18&gt;0,'PyG 2'!$L$31*'Datos Básicos'!$C$39-G19-G18,0))</f>
        <v>0</v>
      </c>
      <c r="H20" s="1682"/>
      <c r="I20" s="981" t="str">
        <f>IF(ABS(D20)&gt;0.01,(G20-D20)/D20,"")</f>
        <v/>
      </c>
      <c r="J20" s="1688">
        <f>IF($D$17=-1,J19,
IF('PyG 3'!$L$31*'Datos Básicos'!$C$39-J19-J18&gt;0,'PyG 3'!$L$31*'Datos Básicos'!$C$39-J19-J18,0))</f>
        <v>0</v>
      </c>
      <c r="K20" s="1682"/>
      <c r="L20" s="978" t="str">
        <f>IF(ABS(G20)&gt;0.01,(J20-G20)/G20,"")</f>
        <v/>
      </c>
      <c r="M20" s="1687">
        <f>IF($D$17=-1,M19,
IF('PyG 4'!$L$31*'Datos Básicos'!$C$39-M19-M18&gt;0,'PyG 4'!$L$31*'Datos Básicos'!$C$39-M19-M18,0))</f>
        <v>0</v>
      </c>
      <c r="N20" s="1682"/>
      <c r="O20" s="981" t="str">
        <f>IF(ABS(J20)&gt;0.01,(M20-J20)/J20,"")</f>
        <v/>
      </c>
    </row>
    <row r="21" spans="1:15" s="34" customFormat="1">
      <c r="A21" s="1689"/>
      <c r="B21" s="1680"/>
      <c r="C21" s="1681"/>
      <c r="D21" s="1679"/>
      <c r="E21" s="1682"/>
      <c r="F21" s="980"/>
      <c r="G21" s="1680"/>
      <c r="H21" s="1682"/>
      <c r="I21" s="979"/>
      <c r="J21" s="1679"/>
      <c r="K21" s="1682"/>
      <c r="L21" s="980"/>
      <c r="M21" s="1680"/>
      <c r="N21" s="1682"/>
      <c r="O21" s="979"/>
    </row>
    <row r="23" spans="1:15" s="34" customFormat="1" ht="21.75" customHeight="1">
      <c r="A23" s="960" t="s">
        <v>639</v>
      </c>
      <c r="B23" s="975">
        <f>B15-SUM(B18:B20)</f>
        <v>0</v>
      </c>
      <c r="C23" s="982" t="str">
        <f>IF(B23&lt;&gt;0,B23/'PPyGG anuales'!B$29,"")</f>
        <v/>
      </c>
      <c r="D23" s="983">
        <f>D15-SUM(D18:D20)</f>
        <v>0</v>
      </c>
      <c r="E23" s="1446" t="str">
        <f>IF(D23&lt;&gt;0,D23/'PPyGG anuales'!D$29,"")</f>
        <v/>
      </c>
      <c r="F23" s="1448" t="str">
        <f>IF(ABS(B23)&gt;0.01,(D23-B23)/B23,"")</f>
        <v/>
      </c>
      <c r="G23" s="975">
        <f>G15-SUM(G18:G20)</f>
        <v>0</v>
      </c>
      <c r="H23" s="1446" t="str">
        <f>IF(G23&lt;&gt;0,G23/'PPyGG anuales'!G$29,"")</f>
        <v/>
      </c>
      <c r="I23" s="981" t="str">
        <f>IF(ABS(D23)&gt;0.01,(G23-D23)/D23,"")</f>
        <v/>
      </c>
      <c r="J23" s="983">
        <f>J15-SUM(J18:J20)</f>
        <v>0</v>
      </c>
      <c r="K23" s="1446" t="str">
        <f>IF(J23&lt;&gt;0,J23/'PPyGG anuales'!J$29,"")</f>
        <v/>
      </c>
      <c r="L23" s="978" t="str">
        <f>IF(ABS(G23)&gt;0.01,(J23-G23)/G23,"")</f>
        <v/>
      </c>
      <c r="M23" s="975">
        <f>M15-SUM(M18:M20)</f>
        <v>0</v>
      </c>
      <c r="N23" s="1446" t="str">
        <f>IF(M23&lt;&gt;0,M23/'PPyGG anuales'!M$29,"")</f>
        <v/>
      </c>
      <c r="O23" s="981" t="str">
        <f>IF(ABS(J23)&gt;0.01,(M23-J23)/J23,"")</f>
        <v/>
      </c>
    </row>
    <row r="24" spans="1:15" s="34" customFormat="1" ht="21.75" customHeight="1">
      <c r="A24" s="960" t="s">
        <v>121</v>
      </c>
      <c r="B24" s="975">
        <f ca="1">'PPyGG anuales'!B29-B15</f>
        <v>2830.6903409090901</v>
      </c>
      <c r="C24" s="982">
        <f ca="1">IF(B24&lt;&gt;0,B24/'PPyGG anuales'!B$29,"")</f>
        <v>1</v>
      </c>
      <c r="D24" s="983">
        <f ca="1">'PPyGG anuales'!D29-D15</f>
        <v>11054.33340909091</v>
      </c>
      <c r="E24" s="1446">
        <f ca="1">IF(D24&lt;&gt;0,D24/'PPyGG anuales'!D$29,"")</f>
        <v>1</v>
      </c>
      <c r="F24" s="978">
        <f ca="1">IF(ABS(B24)&gt;0.01,(D24-B24)/B24,"")</f>
        <v>2.9051722646358971</v>
      </c>
      <c r="G24" s="975">
        <f ca="1">'PPyGG anuales'!G29-G15</f>
        <v>6260.5801204545478</v>
      </c>
      <c r="H24" s="1446">
        <f ca="1">IF(G24&lt;&gt;0,G24/'PPyGG anuales'!G$29,"")</f>
        <v>1</v>
      </c>
      <c r="I24" s="981">
        <f ca="1">IF(ABS(D24)&gt;0.01,(G24-D24)/D24,"")</f>
        <v>-0.43365376375332182</v>
      </c>
      <c r="J24" s="983">
        <f ca="1">'PPyGG anuales'!J29-J15</f>
        <v>7312.5205015227239</v>
      </c>
      <c r="K24" s="1446">
        <f ca="1">IF(J24&lt;&gt;0,J24/'PPyGG anuales'!J$29,"")</f>
        <v>1</v>
      </c>
      <c r="L24" s="978">
        <f ca="1">IF(ABS(G24)&gt;0.01,(J24-G24)/G24,"")</f>
        <v>0.16802602328037936</v>
      </c>
      <c r="M24" s="975">
        <f ca="1">'PPyGG anuales'!M29-M15</f>
        <v>7921.784013121136</v>
      </c>
      <c r="N24" s="1446">
        <f ca="1">IF(M24&lt;&gt;0,M24/'PPyGG anuales'!M$29,"")</f>
        <v>1</v>
      </c>
      <c r="O24" s="981">
        <f ca="1">IF(ABS(J24)&gt;0.01,(M24-J24)/J24,"")</f>
        <v>8.3317853464006303E-2</v>
      </c>
    </row>
    <row r="25" spans="1:15" s="34" customFormat="1" ht="21.75" customHeight="1" thickBot="1">
      <c r="A25" s="961" t="s">
        <v>122</v>
      </c>
      <c r="B25" s="2425">
        <f>(1-Isoc)*B12+(1-'Datos Básicos'!$C$37)*B13
+IF(SUM(resprevio)&gt;0,SUM(resprevio),0)*0</f>
        <v>0</v>
      </c>
      <c r="C25" s="1447" t="str">
        <f>IF(B25&lt;&gt;0,B25/'PPyGG anuales'!B$29,"")</f>
        <v/>
      </c>
      <c r="D25" s="984">
        <f>(1-Isoc)*D12+(1-'Datos Básicos'!$C$37)*D13</f>
        <v>0</v>
      </c>
      <c r="E25" s="1424" t="str">
        <f>IF(D25&lt;&gt;0,D25/'PPyGG anuales'!D$29,"")</f>
        <v/>
      </c>
      <c r="F25" s="985" t="str">
        <f>IF(ABS(B25)&gt;0.01,(D25-B25)/B25,"")</f>
        <v/>
      </c>
      <c r="G25" s="986">
        <f>(1-Isoc)*G12+(1-'Datos Básicos'!$C$37)*G13</f>
        <v>0</v>
      </c>
      <c r="H25" s="1424" t="str">
        <f>IF(G25&lt;&gt;0,G25/'PPyGG anuales'!G$29,"")</f>
        <v/>
      </c>
      <c r="I25" s="987" t="str">
        <f>IF(ABS(D25)&gt;0.01,(G25-D25)/D25,"")</f>
        <v/>
      </c>
      <c r="J25" s="984">
        <f>(1-Isoc)*J12+(1-'Datos Básicos'!$C$37)*J13</f>
        <v>0</v>
      </c>
      <c r="K25" s="1424" t="str">
        <f>IF(J25&lt;&gt;0,J25/'PPyGG anuales'!J$29,"")</f>
        <v/>
      </c>
      <c r="L25" s="985" t="str">
        <f>IF(ABS(G25)&gt;0.01,(J25-G25)/G25,"")</f>
        <v/>
      </c>
      <c r="M25" s="986">
        <f>(1-Isoc)*M12+(1-'Datos Básicos'!$C$37)*M13</f>
        <v>0</v>
      </c>
      <c r="N25" s="1424" t="str">
        <f>IF(M25&lt;&gt;0,M25/'PPyGG anuales'!M$29,"")</f>
        <v/>
      </c>
      <c r="O25" s="987" t="str">
        <f>IF(ABS(J25)&gt;0.01,(M25-J25)/J25,"")</f>
        <v/>
      </c>
    </row>
    <row r="27" spans="1:15">
      <c r="A27" s="23" t="str">
        <f>IF(mes0=1,"",CONCATENATE("(Sólo ",12-mes0+1," meses de actividad en año 0: ",B6,")"))</f>
        <v/>
      </c>
    </row>
    <row r="29" spans="1:15" ht="23.25" thickBot="1">
      <c r="A29" s="450" t="s">
        <v>544</v>
      </c>
      <c r="D29" s="161"/>
    </row>
    <row r="30" spans="1:15" s="34" customFormat="1" ht="19.5" customHeight="1" thickBot="1">
      <c r="A30" s="988"/>
      <c r="B30" s="993" t="str">
        <f>B6</f>
        <v>2026</v>
      </c>
      <c r="C30" s="1690" t="s">
        <v>115</v>
      </c>
      <c r="D30" s="989" t="str">
        <f>D6</f>
        <v>2027</v>
      </c>
      <c r="E30" s="1691" t="s">
        <v>115</v>
      </c>
      <c r="F30" s="1692" t="s">
        <v>38</v>
      </c>
      <c r="G30" s="991" t="str">
        <f>G6</f>
        <v>2028</v>
      </c>
      <c r="H30" s="1691" t="s">
        <v>115</v>
      </c>
      <c r="I30" s="1693" t="s">
        <v>38</v>
      </c>
      <c r="J30" s="993" t="str">
        <f>J6</f>
        <v>2029</v>
      </c>
      <c r="K30" s="1691" t="s">
        <v>115</v>
      </c>
      <c r="L30" s="1693" t="s">
        <v>38</v>
      </c>
      <c r="M30" s="989" t="str">
        <f>M6</f>
        <v>2030</v>
      </c>
      <c r="N30" s="1691" t="s">
        <v>115</v>
      </c>
      <c r="O30" s="1692" t="s">
        <v>38</v>
      </c>
    </row>
    <row r="31" spans="1:15" s="34" customFormat="1" ht="21" customHeight="1">
      <c r="A31" s="1567" t="s">
        <v>113</v>
      </c>
      <c r="B31" s="1416">
        <f>B$25*Parametros!C42</f>
        <v>0</v>
      </c>
      <c r="C31" s="1417" t="str">
        <f>IF(B31&lt;&gt;0,B31/B$25,"")</f>
        <v/>
      </c>
      <c r="D31" s="1416">
        <f>D$25*Parametros!D42</f>
        <v>0</v>
      </c>
      <c r="E31" s="1418" t="str">
        <f>IF(D31&lt;&gt;0,D31/D$25,"")</f>
        <v/>
      </c>
      <c r="F31" s="1419" t="str">
        <f>IF(B31&lt;&gt;0,(D31-B31)/B31,"")</f>
        <v/>
      </c>
      <c r="G31" s="1420">
        <f>G$25*Parametros!E42</f>
        <v>0</v>
      </c>
      <c r="H31" s="1418" t="str">
        <f>IF(G31&lt;&gt;0,G31/G$25,"")</f>
        <v/>
      </c>
      <c r="I31" s="1421" t="str">
        <f>IF(D31&lt;&gt;0,(G31-D31)/D31,"")</f>
        <v/>
      </c>
      <c r="J31" s="1416">
        <f>J$25*Parametros!F42</f>
        <v>0</v>
      </c>
      <c r="K31" s="1418" t="str">
        <f>IF(J31&lt;&gt;0,J31/J$25,"")</f>
        <v/>
      </c>
      <c r="L31" s="1421" t="str">
        <f>IF(G31&lt;&gt;0,(J31-G31)/G31,"")</f>
        <v/>
      </c>
      <c r="M31" s="1416">
        <f>M$25*Parametros!G42</f>
        <v>0</v>
      </c>
      <c r="N31" s="1418" t="str">
        <f>IF(M31&lt;&gt;0,M31/M$25,"")</f>
        <v/>
      </c>
      <c r="O31" s="1419" t="str">
        <f>IF(J31&lt;&gt;0,(M31-J31)/J31,"")</f>
        <v/>
      </c>
    </row>
    <row r="32" spans="1:15" s="34" customFormat="1" ht="21" customHeight="1" thickBot="1">
      <c r="A32" s="1568" t="s">
        <v>114</v>
      </c>
      <c r="B32" s="1422">
        <f>B$25*Parametros!C43</f>
        <v>0</v>
      </c>
      <c r="C32" s="1423" t="str">
        <f>IF(B32&lt;&gt;0,B32/B$25,"")</f>
        <v/>
      </c>
      <c r="D32" s="1422">
        <f>D$25*Parametros!D43</f>
        <v>0</v>
      </c>
      <c r="E32" s="1424" t="str">
        <f>IF(D32&lt;&gt;0,D32/D$25,"")</f>
        <v/>
      </c>
      <c r="F32" s="1425" t="str">
        <f>IF(B32&lt;&gt;0,(D32-B32)/B32,"")</f>
        <v/>
      </c>
      <c r="G32" s="1426">
        <f>G$25*Parametros!E43</f>
        <v>0</v>
      </c>
      <c r="H32" s="1424" t="str">
        <f>IF(G32&lt;&gt;0,G32/G$25,"")</f>
        <v/>
      </c>
      <c r="I32" s="1427" t="str">
        <f>IF(D32&lt;&gt;0,(G32-D32)/D32,"")</f>
        <v/>
      </c>
      <c r="J32" s="1422">
        <f>J$25*Parametros!F43</f>
        <v>0</v>
      </c>
      <c r="K32" s="1424" t="str">
        <f>IF(J32&lt;&gt;0,J32/J$25,"")</f>
        <v/>
      </c>
      <c r="L32" s="1427" t="str">
        <f>IF(G32&lt;&gt;0,(J32-G32)/G32,"")</f>
        <v/>
      </c>
      <c r="M32" s="1422">
        <f>M$25*Parametros!G43</f>
        <v>0</v>
      </c>
      <c r="N32" s="1424" t="str">
        <f>IF(M32&lt;&gt;0,M32/M$25,"")</f>
        <v/>
      </c>
      <c r="O32" s="1425" t="str">
        <f>IF(J32&lt;&gt;0,(M32-J32)/J32,"")</f>
        <v/>
      </c>
    </row>
    <row r="35" spans="1:1">
      <c r="A35" s="20" t="str">
        <f>CONCATENATE("Todas las cantidades están expresadas en ",Parametros!$G$11)</f>
        <v>Todas las cantidades están expresadas en Euros</v>
      </c>
    </row>
  </sheetData>
  <sheetProtection sheet="1" objects="1" scenarios="1"/>
  <phoneticPr fontId="6" type="noConversion"/>
  <printOptions horizontalCentered="1" verticalCentered="1"/>
  <pageMargins left="0.55118110236220474" right="0.75" top="0.52" bottom="1" header="0" footer="0"/>
  <pageSetup paperSize="9" scale="68" orientation="landscape" r:id="rId1"/>
  <headerFooter alignWithMargins="0"/>
  <legacy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20">
    <tabColor indexed="42"/>
    <pageSetUpPr fitToPage="1"/>
  </sheetPr>
  <dimension ref="A1:S57"/>
  <sheetViews>
    <sheetView workbookViewId="0"/>
  </sheetViews>
  <sheetFormatPr baseColWidth="10" defaultColWidth="11" defaultRowHeight="12.75"/>
  <cols>
    <col min="1" max="1" width="26.375" style="279" customWidth="1"/>
    <col min="2" max="2" width="9.75" style="281" customWidth="1"/>
    <col min="3" max="3" width="10.5" style="87" customWidth="1"/>
    <col min="4" max="8" width="11.75" style="87" customWidth="1"/>
    <col min="9" max="13" width="11.5" style="87" customWidth="1"/>
    <col min="14" max="14" width="10.125" style="87" customWidth="1"/>
    <col min="15" max="15" width="9.5" style="279" customWidth="1"/>
    <col min="16" max="16384" width="11" style="87"/>
  </cols>
  <sheetData>
    <row r="1" spans="1:15" ht="25.5">
      <c r="A1" s="956" t="s">
        <v>106</v>
      </c>
      <c r="B1" s="1071"/>
      <c r="E1" s="450" t="str">
        <f>Parametros!B$77</f>
        <v>Año 0:  2026</v>
      </c>
      <c r="F1" s="296"/>
      <c r="M1" s="1072"/>
      <c r="O1" s="87"/>
    </row>
    <row r="2" spans="1:15" s="543" customFormat="1" ht="25.5">
      <c r="A2" s="164" t="str">
        <f>'Datos Básicos'!B9</f>
        <v>nombre empresa</v>
      </c>
      <c r="B2" s="1071"/>
      <c r="D2" s="1073"/>
      <c r="E2" s="161"/>
    </row>
    <row r="3" spans="1:15" ht="21" customHeight="1">
      <c r="A3" s="87"/>
      <c r="B3" s="1058"/>
      <c r="O3" s="87"/>
    </row>
    <row r="4" spans="1:15" ht="25.5">
      <c r="A4" s="164" t="str">
        <f>"Ventas ("&amp;'Datos Básicos'!$A$28&amp;" incl.)"</f>
        <v>Ventas (IVA incl.)</v>
      </c>
      <c r="B4" s="1058"/>
      <c r="E4" s="165"/>
      <c r="F4" s="165"/>
      <c r="O4" s="87"/>
    </row>
    <row r="5" spans="1:15" ht="5.25" customHeight="1" thickBot="1"/>
    <row r="6" spans="1:15" s="1054" customFormat="1" ht="16.149999999999999" customHeight="1" thickBot="1">
      <c r="A6" s="167" t="s">
        <v>68</v>
      </c>
      <c r="B6" s="2714" t="str">
        <f t="array" ref="B6:M6">meses</f>
        <v>enero</v>
      </c>
      <c r="C6" s="2715" t="str">
        <v>febrero</v>
      </c>
      <c r="D6" s="2715" t="str">
        <v>marzo</v>
      </c>
      <c r="E6" s="2715" t="str">
        <v>abril</v>
      </c>
      <c r="F6" s="2715" t="str">
        <v>mayo</v>
      </c>
      <c r="G6" s="2715" t="str">
        <v>junio</v>
      </c>
      <c r="H6" s="2715" t="str">
        <v>julio</v>
      </c>
      <c r="I6" s="2715" t="str">
        <v>agosto</v>
      </c>
      <c r="J6" s="2715" t="str">
        <v>septiembre</v>
      </c>
      <c r="K6" s="2715" t="str">
        <v>octubre</v>
      </c>
      <c r="L6" s="2715" t="str">
        <v>noviembre</v>
      </c>
      <c r="M6" s="2715" t="str">
        <v>diciembre</v>
      </c>
      <c r="N6" s="2715" t="s">
        <v>11</v>
      </c>
    </row>
    <row r="7" spans="1:15" s="550" customFormat="1" ht="16.149999999999999" customHeight="1">
      <c r="A7" s="2100" t="str">
        <f t="array" ref="A7:A14">productos</f>
        <v>producto o servicio</v>
      </c>
      <c r="B7" s="1055">
        <f t="array" aca="1" ref="B7:M14" ca="1">'Prev.Ventas 0'!B17:M24*(1+Parametros!$E24:$E31 - ret_irpf  )</f>
        <v>2117.5</v>
      </c>
      <c r="C7" s="1055">
        <f ca="1"/>
        <v>2263.4791666666665</v>
      </c>
      <c r="D7" s="1055">
        <f ca="1"/>
        <v>2486.4583333333335</v>
      </c>
      <c r="E7" s="1055">
        <f ca="1"/>
        <v>2613.1875</v>
      </c>
      <c r="F7" s="1055">
        <f ca="1"/>
        <v>2547.4166666666661</v>
      </c>
      <c r="G7" s="1055">
        <f ca="1"/>
        <v>2558.645833333333</v>
      </c>
      <c r="H7" s="1055">
        <f ca="1"/>
        <v>2531.375</v>
      </c>
      <c r="I7" s="1055">
        <f ca="1"/>
        <v>2061.3541666666665</v>
      </c>
      <c r="J7" s="1055">
        <f ca="1"/>
        <v>2669.333333333333</v>
      </c>
      <c r="K7" s="1055">
        <f ca="1"/>
        <v>3258.0624999999995</v>
      </c>
      <c r="L7" s="1055">
        <f ca="1"/>
        <v>3577.2916666666661</v>
      </c>
      <c r="M7" s="1055">
        <f ca="1"/>
        <v>4570.270833333333</v>
      </c>
      <c r="N7" s="2101">
        <f t="shared" ref="N7:N14" ca="1" si="0">SUM(B7:M7)</f>
        <v>33254.375</v>
      </c>
    </row>
    <row r="8" spans="1:15" s="550" customFormat="1" ht="16.149999999999999" customHeight="1">
      <c r="A8" s="2102" t="str">
        <v/>
      </c>
      <c r="B8" s="1055">
        <f ca="1"/>
        <v>0</v>
      </c>
      <c r="C8" s="1055">
        <f ca="1"/>
        <v>0</v>
      </c>
      <c r="D8" s="1055">
        <f ca="1"/>
        <v>0</v>
      </c>
      <c r="E8" s="1055">
        <f ca="1"/>
        <v>0</v>
      </c>
      <c r="F8" s="1055">
        <f ca="1"/>
        <v>0</v>
      </c>
      <c r="G8" s="1055">
        <f ca="1"/>
        <v>0</v>
      </c>
      <c r="H8" s="1055">
        <f ca="1"/>
        <v>0</v>
      </c>
      <c r="I8" s="1055">
        <f ca="1"/>
        <v>0</v>
      </c>
      <c r="J8" s="1055">
        <f ca="1"/>
        <v>0</v>
      </c>
      <c r="K8" s="1055">
        <f ca="1"/>
        <v>0</v>
      </c>
      <c r="L8" s="1055">
        <f ca="1"/>
        <v>0</v>
      </c>
      <c r="M8" s="1055">
        <f ca="1"/>
        <v>0</v>
      </c>
      <c r="N8" s="2101">
        <f t="shared" ca="1" si="0"/>
        <v>0</v>
      </c>
    </row>
    <row r="9" spans="1:15" s="550" customFormat="1" ht="16.149999999999999" customHeight="1">
      <c r="A9" s="2102" t="str">
        <v/>
      </c>
      <c r="B9" s="1055">
        <f ca="1"/>
        <v>0</v>
      </c>
      <c r="C9" s="1055">
        <f ca="1"/>
        <v>0</v>
      </c>
      <c r="D9" s="1055">
        <f ca="1"/>
        <v>0</v>
      </c>
      <c r="E9" s="1055">
        <f ca="1"/>
        <v>0</v>
      </c>
      <c r="F9" s="1055">
        <f ca="1"/>
        <v>0</v>
      </c>
      <c r="G9" s="1055">
        <f ca="1"/>
        <v>0</v>
      </c>
      <c r="H9" s="1055">
        <f ca="1"/>
        <v>0</v>
      </c>
      <c r="I9" s="1055">
        <f ca="1"/>
        <v>0</v>
      </c>
      <c r="J9" s="1055">
        <f ca="1"/>
        <v>0</v>
      </c>
      <c r="K9" s="1055">
        <f ca="1"/>
        <v>0</v>
      </c>
      <c r="L9" s="1055">
        <f ca="1"/>
        <v>0</v>
      </c>
      <c r="M9" s="1055">
        <f ca="1"/>
        <v>0</v>
      </c>
      <c r="N9" s="2101">
        <f t="shared" ca="1" si="0"/>
        <v>0</v>
      </c>
    </row>
    <row r="10" spans="1:15" s="550" customFormat="1" ht="16.149999999999999" customHeight="1">
      <c r="A10" s="2102" t="str">
        <v/>
      </c>
      <c r="B10" s="1055">
        <f ca="1"/>
        <v>0</v>
      </c>
      <c r="C10" s="1055">
        <f ca="1"/>
        <v>0</v>
      </c>
      <c r="D10" s="1055">
        <f ca="1"/>
        <v>0</v>
      </c>
      <c r="E10" s="1055">
        <f ca="1"/>
        <v>0</v>
      </c>
      <c r="F10" s="1055">
        <f ca="1"/>
        <v>0</v>
      </c>
      <c r="G10" s="1055">
        <f ca="1"/>
        <v>0</v>
      </c>
      <c r="H10" s="1055">
        <f ca="1"/>
        <v>0</v>
      </c>
      <c r="I10" s="1055">
        <f ca="1"/>
        <v>0</v>
      </c>
      <c r="J10" s="1055">
        <f ca="1"/>
        <v>0</v>
      </c>
      <c r="K10" s="1055">
        <f ca="1"/>
        <v>0</v>
      </c>
      <c r="L10" s="1055">
        <f ca="1"/>
        <v>0</v>
      </c>
      <c r="M10" s="1055">
        <f ca="1"/>
        <v>0</v>
      </c>
      <c r="N10" s="2101">
        <f t="shared" ca="1" si="0"/>
        <v>0</v>
      </c>
    </row>
    <row r="11" spans="1:15" s="550" customFormat="1" ht="16.149999999999999" customHeight="1">
      <c r="A11" s="2102" t="str">
        <v/>
      </c>
      <c r="B11" s="1055">
        <f ca="1"/>
        <v>0</v>
      </c>
      <c r="C11" s="1055">
        <f ca="1"/>
        <v>0</v>
      </c>
      <c r="D11" s="1055">
        <f ca="1"/>
        <v>0</v>
      </c>
      <c r="E11" s="1055">
        <f ca="1"/>
        <v>0</v>
      </c>
      <c r="F11" s="1055">
        <f ca="1"/>
        <v>0</v>
      </c>
      <c r="G11" s="1055">
        <f ca="1"/>
        <v>0</v>
      </c>
      <c r="H11" s="1055">
        <f ca="1"/>
        <v>0</v>
      </c>
      <c r="I11" s="1055">
        <f ca="1"/>
        <v>0</v>
      </c>
      <c r="J11" s="1055">
        <f ca="1"/>
        <v>0</v>
      </c>
      <c r="K11" s="1055">
        <f ca="1"/>
        <v>0</v>
      </c>
      <c r="L11" s="1055">
        <f ca="1"/>
        <v>0</v>
      </c>
      <c r="M11" s="1055">
        <f ca="1"/>
        <v>0</v>
      </c>
      <c r="N11" s="2101">
        <f t="shared" ca="1" si="0"/>
        <v>0</v>
      </c>
    </row>
    <row r="12" spans="1:15" s="550" customFormat="1" ht="16.149999999999999" customHeight="1">
      <c r="A12" s="2102" t="str">
        <v/>
      </c>
      <c r="B12" s="1055">
        <f ca="1"/>
        <v>0</v>
      </c>
      <c r="C12" s="1055">
        <f ca="1"/>
        <v>0</v>
      </c>
      <c r="D12" s="1055">
        <f ca="1"/>
        <v>0</v>
      </c>
      <c r="E12" s="1055">
        <f ca="1"/>
        <v>0</v>
      </c>
      <c r="F12" s="1055">
        <f ca="1"/>
        <v>0</v>
      </c>
      <c r="G12" s="1055">
        <f ca="1"/>
        <v>0</v>
      </c>
      <c r="H12" s="1055">
        <f ca="1"/>
        <v>0</v>
      </c>
      <c r="I12" s="1055">
        <f ca="1"/>
        <v>0</v>
      </c>
      <c r="J12" s="1055">
        <f ca="1"/>
        <v>0</v>
      </c>
      <c r="K12" s="1055">
        <f ca="1"/>
        <v>0</v>
      </c>
      <c r="L12" s="1055">
        <f ca="1"/>
        <v>0</v>
      </c>
      <c r="M12" s="1055">
        <f ca="1"/>
        <v>0</v>
      </c>
      <c r="N12" s="2101">
        <f t="shared" ca="1" si="0"/>
        <v>0</v>
      </c>
    </row>
    <row r="13" spans="1:15" s="550" customFormat="1" ht="16.149999999999999" customHeight="1">
      <c r="A13" s="2102" t="str">
        <v/>
      </c>
      <c r="B13" s="1055">
        <f ca="1"/>
        <v>0</v>
      </c>
      <c r="C13" s="1055">
        <f ca="1"/>
        <v>0</v>
      </c>
      <c r="D13" s="1055">
        <f ca="1"/>
        <v>0</v>
      </c>
      <c r="E13" s="1055">
        <f ca="1"/>
        <v>0</v>
      </c>
      <c r="F13" s="1055">
        <f ca="1"/>
        <v>0</v>
      </c>
      <c r="G13" s="1055">
        <f ca="1"/>
        <v>0</v>
      </c>
      <c r="H13" s="1055">
        <f ca="1"/>
        <v>0</v>
      </c>
      <c r="I13" s="1055">
        <f ca="1"/>
        <v>0</v>
      </c>
      <c r="J13" s="1055">
        <f ca="1"/>
        <v>0</v>
      </c>
      <c r="K13" s="1055">
        <f ca="1"/>
        <v>0</v>
      </c>
      <c r="L13" s="1055">
        <f ca="1"/>
        <v>0</v>
      </c>
      <c r="M13" s="1055">
        <f ca="1"/>
        <v>0</v>
      </c>
      <c r="N13" s="2101">
        <f t="shared" ca="1" si="0"/>
        <v>0</v>
      </c>
    </row>
    <row r="14" spans="1:15" s="550" customFormat="1" ht="16.149999999999999" customHeight="1" thickBot="1">
      <c r="A14" s="2103" t="str">
        <v/>
      </c>
      <c r="B14" s="1056">
        <f ca="1"/>
        <v>0</v>
      </c>
      <c r="C14" s="1056">
        <f ca="1"/>
        <v>0</v>
      </c>
      <c r="D14" s="1056">
        <f ca="1"/>
        <v>0</v>
      </c>
      <c r="E14" s="1056">
        <f ca="1"/>
        <v>0</v>
      </c>
      <c r="F14" s="1056">
        <f ca="1"/>
        <v>0</v>
      </c>
      <c r="G14" s="1056">
        <f ca="1"/>
        <v>0</v>
      </c>
      <c r="H14" s="1056">
        <f ca="1"/>
        <v>0</v>
      </c>
      <c r="I14" s="1056">
        <f ca="1"/>
        <v>0</v>
      </c>
      <c r="J14" s="1056">
        <f ca="1"/>
        <v>0</v>
      </c>
      <c r="K14" s="1056">
        <f ca="1"/>
        <v>0</v>
      </c>
      <c r="L14" s="1056">
        <f ca="1"/>
        <v>0</v>
      </c>
      <c r="M14" s="1056">
        <f ca="1"/>
        <v>0</v>
      </c>
      <c r="N14" s="2101">
        <f t="shared" ca="1" si="0"/>
        <v>0</v>
      </c>
    </row>
    <row r="15" spans="1:15" s="550" customFormat="1" ht="16.149999999999999" customHeight="1" thickBot="1">
      <c r="A15" s="167" t="s">
        <v>11</v>
      </c>
      <c r="B15" s="2718">
        <f t="shared" ref="B15:N15" ca="1" si="1">SUM(B7:B14)</f>
        <v>2117.5</v>
      </c>
      <c r="C15" s="2718">
        <f t="shared" ca="1" si="1"/>
        <v>2263.4791666666665</v>
      </c>
      <c r="D15" s="2718">
        <f t="shared" ca="1" si="1"/>
        <v>2486.4583333333335</v>
      </c>
      <c r="E15" s="2718">
        <f t="shared" ca="1" si="1"/>
        <v>2613.1875</v>
      </c>
      <c r="F15" s="2718">
        <f t="shared" ca="1" si="1"/>
        <v>2547.4166666666661</v>
      </c>
      <c r="G15" s="2718">
        <f t="shared" ca="1" si="1"/>
        <v>2558.645833333333</v>
      </c>
      <c r="H15" s="2718">
        <f t="shared" ca="1" si="1"/>
        <v>2531.375</v>
      </c>
      <c r="I15" s="2718">
        <f t="shared" ca="1" si="1"/>
        <v>2061.3541666666665</v>
      </c>
      <c r="J15" s="2718">
        <f t="shared" ca="1" si="1"/>
        <v>2669.333333333333</v>
      </c>
      <c r="K15" s="2718">
        <f t="shared" ca="1" si="1"/>
        <v>3258.0624999999995</v>
      </c>
      <c r="L15" s="2718">
        <f t="shared" ca="1" si="1"/>
        <v>3577.2916666666661</v>
      </c>
      <c r="M15" s="2718">
        <f t="shared" ca="1" si="1"/>
        <v>4570.270833333333</v>
      </c>
      <c r="N15" s="2718">
        <f t="shared" ca="1" si="1"/>
        <v>33254.375</v>
      </c>
    </row>
    <row r="16" spans="1:15" s="550" customFormat="1" ht="16.149999999999999" customHeight="1">
      <c r="A16" s="24"/>
    </row>
    <row r="17" spans="1:19" s="326" customFormat="1" ht="22.5">
      <c r="A17" s="326" t="s">
        <v>91</v>
      </c>
      <c r="B17" s="165"/>
      <c r="E17" s="165"/>
      <c r="F17" s="165"/>
    </row>
    <row r="18" spans="1:19" ht="16.5" customHeight="1" thickBot="1">
      <c r="A18" s="87"/>
      <c r="B18" s="87"/>
      <c r="O18" s="87"/>
      <c r="P18" s="1057" t="s">
        <v>245</v>
      </c>
      <c r="Q18" s="1075" t="str">
        <f>Parametros!E65</f>
        <v>2027</v>
      </c>
    </row>
    <row r="19" spans="1:19" s="1054" customFormat="1" ht="28.5" customHeight="1" thickBot="1">
      <c r="A19" s="167" t="s">
        <v>69</v>
      </c>
      <c r="B19" s="2716" t="str">
        <f t="array" ref="B19:M19">'Estimaciones Ventas'!B5:M5</f>
        <v>enero 
2026</v>
      </c>
      <c r="C19" s="2716" t="str">
        <v>febrero 
2026</v>
      </c>
      <c r="D19" s="2716" t="str">
        <v>marzo 
2026</v>
      </c>
      <c r="E19" s="2716" t="str">
        <v>abril 
2026</v>
      </c>
      <c r="F19" s="2716" t="str">
        <v>mayo 
2026</v>
      </c>
      <c r="G19" s="2716" t="str">
        <v>junio 
2026</v>
      </c>
      <c r="H19" s="2716" t="str">
        <v>julio 
2026</v>
      </c>
      <c r="I19" s="2716" t="str">
        <v>agosto 
2026</v>
      </c>
      <c r="J19" s="2716" t="str">
        <v>septiembre 
2026</v>
      </c>
      <c r="K19" s="2716" t="str">
        <v>octubre 
2026</v>
      </c>
      <c r="L19" s="2716" t="str">
        <v>noviembre 
2026</v>
      </c>
      <c r="M19" s="2716" t="str">
        <v>diciembre 
2026</v>
      </c>
      <c r="N19" s="2716" t="str">
        <f t="array" ref="N19:S19">'Cobros y pagos 1'!B19:G19</f>
        <v>enero 
2027</v>
      </c>
      <c r="O19" s="2716" t="str">
        <v>febrero 
2027</v>
      </c>
      <c r="P19" s="2716" t="str">
        <v>marzo 
2027</v>
      </c>
      <c r="Q19" s="2716" t="str">
        <v>abril 
2027</v>
      </c>
      <c r="R19" s="2716" t="str">
        <v>mayo 
2027</v>
      </c>
      <c r="S19" s="2716" t="str">
        <v>junio 
2027</v>
      </c>
    </row>
    <row r="20" spans="1:19" s="543" customFormat="1" ht="16.149999999999999" customHeight="1">
      <c r="A20" s="2097" t="s">
        <v>70</v>
      </c>
      <c r="B20" s="1059">
        <f t="array" aca="1" ref="B20" ca="1">SUM('Politicas Cobros y Pagos'!$B$7:$B$14*B7:B14)</f>
        <v>2117.5</v>
      </c>
      <c r="C20" s="1059">
        <f t="array" aca="1" ref="C20" ca="1">SUM('Politicas Cobros y Pagos'!$B$7:$B$14*C7:C14)</f>
        <v>2263.4791666666665</v>
      </c>
      <c r="D20" s="1059">
        <f t="array" aca="1" ref="D20" ca="1">SUM('Politicas Cobros y Pagos'!$B$7:$B$14*D7:D14)</f>
        <v>2486.4583333333335</v>
      </c>
      <c r="E20" s="1059">
        <f t="array" aca="1" ref="E20" ca="1">SUM('Politicas Cobros y Pagos'!$B$7:$B$14*E7:E14)</f>
        <v>2613.1875</v>
      </c>
      <c r="F20" s="1059">
        <f t="array" aca="1" ref="F20" ca="1">SUM('Politicas Cobros y Pagos'!$B$7:$B$14*F7:F14)</f>
        <v>2547.4166666666661</v>
      </c>
      <c r="G20" s="1059">
        <f t="array" aca="1" ref="G20" ca="1">SUM('Politicas Cobros y Pagos'!$B$7:$B$14*G7:G14)</f>
        <v>2558.645833333333</v>
      </c>
      <c r="H20" s="1059">
        <f t="array" aca="1" ref="H20" ca="1">SUM('Politicas Cobros y Pagos'!$B$7:$B$14*H7:H14)</f>
        <v>2531.375</v>
      </c>
      <c r="I20" s="1059">
        <f t="array" aca="1" ref="I20" ca="1">SUM('Politicas Cobros y Pagos'!$B$7:$B$14*I7:I14)</f>
        <v>2061.3541666666665</v>
      </c>
      <c r="J20" s="1059">
        <f t="array" aca="1" ref="J20" ca="1">SUM('Politicas Cobros y Pagos'!$B$7:$B$14*J7:J14)</f>
        <v>2669.333333333333</v>
      </c>
      <c r="K20" s="1059">
        <f t="array" aca="1" ref="K20" ca="1">SUM('Politicas Cobros y Pagos'!$B$7:$B$14*K7:K14)</f>
        <v>3258.0624999999995</v>
      </c>
      <c r="L20" s="1059">
        <f t="array" aca="1" ref="L20" ca="1">SUM('Politicas Cobros y Pagos'!$B$7:$B$14*L7:L14)</f>
        <v>3577.2916666666661</v>
      </c>
      <c r="M20" s="1059">
        <f t="array" aca="1" ref="M20" ca="1">SUM('Politicas Cobros y Pagos'!$B$7:$B$14*M7:M14)</f>
        <v>4570.270833333333</v>
      </c>
      <c r="N20" s="1059"/>
      <c r="O20" s="1059"/>
      <c r="P20" s="1059"/>
      <c r="Q20" s="1059"/>
      <c r="R20" s="1059"/>
      <c r="S20" s="1059"/>
    </row>
    <row r="21" spans="1:19" s="550" customFormat="1" ht="16.149999999999999" customHeight="1">
      <c r="A21" s="2098">
        <v>30</v>
      </c>
      <c r="B21" s="1060"/>
      <c r="C21" s="1059">
        <f t="array" aca="1" ref="C21" ca="1">SUM('Politicas Cobros y Pagos'!$C$7:$C$14*B$7:B$14)</f>
        <v>0</v>
      </c>
      <c r="D21" s="1059">
        <f t="array" aca="1" ref="D21" ca="1">SUM('Politicas Cobros y Pagos'!$C$7:$C$14*C$7:C$14)</f>
        <v>0</v>
      </c>
      <c r="E21" s="1059">
        <f t="array" aca="1" ref="E21" ca="1">SUM('Politicas Cobros y Pagos'!$C$7:$C$14*D$7:D$14)</f>
        <v>0</v>
      </c>
      <c r="F21" s="1059">
        <f t="array" aca="1" ref="F21" ca="1">SUM('Politicas Cobros y Pagos'!$C$7:$C$14*E$7:E$14)</f>
        <v>0</v>
      </c>
      <c r="G21" s="1059">
        <f t="array" aca="1" ref="G21" ca="1">SUM('Politicas Cobros y Pagos'!$C$7:$C$14*F$7:F$14)</f>
        <v>0</v>
      </c>
      <c r="H21" s="1059">
        <f t="array" aca="1" ref="H21" ca="1">SUM('Politicas Cobros y Pagos'!$C$7:$C$14*G$7:G$14)</f>
        <v>0</v>
      </c>
      <c r="I21" s="1059">
        <f t="array" aca="1" ref="I21" ca="1">SUM('Politicas Cobros y Pagos'!$C$7:$C$14*H$7:H$14)</f>
        <v>0</v>
      </c>
      <c r="J21" s="1059">
        <f t="array" aca="1" ref="J21" ca="1">SUM('Politicas Cobros y Pagos'!$C$7:$C$14*I$7:I$14)</f>
        <v>0</v>
      </c>
      <c r="K21" s="1059">
        <f t="array" aca="1" ref="K21" ca="1">SUM('Politicas Cobros y Pagos'!$C$7:$C$14*J$7:J$14)</f>
        <v>0</v>
      </c>
      <c r="L21" s="1059">
        <f t="array" aca="1" ref="L21" ca="1">SUM('Politicas Cobros y Pagos'!$C$7:$C$14*K$7:K$14)</f>
        <v>0</v>
      </c>
      <c r="M21" s="1059">
        <f t="array" aca="1" ref="M21" ca="1">SUM('Politicas Cobros y Pagos'!$C$7:$C$14*L$7:L$14)</f>
        <v>0</v>
      </c>
      <c r="N21" s="1059">
        <f t="array" aca="1" ref="N21" ca="1">SUM('Politicas Cobros y Pagos'!$C$7:$C$14*M$7:M$14)</f>
        <v>0</v>
      </c>
      <c r="O21" s="1059"/>
      <c r="P21" s="1059"/>
      <c r="Q21" s="1059"/>
      <c r="R21" s="1059"/>
      <c r="S21" s="1059"/>
    </row>
    <row r="22" spans="1:19" s="543" customFormat="1" ht="16.149999999999999" customHeight="1">
      <c r="A22" s="2098">
        <v>60</v>
      </c>
      <c r="B22" s="1060"/>
      <c r="C22" s="1060"/>
      <c r="D22" s="1059">
        <f t="array" aca="1" ref="D22" ca="1">SUM('Politicas Cobros y Pagos'!$D$7:$D$14*B$7:B$14)</f>
        <v>0</v>
      </c>
      <c r="E22" s="1059">
        <f t="array" aca="1" ref="E22" ca="1">SUM('Politicas Cobros y Pagos'!$D$7:$D$14*C$7:C$14)</f>
        <v>0</v>
      </c>
      <c r="F22" s="1059">
        <f t="array" aca="1" ref="F22" ca="1">SUM('Politicas Cobros y Pagos'!$D$7:$D$14*D$7:D$14)</f>
        <v>0</v>
      </c>
      <c r="G22" s="1059">
        <f t="array" aca="1" ref="G22" ca="1">SUM('Politicas Cobros y Pagos'!$D$7:$D$14*E$7:E$14)</f>
        <v>0</v>
      </c>
      <c r="H22" s="1059">
        <f t="array" aca="1" ref="H22" ca="1">SUM('Politicas Cobros y Pagos'!$D$7:$D$14*F$7:F$14)</f>
        <v>0</v>
      </c>
      <c r="I22" s="1059">
        <f t="array" aca="1" ref="I22" ca="1">SUM('Politicas Cobros y Pagos'!$D$7:$D$14*G$7:G$14)</f>
        <v>0</v>
      </c>
      <c r="J22" s="1059">
        <f t="array" aca="1" ref="J22" ca="1">SUM('Politicas Cobros y Pagos'!$D$7:$D$14*H$7:H$14)</f>
        <v>0</v>
      </c>
      <c r="K22" s="1059">
        <f t="array" aca="1" ref="K22" ca="1">SUM('Politicas Cobros y Pagos'!$D$7:$D$14*I$7:I$14)</f>
        <v>0</v>
      </c>
      <c r="L22" s="1059">
        <f t="array" aca="1" ref="L22" ca="1">SUM('Politicas Cobros y Pagos'!$D$7:$D$14*J$7:J$14)</f>
        <v>0</v>
      </c>
      <c r="M22" s="1059">
        <f t="array" aca="1" ref="M22" ca="1">SUM('Politicas Cobros y Pagos'!$D$7:$D$14*K$7:K$14)</f>
        <v>0</v>
      </c>
      <c r="N22" s="1059">
        <f t="array" aca="1" ref="N22" ca="1">SUM('Politicas Cobros y Pagos'!$D$7:$D$14*L$7:L$14)</f>
        <v>0</v>
      </c>
      <c r="O22" s="1059">
        <f t="array" aca="1" ref="O22" ca="1">SUM('Politicas Cobros y Pagos'!$D$7:$D$14*M$7:M$14)</f>
        <v>0</v>
      </c>
      <c r="P22" s="1059"/>
      <c r="Q22" s="1059"/>
      <c r="R22" s="1059"/>
      <c r="S22" s="1059"/>
    </row>
    <row r="23" spans="1:19" s="543" customFormat="1" ht="16.149999999999999" customHeight="1">
      <c r="A23" s="2098">
        <v>90</v>
      </c>
      <c r="B23" s="1060"/>
      <c r="C23" s="1060"/>
      <c r="D23" s="1060"/>
      <c r="E23" s="1059">
        <f t="array" aca="1" ref="E23" ca="1">SUM('Politicas Cobros y Pagos'!$E$7:$E$14*B$7:B$14)</f>
        <v>0</v>
      </c>
      <c r="F23" s="1059">
        <f t="array" aca="1" ref="F23" ca="1">SUM('Politicas Cobros y Pagos'!$E$7:$E$14*C$7:C$14)</f>
        <v>0</v>
      </c>
      <c r="G23" s="1059">
        <f t="array" aca="1" ref="G23" ca="1">SUM('Politicas Cobros y Pagos'!$E$7:$E$14*D$7:D$14)</f>
        <v>0</v>
      </c>
      <c r="H23" s="1059">
        <f t="array" aca="1" ref="H23" ca="1">SUM('Politicas Cobros y Pagos'!$E$7:$E$14*E$7:E$14)</f>
        <v>0</v>
      </c>
      <c r="I23" s="1059">
        <f t="array" aca="1" ref="I23" ca="1">SUM('Politicas Cobros y Pagos'!$E$7:$E$14*F$7:F$14)</f>
        <v>0</v>
      </c>
      <c r="J23" s="1059">
        <f t="array" aca="1" ref="J23" ca="1">SUM('Politicas Cobros y Pagos'!$E$7:$E$14*G$7:G$14)</f>
        <v>0</v>
      </c>
      <c r="K23" s="1059">
        <f t="array" aca="1" ref="K23" ca="1">SUM('Politicas Cobros y Pagos'!$E$7:$E$14*H$7:H$14)</f>
        <v>0</v>
      </c>
      <c r="L23" s="1059">
        <f t="array" aca="1" ref="L23" ca="1">SUM('Politicas Cobros y Pagos'!$E$7:$E$14*I$7:I$14)</f>
        <v>0</v>
      </c>
      <c r="M23" s="1059">
        <f t="array" aca="1" ref="M23" ca="1">SUM('Politicas Cobros y Pagos'!$E$7:$E$14*J$7:J$14)</f>
        <v>0</v>
      </c>
      <c r="N23" s="1059">
        <f t="array" aca="1" ref="N23" ca="1">SUM('Politicas Cobros y Pagos'!$E$7:$E$14*K$7:K$14)</f>
        <v>0</v>
      </c>
      <c r="O23" s="1059">
        <f t="array" aca="1" ref="O23" ca="1">SUM('Politicas Cobros y Pagos'!$E$7:$E$14*L$7:L$14)</f>
        <v>0</v>
      </c>
      <c r="P23" s="1059">
        <f t="array" aca="1" ref="P23" ca="1">SUM('Politicas Cobros y Pagos'!$E$7:$E$14*M$7:M$14)</f>
        <v>0</v>
      </c>
      <c r="Q23" s="1059"/>
      <c r="R23" s="1059"/>
      <c r="S23" s="1059"/>
    </row>
    <row r="24" spans="1:19" s="543" customFormat="1" ht="16.149999999999999" customHeight="1">
      <c r="A24" s="2098">
        <v>120</v>
      </c>
      <c r="B24" s="1060"/>
      <c r="C24" s="1060"/>
      <c r="D24" s="1060"/>
      <c r="E24" s="1060"/>
      <c r="F24" s="1059">
        <f t="array" aca="1" ref="F24" ca="1">SUM('Politicas Cobros y Pagos'!$F$7:$F$14*B$7:B$14)</f>
        <v>0</v>
      </c>
      <c r="G24" s="1059">
        <f t="array" aca="1" ref="G24" ca="1">SUM('Politicas Cobros y Pagos'!$F$7:$F$14*C$7:C$14)</f>
        <v>0</v>
      </c>
      <c r="H24" s="1059">
        <f t="array" aca="1" ref="H24" ca="1">SUM('Politicas Cobros y Pagos'!$F$7:$F$14*D$7:D$14)</f>
        <v>0</v>
      </c>
      <c r="I24" s="1059">
        <f t="array" aca="1" ref="I24" ca="1">SUM('Politicas Cobros y Pagos'!$F$7:$F$14*E$7:E$14)</f>
        <v>0</v>
      </c>
      <c r="J24" s="1059">
        <f t="array" aca="1" ref="J24" ca="1">SUM('Politicas Cobros y Pagos'!$F$7:$F$14*F$7:F$14)</f>
        <v>0</v>
      </c>
      <c r="K24" s="1059">
        <f t="array" aca="1" ref="K24" ca="1">SUM('Politicas Cobros y Pagos'!$F$7:$F$14*G$7:G$14)</f>
        <v>0</v>
      </c>
      <c r="L24" s="1059">
        <f t="array" aca="1" ref="L24" ca="1">SUM('Politicas Cobros y Pagos'!$F$7:$F$14*H$7:H$14)</f>
        <v>0</v>
      </c>
      <c r="M24" s="1059">
        <f t="array" aca="1" ref="M24" ca="1">SUM('Politicas Cobros y Pagos'!$F$7:$F$14*I$7:I$14)</f>
        <v>0</v>
      </c>
      <c r="N24" s="1059">
        <f t="array" aca="1" ref="N24" ca="1">SUM('Politicas Cobros y Pagos'!$F$7:$F$14*J$7:J$14)</f>
        <v>0</v>
      </c>
      <c r="O24" s="1059">
        <f t="array" aca="1" ref="O24" ca="1">SUM('Politicas Cobros y Pagos'!$F$7:$F$14*K$7:K$14)</f>
        <v>0</v>
      </c>
      <c r="P24" s="1059">
        <f t="array" aca="1" ref="P24" ca="1">SUM('Politicas Cobros y Pagos'!$F$7:$F$14*L$7:L$14)</f>
        <v>0</v>
      </c>
      <c r="Q24" s="1059">
        <f t="array" aca="1" ref="Q24" ca="1">SUM('Politicas Cobros y Pagos'!$F$7:$F$14*M$7:M$14)</f>
        <v>0</v>
      </c>
      <c r="R24" s="1059"/>
      <c r="S24" s="1059"/>
    </row>
    <row r="25" spans="1:19" s="543" customFormat="1" ht="16.149999999999999" customHeight="1">
      <c r="A25" s="2098">
        <v>150</v>
      </c>
      <c r="B25" s="1060"/>
      <c r="C25" s="1060"/>
      <c r="D25" s="1060"/>
      <c r="E25" s="1060"/>
      <c r="F25" s="1060"/>
      <c r="G25" s="1059">
        <f t="array" aca="1" ref="G25" ca="1">SUM('Politicas Cobros y Pagos'!$G$7:$G$14*B$7:B$14)</f>
        <v>0</v>
      </c>
      <c r="H25" s="1059">
        <f t="array" aca="1" ref="H25" ca="1">SUM('Politicas Cobros y Pagos'!$G$7:$G$14*C$7:C$14)</f>
        <v>0</v>
      </c>
      <c r="I25" s="1059">
        <f t="array" aca="1" ref="I25" ca="1">SUM('Politicas Cobros y Pagos'!$G$7:$G$14*D$7:D$14)</f>
        <v>0</v>
      </c>
      <c r="J25" s="1059">
        <f t="array" aca="1" ref="J25" ca="1">SUM('Politicas Cobros y Pagos'!$G$7:$G$14*E$7:E$14)</f>
        <v>0</v>
      </c>
      <c r="K25" s="1059">
        <f t="array" aca="1" ref="K25" ca="1">SUM('Politicas Cobros y Pagos'!$G$7:$G$14*F$7:F$14)</f>
        <v>0</v>
      </c>
      <c r="L25" s="1059">
        <f t="array" aca="1" ref="L25" ca="1">SUM('Politicas Cobros y Pagos'!$G$7:$G$14*G$7:G$14)</f>
        <v>0</v>
      </c>
      <c r="M25" s="1059">
        <f t="array" aca="1" ref="M25" ca="1">SUM('Politicas Cobros y Pagos'!$G$7:$G$14*H$7:H$14)</f>
        <v>0</v>
      </c>
      <c r="N25" s="1059">
        <f t="array" aca="1" ref="N25" ca="1">SUM('Politicas Cobros y Pagos'!$G$7:$G$14*I$7:I$14)</f>
        <v>0</v>
      </c>
      <c r="O25" s="1059">
        <f t="array" aca="1" ref="O25" ca="1">SUM('Politicas Cobros y Pagos'!$G$7:$G$14*J$7:J$14)</f>
        <v>0</v>
      </c>
      <c r="P25" s="1059">
        <f t="array" aca="1" ref="P25" ca="1">SUM('Politicas Cobros y Pagos'!$G$7:$G$14*K$7:K$14)</f>
        <v>0</v>
      </c>
      <c r="Q25" s="1059">
        <f t="array" aca="1" ref="Q25" ca="1">SUM('Politicas Cobros y Pagos'!$G$7:$G$14*L$7:L$14)</f>
        <v>0</v>
      </c>
      <c r="R25" s="1059">
        <f t="array" aca="1" ref="R25" ca="1">SUM('Politicas Cobros y Pagos'!$G$7:$G$14*M$7:M$14)</f>
        <v>0</v>
      </c>
      <c r="S25" s="1059"/>
    </row>
    <row r="26" spans="1:19" s="543" customFormat="1" ht="16.149999999999999" customHeight="1">
      <c r="A26" s="2098">
        <v>180</v>
      </c>
      <c r="B26" s="1060"/>
      <c r="C26" s="1060"/>
      <c r="D26" s="1060"/>
      <c r="E26" s="1060"/>
      <c r="F26" s="1060"/>
      <c r="G26" s="1060"/>
      <c r="H26" s="1059">
        <f t="array" aca="1" ref="H26" ca="1">SUM('Politicas Cobros y Pagos'!$H$7:$H$14*B$7:B$14)</f>
        <v>0</v>
      </c>
      <c r="I26" s="1059">
        <f t="array" aca="1" ref="I26" ca="1">SUM('Politicas Cobros y Pagos'!$H$7:$H$14*C$7:C$14)</f>
        <v>0</v>
      </c>
      <c r="J26" s="1059">
        <f t="array" aca="1" ref="J26" ca="1">SUM('Politicas Cobros y Pagos'!$H$7:$H$14*D$7:D$14)</f>
        <v>0</v>
      </c>
      <c r="K26" s="1059">
        <f t="array" aca="1" ref="K26" ca="1">SUM('Politicas Cobros y Pagos'!$H$7:$H$14*E$7:E$14)</f>
        <v>0</v>
      </c>
      <c r="L26" s="1059">
        <f t="array" aca="1" ref="L26" ca="1">SUM('Politicas Cobros y Pagos'!$H$7:$H$14*F$7:F$14)</f>
        <v>0</v>
      </c>
      <c r="M26" s="1059">
        <f t="array" aca="1" ref="M26" ca="1">SUM('Politicas Cobros y Pagos'!$H$7:$H$14*G$7:G$14)</f>
        <v>0</v>
      </c>
      <c r="N26" s="1059">
        <f t="array" aca="1" ref="N26" ca="1">SUM('Politicas Cobros y Pagos'!$H$7:$H$14*H$7:H$14)</f>
        <v>0</v>
      </c>
      <c r="O26" s="1059">
        <f t="array" aca="1" ref="O26" ca="1">SUM('Politicas Cobros y Pagos'!$H$7:$H$14*I$7:I$14)</f>
        <v>0</v>
      </c>
      <c r="P26" s="1059">
        <f t="array" aca="1" ref="P26" ca="1">SUM('Politicas Cobros y Pagos'!$H$7:$H$14*J$7:J$14)</f>
        <v>0</v>
      </c>
      <c r="Q26" s="1059">
        <f t="array" aca="1" ref="Q26" ca="1">SUM('Politicas Cobros y Pagos'!$H$7:$H$14*K$7:K$14)</f>
        <v>0</v>
      </c>
      <c r="R26" s="1059">
        <f t="array" aca="1" ref="R26" ca="1">SUM('Politicas Cobros y Pagos'!$H$7:$H$14*L$7:L$14)</f>
        <v>0</v>
      </c>
      <c r="S26" s="1059">
        <f t="array" aca="1" ref="S26" ca="1">SUM('Politicas Cobros y Pagos'!$H$7:$H$14*M$7:M$14)</f>
        <v>0</v>
      </c>
    </row>
    <row r="27" spans="1:19" s="543" customFormat="1" ht="16.149999999999999" customHeight="1">
      <c r="A27" s="2099" t="s">
        <v>419</v>
      </c>
      <c r="B27" s="1074">
        <f t="shared" ref="B27:M27" ca="1" si="2">-morisidad*SUM(B20:B26)</f>
        <v>0</v>
      </c>
      <c r="C27" s="1074">
        <f t="shared" ca="1" si="2"/>
        <v>0</v>
      </c>
      <c r="D27" s="1074">
        <f t="shared" ca="1" si="2"/>
        <v>0</v>
      </c>
      <c r="E27" s="1074">
        <f t="shared" ca="1" si="2"/>
        <v>0</v>
      </c>
      <c r="F27" s="1074">
        <f t="shared" ca="1" si="2"/>
        <v>0</v>
      </c>
      <c r="G27" s="1074">
        <f t="shared" ca="1" si="2"/>
        <v>0</v>
      </c>
      <c r="H27" s="1074">
        <f t="shared" ca="1" si="2"/>
        <v>0</v>
      </c>
      <c r="I27" s="1074">
        <f t="shared" ca="1" si="2"/>
        <v>0</v>
      </c>
      <c r="J27" s="1074">
        <f t="shared" ca="1" si="2"/>
        <v>0</v>
      </c>
      <c r="K27" s="1074">
        <f t="shared" ca="1" si="2"/>
        <v>0</v>
      </c>
      <c r="L27" s="1074">
        <f t="shared" ca="1" si="2"/>
        <v>0</v>
      </c>
      <c r="M27" s="1074">
        <f t="shared" ca="1" si="2"/>
        <v>0</v>
      </c>
      <c r="N27" s="1061"/>
      <c r="O27" s="1061"/>
      <c r="P27" s="1061"/>
      <c r="Q27" s="1061"/>
      <c r="R27" s="1061"/>
      <c r="S27" s="1061"/>
    </row>
    <row r="28" spans="1:19" s="550" customFormat="1" ht="16.149999999999999" customHeight="1" thickBot="1">
      <c r="A28" s="2807" t="s">
        <v>11</v>
      </c>
      <c r="B28" s="2717">
        <f t="shared" ref="B28:S28" ca="1" si="3">SUM(B20:B27)</f>
        <v>2117.5</v>
      </c>
      <c r="C28" s="2717">
        <f t="shared" ca="1" si="3"/>
        <v>2263.4791666666665</v>
      </c>
      <c r="D28" s="2717">
        <f t="shared" ca="1" si="3"/>
        <v>2486.4583333333335</v>
      </c>
      <c r="E28" s="2717">
        <f t="shared" ca="1" si="3"/>
        <v>2613.1875</v>
      </c>
      <c r="F28" s="2717">
        <f t="shared" ca="1" si="3"/>
        <v>2547.4166666666661</v>
      </c>
      <c r="G28" s="2717">
        <f t="shared" ca="1" si="3"/>
        <v>2558.645833333333</v>
      </c>
      <c r="H28" s="2717">
        <f t="shared" ca="1" si="3"/>
        <v>2531.375</v>
      </c>
      <c r="I28" s="2717">
        <f t="shared" ca="1" si="3"/>
        <v>2061.3541666666665</v>
      </c>
      <c r="J28" s="2717">
        <f t="shared" ca="1" si="3"/>
        <v>2669.333333333333</v>
      </c>
      <c r="K28" s="2717">
        <f t="shared" ca="1" si="3"/>
        <v>3258.0624999999995</v>
      </c>
      <c r="L28" s="2717">
        <f t="shared" ca="1" si="3"/>
        <v>3577.2916666666661</v>
      </c>
      <c r="M28" s="2717">
        <f t="shared" ca="1" si="3"/>
        <v>4570.270833333333</v>
      </c>
      <c r="N28" s="2717">
        <f t="shared" ca="1" si="3"/>
        <v>0</v>
      </c>
      <c r="O28" s="2717">
        <f t="shared" ca="1" si="3"/>
        <v>0</v>
      </c>
      <c r="P28" s="2717">
        <f t="shared" ca="1" si="3"/>
        <v>0</v>
      </c>
      <c r="Q28" s="2717">
        <f t="shared" ca="1" si="3"/>
        <v>0</v>
      </c>
      <c r="R28" s="2717">
        <f t="shared" ca="1" si="3"/>
        <v>0</v>
      </c>
      <c r="S28" s="2717">
        <f t="shared" ca="1" si="3"/>
        <v>0</v>
      </c>
    </row>
    <row r="29" spans="1:19" s="550" customFormat="1" ht="13.5" customHeight="1" thickBot="1">
      <c r="B29" s="1062"/>
    </row>
    <row r="30" spans="1:19" s="543" customFormat="1" ht="16.149999999999999" customHeight="1" thickBot="1">
      <c r="A30" s="279"/>
      <c r="B30" s="1062"/>
      <c r="O30" s="1063"/>
      <c r="P30" s="1064"/>
      <c r="Q30" s="1064"/>
      <c r="R30" s="1076" t="str">
        <f>CONCATENATE("Cobros de ventas pendintes para el año ",Q18," (sin ",'Datos Básicos'!$A$28,")")</f>
        <v>Cobros de ventas pendintes para el año 2027 (sin IVA)</v>
      </c>
      <c r="S30" s="1065">
        <f ca="1">SUM(N28:S28)</f>
        <v>0</v>
      </c>
    </row>
    <row r="31" spans="1:19" s="543" customFormat="1" ht="17.25" customHeight="1" thickBot="1">
      <c r="A31" s="279"/>
      <c r="B31" s="1062"/>
      <c r="O31" s="1063"/>
      <c r="P31" s="1064"/>
      <c r="Q31" s="1064"/>
      <c r="R31" s="1077" t="s">
        <v>420</v>
      </c>
      <c r="S31" s="1066">
        <f ca="1">-SUM(B27:M27)</f>
        <v>0</v>
      </c>
    </row>
    <row r="32" spans="1:19" s="326" customFormat="1" ht="22.5">
      <c r="A32" s="326" t="str">
        <f>"Compras y Costes variables ("&amp;'Datos Básicos'!$A$28&amp;" incl.)"</f>
        <v>Compras y Costes variables (IVA incl.)</v>
      </c>
      <c r="B32" s="165"/>
      <c r="G32" s="165"/>
      <c r="H32" s="165"/>
    </row>
    <row r="33" spans="1:19" ht="7.5" customHeight="1" thickBot="1">
      <c r="P33" s="550"/>
    </row>
    <row r="34" spans="1:19" ht="15.75" thickBot="1">
      <c r="A34" s="167" t="s">
        <v>71</v>
      </c>
      <c r="B34" s="2714" t="str">
        <f t="array" ref="B34:M34">meses</f>
        <v>enero</v>
      </c>
      <c r="C34" s="2714" t="str">
        <v>febrero</v>
      </c>
      <c r="D34" s="2714" t="str">
        <v>marzo</v>
      </c>
      <c r="E34" s="2714" t="str">
        <v>abril</v>
      </c>
      <c r="F34" s="2714" t="str">
        <v>mayo</v>
      </c>
      <c r="G34" s="2714" t="str">
        <v>junio</v>
      </c>
      <c r="H34" s="2714" t="str">
        <v>julio</v>
      </c>
      <c r="I34" s="2714" t="str">
        <v>agosto</v>
      </c>
      <c r="J34" s="2714" t="str">
        <v>septiembre</v>
      </c>
      <c r="K34" s="2714" t="str">
        <v>octubre</v>
      </c>
      <c r="L34" s="2714" t="str">
        <v>noviembre</v>
      </c>
      <c r="M34" s="2714" t="str">
        <v>diciembre</v>
      </c>
      <c r="N34" s="2715" t="s">
        <v>11</v>
      </c>
      <c r="O34" s="550"/>
    </row>
    <row r="35" spans="1:19" ht="14.25">
      <c r="A35" s="2100" t="str">
        <f t="array" ref="A35:A42">productos</f>
        <v>producto o servicio</v>
      </c>
      <c r="B35" s="1055">
        <f t="array" aca="1" ref="B35:M42" ca="1">'Distr CV 0'!B46:M53+'Distr CV 0'!B59:M66</f>
        <v>211.75000000000003</v>
      </c>
      <c r="C35" s="1055">
        <f ca="1"/>
        <v>226.34791666666669</v>
      </c>
      <c r="D35" s="1055">
        <f ca="1"/>
        <v>248.64583333333334</v>
      </c>
      <c r="E35" s="1055">
        <f ca="1"/>
        <v>261.31875000000002</v>
      </c>
      <c r="F35" s="1055">
        <f ca="1"/>
        <v>254.7416666666667</v>
      </c>
      <c r="G35" s="1055">
        <f ca="1"/>
        <v>255.86458333333334</v>
      </c>
      <c r="H35" s="1055">
        <f ca="1"/>
        <v>253.13750000000005</v>
      </c>
      <c r="I35" s="1055">
        <f ca="1"/>
        <v>206.13541666666666</v>
      </c>
      <c r="J35" s="1055">
        <f ca="1"/>
        <v>266.93333333333334</v>
      </c>
      <c r="K35" s="1055">
        <f ca="1"/>
        <v>325.80624999999998</v>
      </c>
      <c r="L35" s="1055">
        <f ca="1"/>
        <v>357.72916666666663</v>
      </c>
      <c r="M35" s="1055">
        <f ca="1"/>
        <v>457.02708333333328</v>
      </c>
      <c r="N35" s="2101">
        <f t="shared" ref="N35:N42" ca="1" si="4">SUM(B35:M35)</f>
        <v>3325.4375</v>
      </c>
      <c r="O35" s="550"/>
    </row>
    <row r="36" spans="1:19" ht="14.25">
      <c r="A36" s="2102" t="str">
        <v/>
      </c>
      <c r="B36" s="1055">
        <f ca="1"/>
        <v>0</v>
      </c>
      <c r="C36" s="1055">
        <f ca="1"/>
        <v>0</v>
      </c>
      <c r="D36" s="1055">
        <f ca="1"/>
        <v>0</v>
      </c>
      <c r="E36" s="1055">
        <f ca="1"/>
        <v>0</v>
      </c>
      <c r="F36" s="1055">
        <f ca="1"/>
        <v>0</v>
      </c>
      <c r="G36" s="1055">
        <f ca="1"/>
        <v>0</v>
      </c>
      <c r="H36" s="1055">
        <f ca="1"/>
        <v>0</v>
      </c>
      <c r="I36" s="1055">
        <f ca="1"/>
        <v>0</v>
      </c>
      <c r="J36" s="1055">
        <f ca="1"/>
        <v>0</v>
      </c>
      <c r="K36" s="1055">
        <f ca="1"/>
        <v>0</v>
      </c>
      <c r="L36" s="1055">
        <f ca="1"/>
        <v>0</v>
      </c>
      <c r="M36" s="1055">
        <f ca="1"/>
        <v>0</v>
      </c>
      <c r="N36" s="2101">
        <f t="shared" ca="1" si="4"/>
        <v>0</v>
      </c>
      <c r="O36" s="550"/>
    </row>
    <row r="37" spans="1:19" ht="14.25">
      <c r="A37" s="2102" t="str">
        <v/>
      </c>
      <c r="B37" s="1055">
        <f ca="1"/>
        <v>0</v>
      </c>
      <c r="C37" s="1055">
        <f ca="1"/>
        <v>0</v>
      </c>
      <c r="D37" s="1055">
        <f ca="1"/>
        <v>0</v>
      </c>
      <c r="E37" s="1055">
        <f ca="1"/>
        <v>0</v>
      </c>
      <c r="F37" s="1055">
        <f ca="1"/>
        <v>0</v>
      </c>
      <c r="G37" s="1055">
        <f ca="1"/>
        <v>0</v>
      </c>
      <c r="H37" s="1055">
        <f ca="1"/>
        <v>0</v>
      </c>
      <c r="I37" s="1055">
        <f ca="1"/>
        <v>0</v>
      </c>
      <c r="J37" s="1055">
        <f ca="1"/>
        <v>0</v>
      </c>
      <c r="K37" s="1055">
        <f ca="1"/>
        <v>0</v>
      </c>
      <c r="L37" s="1055">
        <f ca="1"/>
        <v>0</v>
      </c>
      <c r="M37" s="1055">
        <f ca="1"/>
        <v>0</v>
      </c>
      <c r="N37" s="2101">
        <f t="shared" ca="1" si="4"/>
        <v>0</v>
      </c>
      <c r="O37" s="550"/>
    </row>
    <row r="38" spans="1:19" ht="14.25">
      <c r="A38" s="2102" t="str">
        <v/>
      </c>
      <c r="B38" s="1055">
        <f ca="1"/>
        <v>0</v>
      </c>
      <c r="C38" s="1055">
        <f ca="1"/>
        <v>0</v>
      </c>
      <c r="D38" s="1055">
        <f ca="1"/>
        <v>0</v>
      </c>
      <c r="E38" s="1055">
        <f ca="1"/>
        <v>0</v>
      </c>
      <c r="F38" s="1055">
        <f ca="1"/>
        <v>0</v>
      </c>
      <c r="G38" s="1055">
        <f ca="1"/>
        <v>0</v>
      </c>
      <c r="H38" s="1055">
        <f ca="1"/>
        <v>0</v>
      </c>
      <c r="I38" s="1055">
        <f ca="1"/>
        <v>0</v>
      </c>
      <c r="J38" s="1055">
        <f ca="1"/>
        <v>0</v>
      </c>
      <c r="K38" s="1055">
        <f ca="1"/>
        <v>0</v>
      </c>
      <c r="L38" s="1055">
        <f ca="1"/>
        <v>0</v>
      </c>
      <c r="M38" s="1055">
        <f ca="1"/>
        <v>0</v>
      </c>
      <c r="N38" s="2101">
        <f t="shared" ca="1" si="4"/>
        <v>0</v>
      </c>
      <c r="O38" s="550"/>
    </row>
    <row r="39" spans="1:19" ht="14.25">
      <c r="A39" s="2102" t="str">
        <v/>
      </c>
      <c r="B39" s="1055">
        <f ca="1"/>
        <v>0</v>
      </c>
      <c r="C39" s="1055">
        <f ca="1"/>
        <v>0</v>
      </c>
      <c r="D39" s="1055">
        <f ca="1"/>
        <v>0</v>
      </c>
      <c r="E39" s="1055">
        <f ca="1"/>
        <v>0</v>
      </c>
      <c r="F39" s="1055">
        <f ca="1"/>
        <v>0</v>
      </c>
      <c r="G39" s="1055">
        <f ca="1"/>
        <v>0</v>
      </c>
      <c r="H39" s="1055">
        <f ca="1"/>
        <v>0</v>
      </c>
      <c r="I39" s="1055">
        <f ca="1"/>
        <v>0</v>
      </c>
      <c r="J39" s="1055">
        <f ca="1"/>
        <v>0</v>
      </c>
      <c r="K39" s="1055">
        <f ca="1"/>
        <v>0</v>
      </c>
      <c r="L39" s="1055">
        <f ca="1"/>
        <v>0</v>
      </c>
      <c r="M39" s="1055">
        <f ca="1"/>
        <v>0</v>
      </c>
      <c r="N39" s="2101">
        <f t="shared" ca="1" si="4"/>
        <v>0</v>
      </c>
      <c r="O39" s="550"/>
    </row>
    <row r="40" spans="1:19" ht="14.25">
      <c r="A40" s="2102" t="str">
        <v/>
      </c>
      <c r="B40" s="1055">
        <f ca="1"/>
        <v>0</v>
      </c>
      <c r="C40" s="1055">
        <f ca="1"/>
        <v>0</v>
      </c>
      <c r="D40" s="1055">
        <f ca="1"/>
        <v>0</v>
      </c>
      <c r="E40" s="1055">
        <f ca="1"/>
        <v>0</v>
      </c>
      <c r="F40" s="1055">
        <f ca="1"/>
        <v>0</v>
      </c>
      <c r="G40" s="1055">
        <f ca="1"/>
        <v>0</v>
      </c>
      <c r="H40" s="1055">
        <f ca="1"/>
        <v>0</v>
      </c>
      <c r="I40" s="1055">
        <f ca="1"/>
        <v>0</v>
      </c>
      <c r="J40" s="1055">
        <f ca="1"/>
        <v>0</v>
      </c>
      <c r="K40" s="1055">
        <f ca="1"/>
        <v>0</v>
      </c>
      <c r="L40" s="1055">
        <f ca="1"/>
        <v>0</v>
      </c>
      <c r="M40" s="1055">
        <f ca="1"/>
        <v>0</v>
      </c>
      <c r="N40" s="2101">
        <f t="shared" ca="1" si="4"/>
        <v>0</v>
      </c>
      <c r="O40" s="550"/>
    </row>
    <row r="41" spans="1:19" ht="14.25">
      <c r="A41" s="2102" t="str">
        <v/>
      </c>
      <c r="B41" s="1055">
        <f ca="1"/>
        <v>0</v>
      </c>
      <c r="C41" s="1055">
        <f ca="1"/>
        <v>0</v>
      </c>
      <c r="D41" s="1055">
        <f ca="1"/>
        <v>0</v>
      </c>
      <c r="E41" s="1055">
        <f ca="1"/>
        <v>0</v>
      </c>
      <c r="F41" s="1055">
        <f ca="1"/>
        <v>0</v>
      </c>
      <c r="G41" s="1055">
        <f ca="1"/>
        <v>0</v>
      </c>
      <c r="H41" s="1055">
        <f ca="1"/>
        <v>0</v>
      </c>
      <c r="I41" s="1055">
        <f ca="1"/>
        <v>0</v>
      </c>
      <c r="J41" s="1055">
        <f ca="1"/>
        <v>0</v>
      </c>
      <c r="K41" s="1055">
        <f ca="1"/>
        <v>0</v>
      </c>
      <c r="L41" s="1055">
        <f ca="1"/>
        <v>0</v>
      </c>
      <c r="M41" s="1055">
        <f ca="1"/>
        <v>0</v>
      </c>
      <c r="N41" s="2101">
        <f t="shared" ca="1" si="4"/>
        <v>0</v>
      </c>
      <c r="O41" s="550"/>
    </row>
    <row r="42" spans="1:19" ht="15" thickBot="1">
      <c r="A42" s="2103" t="str">
        <v/>
      </c>
      <c r="B42" s="1056">
        <f ca="1"/>
        <v>0</v>
      </c>
      <c r="C42" s="1056">
        <f ca="1"/>
        <v>0</v>
      </c>
      <c r="D42" s="1056">
        <f ca="1"/>
        <v>0</v>
      </c>
      <c r="E42" s="1056">
        <f ca="1"/>
        <v>0</v>
      </c>
      <c r="F42" s="1056">
        <f ca="1"/>
        <v>0</v>
      </c>
      <c r="G42" s="1056">
        <f ca="1"/>
        <v>0</v>
      </c>
      <c r="H42" s="1056">
        <f ca="1"/>
        <v>0</v>
      </c>
      <c r="I42" s="1056">
        <f ca="1"/>
        <v>0</v>
      </c>
      <c r="J42" s="1056">
        <f ca="1"/>
        <v>0</v>
      </c>
      <c r="K42" s="1056">
        <f ca="1"/>
        <v>0</v>
      </c>
      <c r="L42" s="1056">
        <f ca="1"/>
        <v>0</v>
      </c>
      <c r="M42" s="1056">
        <f ca="1"/>
        <v>0</v>
      </c>
      <c r="N42" s="2101">
        <f t="shared" ca="1" si="4"/>
        <v>0</v>
      </c>
      <c r="O42" s="550"/>
    </row>
    <row r="43" spans="1:19" ht="15.75" thickBot="1">
      <c r="A43" s="167" t="s">
        <v>11</v>
      </c>
      <c r="B43" s="2718">
        <f t="shared" ref="B43:N43" ca="1" si="5">SUM(B35:B42)</f>
        <v>211.75000000000003</v>
      </c>
      <c r="C43" s="2718">
        <f t="shared" ca="1" si="5"/>
        <v>226.34791666666669</v>
      </c>
      <c r="D43" s="2718">
        <f t="shared" ca="1" si="5"/>
        <v>248.64583333333334</v>
      </c>
      <c r="E43" s="2718">
        <f t="shared" ca="1" si="5"/>
        <v>261.31875000000002</v>
      </c>
      <c r="F43" s="2718">
        <f t="shared" ca="1" si="5"/>
        <v>254.7416666666667</v>
      </c>
      <c r="G43" s="2718">
        <f t="shared" ca="1" si="5"/>
        <v>255.86458333333334</v>
      </c>
      <c r="H43" s="2718">
        <f t="shared" ca="1" si="5"/>
        <v>253.13750000000005</v>
      </c>
      <c r="I43" s="2718">
        <f t="shared" ca="1" si="5"/>
        <v>206.13541666666666</v>
      </c>
      <c r="J43" s="2718">
        <f t="shared" ca="1" si="5"/>
        <v>266.93333333333334</v>
      </c>
      <c r="K43" s="2718">
        <f t="shared" ca="1" si="5"/>
        <v>325.80624999999998</v>
      </c>
      <c r="L43" s="2718">
        <f t="shared" ca="1" si="5"/>
        <v>357.72916666666663</v>
      </c>
      <c r="M43" s="2718">
        <f t="shared" ca="1" si="5"/>
        <v>457.02708333333328</v>
      </c>
      <c r="N43" s="2718">
        <f t="shared" ca="1" si="5"/>
        <v>3325.4375</v>
      </c>
      <c r="O43" s="550"/>
    </row>
    <row r="44" spans="1:19">
      <c r="C44" s="550"/>
      <c r="D44" s="550"/>
      <c r="E44" s="550"/>
      <c r="F44" s="550"/>
      <c r="G44" s="550"/>
      <c r="H44" s="550"/>
      <c r="I44" s="550"/>
      <c r="J44" s="550"/>
      <c r="K44" s="550"/>
      <c r="L44" s="550"/>
      <c r="M44" s="550"/>
      <c r="N44" s="550"/>
      <c r="O44" s="550"/>
      <c r="P44" s="550"/>
    </row>
    <row r="45" spans="1:19" s="326" customFormat="1" ht="22.5">
      <c r="A45" s="326" t="str">
        <f>"Pagos de compras y gastos variables ("&amp;'Datos Básicos'!A28&amp;" incl.)"</f>
        <v>Pagos de compras y gastos variables (IVA incl.)</v>
      </c>
      <c r="B45" s="165"/>
      <c r="G45" s="165"/>
      <c r="H45" s="165"/>
    </row>
    <row r="46" spans="1:19" ht="15" thickBot="1">
      <c r="A46" s="550"/>
      <c r="B46" s="1054"/>
      <c r="C46" s="550"/>
      <c r="D46" s="550"/>
      <c r="E46" s="550"/>
      <c r="F46" s="550"/>
      <c r="G46" s="550"/>
      <c r="H46" s="550"/>
      <c r="I46" s="550"/>
      <c r="J46" s="550"/>
      <c r="K46" s="550"/>
      <c r="L46" s="550"/>
      <c r="M46" s="550"/>
      <c r="N46" s="550"/>
      <c r="O46" s="550"/>
      <c r="P46" s="1057" t="s">
        <v>245</v>
      </c>
      <c r="Q46" s="1058" t="str">
        <f>Q18</f>
        <v>2027</v>
      </c>
    </row>
    <row r="47" spans="1:19" ht="27.75" customHeight="1" thickBot="1">
      <c r="A47" s="167" t="s">
        <v>72</v>
      </c>
      <c r="B47" s="2096" t="str">
        <f t="array" ref="B47:S47">B$19:S$19</f>
        <v>enero 
2026</v>
      </c>
      <c r="C47" s="2096" t="str">
        <v>febrero 
2026</v>
      </c>
      <c r="D47" s="2096" t="str">
        <v>marzo 
2026</v>
      </c>
      <c r="E47" s="2096" t="str">
        <v>abril 
2026</v>
      </c>
      <c r="F47" s="2096" t="str">
        <v>mayo 
2026</v>
      </c>
      <c r="G47" s="2096" t="str">
        <v>junio 
2026</v>
      </c>
      <c r="H47" s="2096" t="str">
        <v>julio 
2026</v>
      </c>
      <c r="I47" s="2096" t="str">
        <v>agosto 
2026</v>
      </c>
      <c r="J47" s="2096" t="str">
        <v>septiembre 
2026</v>
      </c>
      <c r="K47" s="2096" t="str">
        <v>octubre 
2026</v>
      </c>
      <c r="L47" s="2096" t="str">
        <v>noviembre 
2026</v>
      </c>
      <c r="M47" s="2096" t="str">
        <v>diciembre 
2026</v>
      </c>
      <c r="N47" s="2096" t="str">
        <v>enero 
2027</v>
      </c>
      <c r="O47" s="2096" t="str">
        <v>febrero 
2027</v>
      </c>
      <c r="P47" s="2096" t="str">
        <v>marzo 
2027</v>
      </c>
      <c r="Q47" s="2096" t="str">
        <v>abril 
2027</v>
      </c>
      <c r="R47" s="2096" t="str">
        <v>mayo 
2027</v>
      </c>
      <c r="S47" s="2096" t="str">
        <v>junio 
2027</v>
      </c>
    </row>
    <row r="48" spans="1:19" ht="14.25">
      <c r="A48" s="2097" t="str">
        <f t="array" ref="A48:A54">A20:A26</f>
        <v>Contado</v>
      </c>
      <c r="B48" s="1055">
        <f t="array" aca="1" ref="B48" ca="1">SUM('Politicas Cobros y Pagos'!$B$55:$B$62*B$35:B$42)</f>
        <v>211.75000000000003</v>
      </c>
      <c r="C48" s="1055">
        <f t="array" aca="1" ref="C48" ca="1">SUM('Politicas Cobros y Pagos'!$B$55:$B$62*C$35:C$42)</f>
        <v>226.34791666666669</v>
      </c>
      <c r="D48" s="1055">
        <f t="array" aca="1" ref="D48" ca="1">SUM('Politicas Cobros y Pagos'!$B$55:$B$62*D$35:D$42)</f>
        <v>248.64583333333334</v>
      </c>
      <c r="E48" s="1055">
        <f t="array" aca="1" ref="E48" ca="1">SUM('Politicas Cobros y Pagos'!$B$55:$B$62*E$35:E$42)</f>
        <v>261.31875000000002</v>
      </c>
      <c r="F48" s="1055">
        <f t="array" aca="1" ref="F48" ca="1">SUM('Politicas Cobros y Pagos'!$B$55:$B$62*F$35:F$42)</f>
        <v>254.7416666666667</v>
      </c>
      <c r="G48" s="1055">
        <f t="array" aca="1" ref="G48" ca="1">SUM('Politicas Cobros y Pagos'!$B$55:$B$62*G$35:G$42)</f>
        <v>255.86458333333334</v>
      </c>
      <c r="H48" s="1055">
        <f t="array" aca="1" ref="H48" ca="1">SUM('Politicas Cobros y Pagos'!$B$55:$B$62*H$35:H$42)</f>
        <v>253.13750000000005</v>
      </c>
      <c r="I48" s="1055">
        <f t="array" aca="1" ref="I48" ca="1">SUM('Politicas Cobros y Pagos'!$B$55:$B$62*I$35:I$42)</f>
        <v>206.13541666666666</v>
      </c>
      <c r="J48" s="1055">
        <f t="array" aca="1" ref="J48" ca="1">SUM('Politicas Cobros y Pagos'!$B$55:$B$62*J$35:J$42)</f>
        <v>266.93333333333334</v>
      </c>
      <c r="K48" s="1055">
        <f t="array" aca="1" ref="K48" ca="1">SUM('Politicas Cobros y Pagos'!$B$55:$B$62*K$35:K$42)</f>
        <v>325.80624999999998</v>
      </c>
      <c r="L48" s="1055">
        <f t="array" aca="1" ref="L48" ca="1">SUM('Politicas Cobros y Pagos'!$B$55:$B$62*L$35:L$42)</f>
        <v>357.72916666666663</v>
      </c>
      <c r="M48" s="1055">
        <f t="array" aca="1" ref="M48" ca="1">SUM('Politicas Cobros y Pagos'!$B$55:$B$62*M$35:M$42)</f>
        <v>457.02708333333328</v>
      </c>
      <c r="N48" s="1055"/>
      <c r="O48" s="1055"/>
      <c r="P48" s="1055"/>
      <c r="Q48" s="1055"/>
      <c r="R48" s="1055"/>
      <c r="S48" s="1055"/>
    </row>
    <row r="49" spans="1:19" ht="14.25">
      <c r="A49" s="2098">
        <v>30</v>
      </c>
      <c r="B49" s="1055"/>
      <c r="C49" s="1055">
        <f t="array" aca="1" ref="C49" ca="1">SUM('Politicas Cobros y Pagos'!$C$55:$C$62*B$35:B$42)</f>
        <v>0</v>
      </c>
      <c r="D49" s="1055">
        <f t="array" aca="1" ref="D49" ca="1">SUM('Politicas Cobros y Pagos'!$C$55:$C$62*C$35:C$42)</f>
        <v>0</v>
      </c>
      <c r="E49" s="1055">
        <f t="array" aca="1" ref="E49" ca="1">SUM('Politicas Cobros y Pagos'!$C$55:$C$62*D$35:D$42)</f>
        <v>0</v>
      </c>
      <c r="F49" s="1055">
        <f t="array" aca="1" ref="F49" ca="1">SUM('Politicas Cobros y Pagos'!$C$55:$C$62*E$35:E$42)</f>
        <v>0</v>
      </c>
      <c r="G49" s="1055">
        <f t="array" aca="1" ref="G49" ca="1">SUM('Politicas Cobros y Pagos'!$C$55:$C$62*F$35:F$42)</f>
        <v>0</v>
      </c>
      <c r="H49" s="1055">
        <f t="array" aca="1" ref="H49" ca="1">SUM('Politicas Cobros y Pagos'!$C$55:$C$62*G$35:G$42)</f>
        <v>0</v>
      </c>
      <c r="I49" s="1055">
        <f t="array" aca="1" ref="I49" ca="1">SUM('Politicas Cobros y Pagos'!$C$55:$C$62*H$35:H$42)</f>
        <v>0</v>
      </c>
      <c r="J49" s="1055">
        <f t="array" aca="1" ref="J49" ca="1">SUM('Politicas Cobros y Pagos'!$C$55:$C$62*I$35:I$42)</f>
        <v>0</v>
      </c>
      <c r="K49" s="1055">
        <f t="array" aca="1" ref="K49" ca="1">SUM('Politicas Cobros y Pagos'!$C$55:$C$62*J$35:J$42)</f>
        <v>0</v>
      </c>
      <c r="L49" s="1055">
        <f t="array" aca="1" ref="L49" ca="1">SUM('Politicas Cobros y Pagos'!$C$55:$C$62*K$35:K$42)</f>
        <v>0</v>
      </c>
      <c r="M49" s="1055">
        <f t="array" aca="1" ref="M49" ca="1">SUM('Politicas Cobros y Pagos'!$C$55:$C$62*L$35:L$42)</f>
        <v>0</v>
      </c>
      <c r="N49" s="1055">
        <f t="array" aca="1" ref="N49" ca="1">SUM('Politicas Cobros y Pagos'!$C$55:$C$62*M$35:M$42)</f>
        <v>0</v>
      </c>
      <c r="O49" s="1055"/>
      <c r="P49" s="1055"/>
      <c r="Q49" s="1055"/>
      <c r="R49" s="1055"/>
      <c r="S49" s="1055"/>
    </row>
    <row r="50" spans="1:19" ht="14.25">
      <c r="A50" s="2098">
        <v>60</v>
      </c>
      <c r="B50" s="1055"/>
      <c r="C50" s="1055"/>
      <c r="D50" s="1055">
        <f t="array" aca="1" ref="D50" ca="1">SUM('Politicas Cobros y Pagos'!$D$55:$D$62*B$35:B$42)</f>
        <v>0</v>
      </c>
      <c r="E50" s="1055">
        <f t="array" aca="1" ref="E50" ca="1">SUM('Politicas Cobros y Pagos'!$D$55:$D$62*C$35:C$42)</f>
        <v>0</v>
      </c>
      <c r="F50" s="1055">
        <f t="array" aca="1" ref="F50" ca="1">SUM('Politicas Cobros y Pagos'!$D$55:$D$62*D$35:D$42)</f>
        <v>0</v>
      </c>
      <c r="G50" s="1055">
        <f t="array" aca="1" ref="G50" ca="1">SUM('Politicas Cobros y Pagos'!$D$55:$D$62*E$35:E$42)</f>
        <v>0</v>
      </c>
      <c r="H50" s="1055">
        <f t="array" aca="1" ref="H50" ca="1">SUM('Politicas Cobros y Pagos'!$D$55:$D$62*F$35:F$42)</f>
        <v>0</v>
      </c>
      <c r="I50" s="1055">
        <f t="array" aca="1" ref="I50" ca="1">SUM('Politicas Cobros y Pagos'!$D$55:$D$62*G$35:G$42)</f>
        <v>0</v>
      </c>
      <c r="J50" s="1055">
        <f t="array" aca="1" ref="J50" ca="1">SUM('Politicas Cobros y Pagos'!$D$55:$D$62*H$35:H$42)</f>
        <v>0</v>
      </c>
      <c r="K50" s="1055">
        <f t="array" aca="1" ref="K50" ca="1">SUM('Politicas Cobros y Pagos'!$D$55:$D$62*I$35:I$42)</f>
        <v>0</v>
      </c>
      <c r="L50" s="1055">
        <f t="array" aca="1" ref="L50" ca="1">SUM('Politicas Cobros y Pagos'!$D$55:$D$62*J$35:J$42)</f>
        <v>0</v>
      </c>
      <c r="M50" s="1055">
        <f t="array" aca="1" ref="M50" ca="1">SUM('Politicas Cobros y Pagos'!$D$55:$D$62*K$35:K$42)</f>
        <v>0</v>
      </c>
      <c r="N50" s="1055">
        <f t="array" aca="1" ref="N50" ca="1">SUM('Politicas Cobros y Pagos'!$D$55:$D$62*L$35:L$42)</f>
        <v>0</v>
      </c>
      <c r="O50" s="1055">
        <f t="array" aca="1" ref="O50" ca="1">SUM('Politicas Cobros y Pagos'!$D$55:$D$62*M$35:M$42)</f>
        <v>0</v>
      </c>
      <c r="P50" s="1055"/>
      <c r="Q50" s="1055"/>
      <c r="R50" s="1055"/>
      <c r="S50" s="1055"/>
    </row>
    <row r="51" spans="1:19" ht="14.25">
      <c r="A51" s="2098">
        <v>90</v>
      </c>
      <c r="B51" s="1055"/>
      <c r="C51" s="1055"/>
      <c r="D51" s="1055"/>
      <c r="E51" s="1055">
        <f t="array" aca="1" ref="E51" ca="1">SUM('Politicas Cobros y Pagos'!$E$55:$E$62*B$35:B$42)</f>
        <v>0</v>
      </c>
      <c r="F51" s="1055">
        <f t="array" aca="1" ref="F51" ca="1">SUM('Politicas Cobros y Pagos'!$E$55:$E$62*C$35:C$42)</f>
        <v>0</v>
      </c>
      <c r="G51" s="1055">
        <f t="array" aca="1" ref="G51" ca="1">SUM('Politicas Cobros y Pagos'!$E$55:$E$62*D$35:D$42)</f>
        <v>0</v>
      </c>
      <c r="H51" s="1055">
        <f t="array" aca="1" ref="H51" ca="1">SUM('Politicas Cobros y Pagos'!$E$55:$E$62*E$35:E$42)</f>
        <v>0</v>
      </c>
      <c r="I51" s="1055">
        <f t="array" aca="1" ref="I51" ca="1">SUM('Politicas Cobros y Pagos'!$E$55:$E$62*F$35:F$42)</f>
        <v>0</v>
      </c>
      <c r="J51" s="1055">
        <f t="array" aca="1" ref="J51" ca="1">SUM('Politicas Cobros y Pagos'!$E$55:$E$62*G$35:G$42)</f>
        <v>0</v>
      </c>
      <c r="K51" s="1055">
        <f t="array" aca="1" ref="K51" ca="1">SUM('Politicas Cobros y Pagos'!$E$55:$E$62*H$35:H$42)</f>
        <v>0</v>
      </c>
      <c r="L51" s="1055">
        <f t="array" aca="1" ref="L51" ca="1">SUM('Politicas Cobros y Pagos'!$E$55:$E$62*I$35:I$42)</f>
        <v>0</v>
      </c>
      <c r="M51" s="1055">
        <f t="array" aca="1" ref="M51" ca="1">SUM('Politicas Cobros y Pagos'!$E$55:$E$62*J$35:J$42)</f>
        <v>0</v>
      </c>
      <c r="N51" s="1055">
        <f t="array" aca="1" ref="N51" ca="1">SUM('Politicas Cobros y Pagos'!$E$55:$E$62*K$35:K$42)</f>
        <v>0</v>
      </c>
      <c r="O51" s="1055">
        <f t="array" aca="1" ref="O51" ca="1">SUM('Politicas Cobros y Pagos'!$E$55:$E$62*L$35:L$42)</f>
        <v>0</v>
      </c>
      <c r="P51" s="1055">
        <f t="array" aca="1" ref="P51" ca="1">SUM('Politicas Cobros y Pagos'!$E$55:$E$62*M$35:M$42)</f>
        <v>0</v>
      </c>
      <c r="Q51" s="1055"/>
      <c r="R51" s="1055"/>
      <c r="S51" s="1055"/>
    </row>
    <row r="52" spans="1:19" ht="14.25">
      <c r="A52" s="2098">
        <v>120</v>
      </c>
      <c r="B52" s="1055"/>
      <c r="C52" s="1055"/>
      <c r="D52" s="1055"/>
      <c r="E52" s="1055"/>
      <c r="F52" s="1055">
        <f t="array" aca="1" ref="F52" ca="1">SUM('Politicas Cobros y Pagos'!$F$55:$F$62*B$35:B$42)</f>
        <v>0</v>
      </c>
      <c r="G52" s="1055">
        <f t="array" aca="1" ref="G52" ca="1">SUM('Politicas Cobros y Pagos'!$F$55:$F$62*C$35:C$42)</f>
        <v>0</v>
      </c>
      <c r="H52" s="1055">
        <f t="array" aca="1" ref="H52" ca="1">SUM('Politicas Cobros y Pagos'!$F$55:$F$62*D$35:D$42)</f>
        <v>0</v>
      </c>
      <c r="I52" s="1055">
        <f t="array" aca="1" ref="I52" ca="1">SUM('Politicas Cobros y Pagos'!$F$55:$F$62*E$35:E$42)</f>
        <v>0</v>
      </c>
      <c r="J52" s="1055">
        <f t="array" aca="1" ref="J52" ca="1">SUM('Politicas Cobros y Pagos'!$F$55:$F$62*F$35:F$42)</f>
        <v>0</v>
      </c>
      <c r="K52" s="1055">
        <f t="array" aca="1" ref="K52" ca="1">SUM('Politicas Cobros y Pagos'!$F$55:$F$62*G$35:G$42)</f>
        <v>0</v>
      </c>
      <c r="L52" s="1055">
        <f t="array" aca="1" ref="L52" ca="1">SUM('Politicas Cobros y Pagos'!$F$55:$F$62*H$35:H$42)</f>
        <v>0</v>
      </c>
      <c r="M52" s="1055">
        <f t="array" aca="1" ref="M52" ca="1">SUM('Politicas Cobros y Pagos'!$F$55:$F$62*I$35:I$42)</f>
        <v>0</v>
      </c>
      <c r="N52" s="1055">
        <f t="array" aca="1" ref="N52" ca="1">SUM('Politicas Cobros y Pagos'!$F$55:$F$62*J$35:J$42)</f>
        <v>0</v>
      </c>
      <c r="O52" s="1055">
        <f t="array" aca="1" ref="O52" ca="1">SUM('Politicas Cobros y Pagos'!$F$55:$F$62*K$35:K$42)</f>
        <v>0</v>
      </c>
      <c r="P52" s="1055">
        <f t="array" aca="1" ref="P52" ca="1">SUM('Politicas Cobros y Pagos'!$F$55:$F$62*L$35:L$42)</f>
        <v>0</v>
      </c>
      <c r="Q52" s="1055">
        <f t="array" aca="1" ref="Q52" ca="1">SUM('Politicas Cobros y Pagos'!$F$55:$F$62*M$35:M$42)</f>
        <v>0</v>
      </c>
      <c r="R52" s="1055"/>
      <c r="S52" s="1055"/>
    </row>
    <row r="53" spans="1:19" ht="14.25">
      <c r="A53" s="2098">
        <v>150</v>
      </c>
      <c r="B53" s="1055"/>
      <c r="C53" s="1055"/>
      <c r="D53" s="1055"/>
      <c r="E53" s="1055"/>
      <c r="F53" s="1055"/>
      <c r="G53" s="1055">
        <f t="array" aca="1" ref="G53" ca="1">SUM('Politicas Cobros y Pagos'!$G$55:$G$62*B$35:B$42)</f>
        <v>0</v>
      </c>
      <c r="H53" s="1055">
        <f t="array" aca="1" ref="H53" ca="1">SUM('Politicas Cobros y Pagos'!$G$55:$G$62*C$35:C$42)</f>
        <v>0</v>
      </c>
      <c r="I53" s="1055">
        <f t="array" aca="1" ref="I53" ca="1">SUM('Politicas Cobros y Pagos'!$G$55:$G$62*D$35:D$42)</f>
        <v>0</v>
      </c>
      <c r="J53" s="1055">
        <f t="array" aca="1" ref="J53" ca="1">SUM('Politicas Cobros y Pagos'!$G$55:$G$62*E$35:E$42)</f>
        <v>0</v>
      </c>
      <c r="K53" s="1055">
        <f t="array" aca="1" ref="K53" ca="1">SUM('Politicas Cobros y Pagos'!$G$55:$G$62*F$35:F$42)</f>
        <v>0</v>
      </c>
      <c r="L53" s="1055">
        <f t="array" aca="1" ref="L53" ca="1">SUM('Politicas Cobros y Pagos'!$G$55:$G$62*G$35:G$42)</f>
        <v>0</v>
      </c>
      <c r="M53" s="1055">
        <f t="array" aca="1" ref="M53" ca="1">SUM('Politicas Cobros y Pagos'!$G$55:$G$62*H$35:H$42)</f>
        <v>0</v>
      </c>
      <c r="N53" s="1055">
        <f t="array" aca="1" ref="N53" ca="1">SUM('Politicas Cobros y Pagos'!$G$55:$G$62*I$35:I$42)</f>
        <v>0</v>
      </c>
      <c r="O53" s="1055">
        <f t="array" aca="1" ref="O53" ca="1">SUM('Politicas Cobros y Pagos'!$G$55:$G$62*J$35:J$42)</f>
        <v>0</v>
      </c>
      <c r="P53" s="1055">
        <f t="array" aca="1" ref="P53" ca="1">SUM('Politicas Cobros y Pagos'!$G$55:$G$62*K$35:K$42)</f>
        <v>0</v>
      </c>
      <c r="Q53" s="1055">
        <f t="array" aca="1" ref="Q53" ca="1">SUM('Politicas Cobros y Pagos'!$G$55:$G$62*L$35:L$42)</f>
        <v>0</v>
      </c>
      <c r="R53" s="1055">
        <f t="array" aca="1" ref="R53" ca="1">SUM('Politicas Cobros y Pagos'!$G$55:$G$62*M$35:M$42)</f>
        <v>0</v>
      </c>
      <c r="S53" s="1055"/>
    </row>
    <row r="54" spans="1:19" ht="14.25">
      <c r="A54" s="2098">
        <v>180</v>
      </c>
      <c r="B54" s="1055"/>
      <c r="C54" s="1055"/>
      <c r="D54" s="1055"/>
      <c r="E54" s="1055"/>
      <c r="F54" s="1055"/>
      <c r="G54" s="1055"/>
      <c r="H54" s="1055">
        <f t="array" aca="1" ref="H54" ca="1">SUM('Politicas Cobros y Pagos'!$H$55:$H$62*B$35:B$42)</f>
        <v>0</v>
      </c>
      <c r="I54" s="1055">
        <f t="array" aca="1" ref="I54" ca="1">SUM('Politicas Cobros y Pagos'!$H$55:$H$62*C$35:C$42)</f>
        <v>0</v>
      </c>
      <c r="J54" s="1055">
        <f t="array" aca="1" ref="J54" ca="1">SUM('Politicas Cobros y Pagos'!$H$55:$H$62*D$35:D$42)</f>
        <v>0</v>
      </c>
      <c r="K54" s="1055">
        <f t="array" aca="1" ref="K54" ca="1">SUM('Politicas Cobros y Pagos'!$H$55:$H$62*E$35:E$42)</f>
        <v>0</v>
      </c>
      <c r="L54" s="1055">
        <f t="array" aca="1" ref="L54" ca="1">SUM('Politicas Cobros y Pagos'!$H$55:$H$62*F$35:F$42)</f>
        <v>0</v>
      </c>
      <c r="M54" s="1055">
        <f t="array" aca="1" ref="M54" ca="1">SUM('Politicas Cobros y Pagos'!$H$55:$H$62*G$35:G$42)</f>
        <v>0</v>
      </c>
      <c r="N54" s="1055">
        <f t="array" aca="1" ref="N54" ca="1">SUM('Politicas Cobros y Pagos'!$H$55:$H$62*H$35:H$42)</f>
        <v>0</v>
      </c>
      <c r="O54" s="1055">
        <f t="array" aca="1" ref="O54" ca="1">SUM('Politicas Cobros y Pagos'!$H$55:$H$62*I$35:I$42)</f>
        <v>0</v>
      </c>
      <c r="P54" s="1055">
        <f t="array" aca="1" ref="P54" ca="1">SUM('Politicas Cobros y Pagos'!$H$55:$H$62*J$35:J$42)</f>
        <v>0</v>
      </c>
      <c r="Q54" s="1055">
        <f t="array" aca="1" ref="Q54" ca="1">SUM('Politicas Cobros y Pagos'!$H$55:$H$62*K$35:K$42)</f>
        <v>0</v>
      </c>
      <c r="R54" s="1055">
        <f t="array" aca="1" ref="R54" ca="1">SUM('Politicas Cobros y Pagos'!$H$55:$H$62*L$35:L$42)</f>
        <v>0</v>
      </c>
      <c r="S54" s="1055">
        <f t="array" aca="1" ref="S54" ca="1">SUM('Politicas Cobros y Pagos'!$H$55:$H$62*M$35:M$42)</f>
        <v>0</v>
      </c>
    </row>
    <row r="55" spans="1:19" ht="15" thickBot="1">
      <c r="A55" s="2806" t="s">
        <v>11</v>
      </c>
      <c r="B55" s="2719">
        <f ca="1">SUM(B48:B54)</f>
        <v>211.75000000000003</v>
      </c>
      <c r="C55" s="2719">
        <f t="shared" ref="C55:M55" ca="1" si="6">SUM(C48:C54)</f>
        <v>226.34791666666669</v>
      </c>
      <c r="D55" s="2719">
        <f t="shared" ca="1" si="6"/>
        <v>248.64583333333334</v>
      </c>
      <c r="E55" s="2719">
        <f t="shared" ca="1" si="6"/>
        <v>261.31875000000002</v>
      </c>
      <c r="F55" s="2719">
        <f t="shared" ca="1" si="6"/>
        <v>254.7416666666667</v>
      </c>
      <c r="G55" s="2719">
        <f t="shared" ca="1" si="6"/>
        <v>255.86458333333334</v>
      </c>
      <c r="H55" s="2719">
        <f t="shared" ca="1" si="6"/>
        <v>253.13750000000005</v>
      </c>
      <c r="I55" s="2719">
        <f t="shared" ca="1" si="6"/>
        <v>206.13541666666666</v>
      </c>
      <c r="J55" s="2719">
        <f t="shared" ca="1" si="6"/>
        <v>266.93333333333334</v>
      </c>
      <c r="K55" s="2719">
        <f t="shared" ca="1" si="6"/>
        <v>325.80624999999998</v>
      </c>
      <c r="L55" s="2719">
        <f t="shared" ca="1" si="6"/>
        <v>357.72916666666663</v>
      </c>
      <c r="M55" s="2719">
        <f t="shared" ca="1" si="6"/>
        <v>457.02708333333328</v>
      </c>
      <c r="N55" s="2719">
        <f t="shared" ref="N55:S55" ca="1" si="7">SUM(N48:N54)</f>
        <v>0</v>
      </c>
      <c r="O55" s="2719">
        <f t="shared" ca="1" si="7"/>
        <v>0</v>
      </c>
      <c r="P55" s="2719">
        <f t="shared" ca="1" si="7"/>
        <v>0</v>
      </c>
      <c r="Q55" s="2719">
        <f t="shared" ca="1" si="7"/>
        <v>0</v>
      </c>
      <c r="R55" s="2719">
        <f t="shared" ca="1" si="7"/>
        <v>0</v>
      </c>
      <c r="S55" s="2719">
        <f t="shared" ca="1" si="7"/>
        <v>0</v>
      </c>
    </row>
    <row r="56" spans="1:19" ht="13.5" thickBot="1">
      <c r="A56" s="550"/>
      <c r="B56" s="1054"/>
      <c r="C56" s="543"/>
      <c r="D56" s="543"/>
      <c r="E56" s="543"/>
      <c r="F56" s="543"/>
      <c r="G56" s="543"/>
      <c r="H56" s="543"/>
      <c r="I56" s="543"/>
      <c r="J56" s="543"/>
      <c r="K56" s="543"/>
      <c r="L56" s="543"/>
      <c r="M56" s="543"/>
      <c r="N56" s="543"/>
      <c r="O56" s="550"/>
      <c r="P56" s="543"/>
    </row>
    <row r="57" spans="1:19" ht="13.5" thickBot="1">
      <c r="N57" s="1068"/>
      <c r="O57" s="1069"/>
      <c r="P57" s="1069"/>
      <c r="Q57" s="1069"/>
      <c r="R57" s="1078" t="str">
        <f>CONCATENATE("Pagos de compras y CV pendintes para el año ",Q46," (sin ",'Datos Básicos'!A28,")")</f>
        <v>Pagos de compras y CV pendintes para el año 2027 (sin IVA)</v>
      </c>
      <c r="S57" s="1079">
        <f ca="1">SUM(N55:S55)</f>
        <v>0</v>
      </c>
    </row>
  </sheetData>
  <sheetProtection sheet="1" objects="1" scenarios="1"/>
  <phoneticPr fontId="6" type="noConversion"/>
  <conditionalFormatting sqref="B7:N15">
    <cfRule type="expression" dxfId="18" priority="1" stopIfTrue="1">
      <formula>COLUMN(B6)&lt;=mes0</formula>
    </cfRule>
  </conditionalFormatting>
  <printOptions horizontalCentered="1" verticalCentered="1"/>
  <pageMargins left="0.39370078740157483" right="0.39370078740157483" top="0.38" bottom="0.32" header="0.31496062992125984" footer="0.31496062992125984"/>
  <pageSetup paperSize="9" scale="58" orientation="landscape" horizontalDpi="300" verticalDpi="300" r:id="rId1"/>
  <headerFooter alignWithMargins="0">
    <oddFooter>&amp;C&amp;"Tahoma,Normal"&amp;10&amp;A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21">
    <tabColor indexed="42"/>
    <pageSetUpPr fitToPage="1"/>
  </sheetPr>
  <dimension ref="A1:S57"/>
  <sheetViews>
    <sheetView workbookViewId="0"/>
  </sheetViews>
  <sheetFormatPr baseColWidth="10" defaultColWidth="11" defaultRowHeight="12.75"/>
  <cols>
    <col min="1" max="1" width="24.75" style="279" customWidth="1"/>
    <col min="2" max="2" width="9.75" style="281" customWidth="1"/>
    <col min="3" max="4" width="10" style="87" customWidth="1"/>
    <col min="5" max="5" width="11.375" style="87" customWidth="1"/>
    <col min="6" max="14" width="10" style="87" customWidth="1"/>
    <col min="15" max="15" width="9.5" style="279" customWidth="1"/>
    <col min="16" max="16384" width="11" style="87"/>
  </cols>
  <sheetData>
    <row r="1" spans="1:15" ht="25.5">
      <c r="A1" s="956" t="str">
        <f>'Cobros y pagos 0'!A1</f>
        <v>Cobros y de Pagos de la Empresa</v>
      </c>
      <c r="B1" s="1071"/>
      <c r="E1" s="2711" t="str">
        <f>Parametros!C$77</f>
        <v>Año 1:  2027</v>
      </c>
      <c r="F1" s="296"/>
      <c r="M1" s="1072"/>
      <c r="O1" s="87"/>
    </row>
    <row r="2" spans="1:15" s="543" customFormat="1" ht="25.5">
      <c r="A2" s="164" t="str">
        <f>'Datos Básicos'!B9</f>
        <v>nombre empresa</v>
      </c>
      <c r="B2" s="1071"/>
      <c r="D2" s="1073"/>
      <c r="E2" s="161"/>
    </row>
    <row r="3" spans="1:15" ht="21" customHeight="1">
      <c r="A3" s="87"/>
      <c r="B3" s="1058"/>
      <c r="O3" s="87"/>
    </row>
    <row r="4" spans="1:15" ht="25.5">
      <c r="A4" s="164" t="str">
        <f>'Cobros y pagos 0'!A4</f>
        <v>Ventas (IVA incl.)</v>
      </c>
      <c r="B4" s="1058"/>
      <c r="E4" s="165"/>
      <c r="F4" s="165"/>
      <c r="O4" s="87"/>
    </row>
    <row r="5" spans="1:15" ht="5.25" customHeight="1" thickBot="1"/>
    <row r="6" spans="1:15" s="1054" customFormat="1" ht="16.149999999999999" customHeight="1" thickBot="1">
      <c r="A6" s="167" t="str">
        <f>'Cobros y pagos 0'!A6</f>
        <v>Ventas del periodo</v>
      </c>
      <c r="B6" s="2714" t="str">
        <f t="array" ref="B6:M6">meses</f>
        <v>enero</v>
      </c>
      <c r="C6" s="2715" t="str">
        <v>febrero</v>
      </c>
      <c r="D6" s="2715" t="str">
        <v>marzo</v>
      </c>
      <c r="E6" s="2715" t="str">
        <v>abril</v>
      </c>
      <c r="F6" s="2715" t="str">
        <v>mayo</v>
      </c>
      <c r="G6" s="2715" t="str">
        <v>junio</v>
      </c>
      <c r="H6" s="2715" t="str">
        <v>julio</v>
      </c>
      <c r="I6" s="2715" t="str">
        <v>agosto</v>
      </c>
      <c r="J6" s="2715" t="str">
        <v>septiembre</v>
      </c>
      <c r="K6" s="2715" t="str">
        <v>octubre</v>
      </c>
      <c r="L6" s="2715" t="str">
        <v>noviembre</v>
      </c>
      <c r="M6" s="2715" t="str">
        <v>diciembre</v>
      </c>
      <c r="N6" s="2715" t="s">
        <v>11</v>
      </c>
    </row>
    <row r="7" spans="1:15" s="550" customFormat="1" ht="16.149999999999999" customHeight="1">
      <c r="A7" s="2100" t="str">
        <f t="array" ref="A7:A14">productos</f>
        <v>producto o servicio</v>
      </c>
      <c r="B7" s="1055">
        <f t="array" aca="1" ref="B7:M14" ca="1">'Prev.Ventas 1'!B17:M24*(1+Parametros!$E24:$E31 - ret_irpf  )</f>
        <v>3388</v>
      </c>
      <c r="C7" s="1055">
        <f ca="1"/>
        <v>4235</v>
      </c>
      <c r="D7" s="1055">
        <f ca="1"/>
        <v>4658.5</v>
      </c>
      <c r="E7" s="1055">
        <f ca="1"/>
        <v>4446.75</v>
      </c>
      <c r="F7" s="1055">
        <f ca="1"/>
        <v>3811.5</v>
      </c>
      <c r="G7" s="1055">
        <f ca="1"/>
        <v>3599.75</v>
      </c>
      <c r="H7" s="1055">
        <f ca="1"/>
        <v>3388</v>
      </c>
      <c r="I7" s="1055">
        <f ca="1"/>
        <v>2541</v>
      </c>
      <c r="J7" s="1055">
        <f ca="1"/>
        <v>3388</v>
      </c>
      <c r="K7" s="1055">
        <f ca="1"/>
        <v>4023.25</v>
      </c>
      <c r="L7" s="1055">
        <f ca="1"/>
        <v>4235</v>
      </c>
      <c r="M7" s="1055">
        <f ca="1"/>
        <v>5082</v>
      </c>
      <c r="N7" s="2101">
        <f t="shared" ref="N7:N14" ca="1" si="0">SUM(B7:M7)</f>
        <v>46796.75</v>
      </c>
    </row>
    <row r="8" spans="1:15" s="550" customFormat="1" ht="16.149999999999999" customHeight="1">
      <c r="A8" s="2102" t="str">
        <v/>
      </c>
      <c r="B8" s="1055">
        <f ca="1"/>
        <v>0</v>
      </c>
      <c r="C8" s="1055">
        <f ca="1"/>
        <v>0</v>
      </c>
      <c r="D8" s="1055">
        <f ca="1"/>
        <v>0</v>
      </c>
      <c r="E8" s="1055">
        <f ca="1"/>
        <v>0</v>
      </c>
      <c r="F8" s="1055">
        <f ca="1"/>
        <v>0</v>
      </c>
      <c r="G8" s="1055">
        <f ca="1"/>
        <v>0</v>
      </c>
      <c r="H8" s="1055">
        <f ca="1"/>
        <v>0</v>
      </c>
      <c r="I8" s="1055">
        <f ca="1"/>
        <v>0</v>
      </c>
      <c r="J8" s="1055">
        <f ca="1"/>
        <v>0</v>
      </c>
      <c r="K8" s="1055">
        <f ca="1"/>
        <v>0</v>
      </c>
      <c r="L8" s="1055">
        <f ca="1"/>
        <v>0</v>
      </c>
      <c r="M8" s="1055">
        <f ca="1"/>
        <v>0</v>
      </c>
      <c r="N8" s="2101">
        <f t="shared" ca="1" si="0"/>
        <v>0</v>
      </c>
    </row>
    <row r="9" spans="1:15" s="550" customFormat="1" ht="16.149999999999999" customHeight="1">
      <c r="A9" s="2102" t="str">
        <v/>
      </c>
      <c r="B9" s="1055">
        <f ca="1"/>
        <v>0</v>
      </c>
      <c r="C9" s="1055">
        <f ca="1"/>
        <v>0</v>
      </c>
      <c r="D9" s="1055">
        <f ca="1"/>
        <v>0</v>
      </c>
      <c r="E9" s="1055">
        <f ca="1"/>
        <v>0</v>
      </c>
      <c r="F9" s="1055">
        <f ca="1"/>
        <v>0</v>
      </c>
      <c r="G9" s="1055">
        <f ca="1"/>
        <v>0</v>
      </c>
      <c r="H9" s="1055">
        <f ca="1"/>
        <v>0</v>
      </c>
      <c r="I9" s="1055">
        <f ca="1"/>
        <v>0</v>
      </c>
      <c r="J9" s="1055">
        <f ca="1"/>
        <v>0</v>
      </c>
      <c r="K9" s="1055">
        <f ca="1"/>
        <v>0</v>
      </c>
      <c r="L9" s="1055">
        <f ca="1"/>
        <v>0</v>
      </c>
      <c r="M9" s="1055">
        <f ca="1"/>
        <v>0</v>
      </c>
      <c r="N9" s="2101">
        <f t="shared" ca="1" si="0"/>
        <v>0</v>
      </c>
    </row>
    <row r="10" spans="1:15" s="550" customFormat="1" ht="16.149999999999999" customHeight="1">
      <c r="A10" s="2102" t="str">
        <v/>
      </c>
      <c r="B10" s="1055">
        <f ca="1"/>
        <v>0</v>
      </c>
      <c r="C10" s="1055">
        <f ca="1"/>
        <v>0</v>
      </c>
      <c r="D10" s="1055">
        <f ca="1"/>
        <v>0</v>
      </c>
      <c r="E10" s="1055">
        <f ca="1"/>
        <v>0</v>
      </c>
      <c r="F10" s="1055">
        <f ca="1"/>
        <v>0</v>
      </c>
      <c r="G10" s="1055">
        <f ca="1"/>
        <v>0</v>
      </c>
      <c r="H10" s="1055">
        <f ca="1"/>
        <v>0</v>
      </c>
      <c r="I10" s="1055">
        <f ca="1"/>
        <v>0</v>
      </c>
      <c r="J10" s="1055">
        <f ca="1"/>
        <v>0</v>
      </c>
      <c r="K10" s="1055">
        <f ca="1"/>
        <v>0</v>
      </c>
      <c r="L10" s="1055">
        <f ca="1"/>
        <v>0</v>
      </c>
      <c r="M10" s="1055">
        <f ca="1"/>
        <v>0</v>
      </c>
      <c r="N10" s="2101">
        <f t="shared" ca="1" si="0"/>
        <v>0</v>
      </c>
    </row>
    <row r="11" spans="1:15" s="550" customFormat="1" ht="16.149999999999999" customHeight="1">
      <c r="A11" s="2102" t="str">
        <v/>
      </c>
      <c r="B11" s="1055">
        <f ca="1"/>
        <v>0</v>
      </c>
      <c r="C11" s="1055">
        <f ca="1"/>
        <v>0</v>
      </c>
      <c r="D11" s="1055">
        <f ca="1"/>
        <v>0</v>
      </c>
      <c r="E11" s="1055">
        <f ca="1"/>
        <v>0</v>
      </c>
      <c r="F11" s="1055">
        <f ca="1"/>
        <v>0</v>
      </c>
      <c r="G11" s="1055">
        <f ca="1"/>
        <v>0</v>
      </c>
      <c r="H11" s="1055">
        <f ca="1"/>
        <v>0</v>
      </c>
      <c r="I11" s="1055">
        <f ca="1"/>
        <v>0</v>
      </c>
      <c r="J11" s="1055">
        <f ca="1"/>
        <v>0</v>
      </c>
      <c r="K11" s="1055">
        <f ca="1"/>
        <v>0</v>
      </c>
      <c r="L11" s="1055">
        <f ca="1"/>
        <v>0</v>
      </c>
      <c r="M11" s="1055">
        <f ca="1"/>
        <v>0</v>
      </c>
      <c r="N11" s="2101">
        <f t="shared" ca="1" si="0"/>
        <v>0</v>
      </c>
    </row>
    <row r="12" spans="1:15" s="550" customFormat="1" ht="16.149999999999999" customHeight="1">
      <c r="A12" s="2102" t="str">
        <v/>
      </c>
      <c r="B12" s="1055">
        <f ca="1"/>
        <v>0</v>
      </c>
      <c r="C12" s="1055">
        <f ca="1"/>
        <v>0</v>
      </c>
      <c r="D12" s="1055">
        <f ca="1"/>
        <v>0</v>
      </c>
      <c r="E12" s="1055">
        <f ca="1"/>
        <v>0</v>
      </c>
      <c r="F12" s="1055">
        <f ca="1"/>
        <v>0</v>
      </c>
      <c r="G12" s="1055">
        <f ca="1"/>
        <v>0</v>
      </c>
      <c r="H12" s="1055">
        <f ca="1"/>
        <v>0</v>
      </c>
      <c r="I12" s="1055">
        <f ca="1"/>
        <v>0</v>
      </c>
      <c r="J12" s="1055">
        <f ca="1"/>
        <v>0</v>
      </c>
      <c r="K12" s="1055">
        <f ca="1"/>
        <v>0</v>
      </c>
      <c r="L12" s="1055">
        <f ca="1"/>
        <v>0</v>
      </c>
      <c r="M12" s="1055">
        <f ca="1"/>
        <v>0</v>
      </c>
      <c r="N12" s="2101">
        <f t="shared" ca="1" si="0"/>
        <v>0</v>
      </c>
    </row>
    <row r="13" spans="1:15" s="550" customFormat="1" ht="16.149999999999999" customHeight="1">
      <c r="A13" s="2102" t="str">
        <v/>
      </c>
      <c r="B13" s="1055">
        <f ca="1"/>
        <v>0</v>
      </c>
      <c r="C13" s="1055">
        <f ca="1"/>
        <v>0</v>
      </c>
      <c r="D13" s="1055">
        <f ca="1"/>
        <v>0</v>
      </c>
      <c r="E13" s="1055">
        <f ca="1"/>
        <v>0</v>
      </c>
      <c r="F13" s="1055">
        <f ca="1"/>
        <v>0</v>
      </c>
      <c r="G13" s="1055">
        <f ca="1"/>
        <v>0</v>
      </c>
      <c r="H13" s="1055">
        <f ca="1"/>
        <v>0</v>
      </c>
      <c r="I13" s="1055">
        <f ca="1"/>
        <v>0</v>
      </c>
      <c r="J13" s="1055">
        <f ca="1"/>
        <v>0</v>
      </c>
      <c r="K13" s="1055">
        <f ca="1"/>
        <v>0</v>
      </c>
      <c r="L13" s="1055">
        <f ca="1"/>
        <v>0</v>
      </c>
      <c r="M13" s="1055">
        <f ca="1"/>
        <v>0</v>
      </c>
      <c r="N13" s="2101">
        <f t="shared" ca="1" si="0"/>
        <v>0</v>
      </c>
    </row>
    <row r="14" spans="1:15" s="550" customFormat="1" ht="16.149999999999999" customHeight="1" thickBot="1">
      <c r="A14" s="2103" t="str">
        <v/>
      </c>
      <c r="B14" s="1056">
        <f ca="1"/>
        <v>0</v>
      </c>
      <c r="C14" s="1056">
        <f ca="1"/>
        <v>0</v>
      </c>
      <c r="D14" s="1056">
        <f ca="1"/>
        <v>0</v>
      </c>
      <c r="E14" s="1056">
        <f ca="1"/>
        <v>0</v>
      </c>
      <c r="F14" s="1056">
        <f ca="1"/>
        <v>0</v>
      </c>
      <c r="G14" s="1056">
        <f ca="1"/>
        <v>0</v>
      </c>
      <c r="H14" s="1056">
        <f ca="1"/>
        <v>0</v>
      </c>
      <c r="I14" s="1056">
        <f ca="1"/>
        <v>0</v>
      </c>
      <c r="J14" s="1056">
        <f ca="1"/>
        <v>0</v>
      </c>
      <c r="K14" s="1056">
        <f ca="1"/>
        <v>0</v>
      </c>
      <c r="L14" s="1056">
        <f ca="1"/>
        <v>0</v>
      </c>
      <c r="M14" s="1056">
        <f ca="1"/>
        <v>0</v>
      </c>
      <c r="N14" s="2101">
        <f t="shared" ca="1" si="0"/>
        <v>0</v>
      </c>
    </row>
    <row r="15" spans="1:15" s="550" customFormat="1" ht="16.149999999999999" customHeight="1" thickBot="1">
      <c r="A15" s="2104" t="s">
        <v>11</v>
      </c>
      <c r="B15" s="2105">
        <f t="shared" ref="B15:N15" ca="1" si="1">SUM(B7:B14)</f>
        <v>3388</v>
      </c>
      <c r="C15" s="2105">
        <f t="shared" ca="1" si="1"/>
        <v>4235</v>
      </c>
      <c r="D15" s="2105">
        <f t="shared" ca="1" si="1"/>
        <v>4658.5</v>
      </c>
      <c r="E15" s="2105">
        <f t="shared" ca="1" si="1"/>
        <v>4446.75</v>
      </c>
      <c r="F15" s="2105">
        <f t="shared" ca="1" si="1"/>
        <v>3811.5</v>
      </c>
      <c r="G15" s="2105">
        <f t="shared" ca="1" si="1"/>
        <v>3599.75</v>
      </c>
      <c r="H15" s="2105">
        <f t="shared" ca="1" si="1"/>
        <v>3388</v>
      </c>
      <c r="I15" s="2105">
        <f t="shared" ca="1" si="1"/>
        <v>2541</v>
      </c>
      <c r="J15" s="2105">
        <f t="shared" ca="1" si="1"/>
        <v>3388</v>
      </c>
      <c r="K15" s="2105">
        <f t="shared" ca="1" si="1"/>
        <v>4023.25</v>
      </c>
      <c r="L15" s="2105">
        <f t="shared" ca="1" si="1"/>
        <v>4235</v>
      </c>
      <c r="M15" s="2105">
        <f t="shared" ca="1" si="1"/>
        <v>5082</v>
      </c>
      <c r="N15" s="2105">
        <f t="shared" ca="1" si="1"/>
        <v>46796.75</v>
      </c>
    </row>
    <row r="16" spans="1:15" s="550" customFormat="1" ht="16.149999999999999" customHeight="1">
      <c r="A16" s="24"/>
    </row>
    <row r="17" spans="1:19" s="326" customFormat="1" ht="22.5">
      <c r="A17" s="326" t="str">
        <f>'Cobros y pagos 0'!A17</f>
        <v>Cobros por Ventas del año</v>
      </c>
      <c r="B17" s="165"/>
      <c r="E17" s="165"/>
      <c r="F17" s="165"/>
    </row>
    <row r="18" spans="1:19" ht="16.5" customHeight="1" thickBot="1">
      <c r="A18" s="87"/>
      <c r="B18" s="87"/>
      <c r="O18" s="87"/>
      <c r="P18" s="1057" t="str">
        <f>'Cobros y pagos 0'!P18</f>
        <v>Pendiente para el año siguiente:</v>
      </c>
      <c r="Q18" s="1075" t="str">
        <f>Parametros!F65</f>
        <v>2028</v>
      </c>
    </row>
    <row r="19" spans="1:19" s="1054" customFormat="1" ht="28.5" customHeight="1" thickBot="1">
      <c r="A19" s="167" t="str">
        <f t="array" ref="A19:A27">'Cobros y pagos 0'!A19:A27</f>
        <v>Plazos de cobro</v>
      </c>
      <c r="B19" s="2716" t="str">
        <f t="array" ref="B19:M19">'Estimaciones Ventas'!B18:M18</f>
        <v>enero 
2027</v>
      </c>
      <c r="C19" s="2716" t="str">
        <v>febrero 
2027</v>
      </c>
      <c r="D19" s="2716" t="str">
        <v>marzo 
2027</v>
      </c>
      <c r="E19" s="2716" t="str">
        <v>abril 
2027</v>
      </c>
      <c r="F19" s="2716" t="str">
        <v>mayo 
2027</v>
      </c>
      <c r="G19" s="2716" t="str">
        <v>junio 
2027</v>
      </c>
      <c r="H19" s="2716" t="str">
        <v>julio 
2027</v>
      </c>
      <c r="I19" s="2716" t="str">
        <v>agosto 
2027</v>
      </c>
      <c r="J19" s="2716" t="str">
        <v>septiembre 
2027</v>
      </c>
      <c r="K19" s="2716" t="str">
        <v>octubre 
2027</v>
      </c>
      <c r="L19" s="2716" t="str">
        <v>noviembre 
2027</v>
      </c>
      <c r="M19" s="2716" t="str">
        <v>diciembre 
2027</v>
      </c>
      <c r="N19" s="2716" t="str">
        <f t="array" ref="N19:S19">'Cobros y pagos 2'!B19:G19</f>
        <v>enero 
2028</v>
      </c>
      <c r="O19" s="2716" t="str">
        <v>febrero 
2028</v>
      </c>
      <c r="P19" s="2716" t="str">
        <v>marzo 
2028</v>
      </c>
      <c r="Q19" s="2716" t="str">
        <v>abril 
2028</v>
      </c>
      <c r="R19" s="2716" t="str">
        <v>mayo 
2028</v>
      </c>
      <c r="S19" s="2716" t="str">
        <v>junio 
2028</v>
      </c>
    </row>
    <row r="20" spans="1:19" s="543" customFormat="1" ht="16.149999999999999" customHeight="1">
      <c r="A20" s="2097" t="str">
        <v>Contado</v>
      </c>
      <c r="B20" s="1059">
        <f t="array" aca="1" ref="B20" ca="1">SUM('Politicas Cobros y Pagos'!$B$24:$B$31*B7:B14)</f>
        <v>3388</v>
      </c>
      <c r="C20" s="1059">
        <f t="array" aca="1" ref="C20" ca="1">SUM('Politicas Cobros y Pagos'!$B$24:$B$31*C7:C14)</f>
        <v>4235</v>
      </c>
      <c r="D20" s="1059">
        <f t="array" aca="1" ref="D20" ca="1">SUM('Politicas Cobros y Pagos'!$B$24:$B$31*D7:D14)</f>
        <v>4658.5</v>
      </c>
      <c r="E20" s="1059">
        <f t="array" aca="1" ref="E20" ca="1">SUM('Politicas Cobros y Pagos'!$B$24:$B$31*E7:E14)</f>
        <v>4446.75</v>
      </c>
      <c r="F20" s="1059">
        <f t="array" aca="1" ref="F20" ca="1">SUM('Politicas Cobros y Pagos'!$B$24:$B$31*F7:F14)</f>
        <v>3811.5</v>
      </c>
      <c r="G20" s="1059">
        <f t="array" aca="1" ref="G20" ca="1">SUM('Politicas Cobros y Pagos'!$B$24:$B$31*G7:G14)</f>
        <v>3599.75</v>
      </c>
      <c r="H20" s="1059">
        <f t="array" aca="1" ref="H20" ca="1">SUM('Politicas Cobros y Pagos'!$B$24:$B$31*H7:H14)</f>
        <v>3388</v>
      </c>
      <c r="I20" s="1059">
        <f t="array" aca="1" ref="I20" ca="1">SUM('Politicas Cobros y Pagos'!$B$24:$B$31*I7:I14)</f>
        <v>2541</v>
      </c>
      <c r="J20" s="1059">
        <f t="array" aca="1" ref="J20" ca="1">SUM('Politicas Cobros y Pagos'!$B$24:$B$31*J7:J14)</f>
        <v>3388</v>
      </c>
      <c r="K20" s="1059">
        <f t="array" aca="1" ref="K20" ca="1">SUM('Politicas Cobros y Pagos'!$B$24:$B$31*K7:K14)</f>
        <v>4023.25</v>
      </c>
      <c r="L20" s="1059">
        <f t="array" aca="1" ref="L20" ca="1">SUM('Politicas Cobros y Pagos'!$B$24:$B$31*L7:L14)</f>
        <v>4235</v>
      </c>
      <c r="M20" s="1059">
        <f t="array" aca="1" ref="M20" ca="1">SUM('Politicas Cobros y Pagos'!$B$24:$B$31*M7:M14)</f>
        <v>5082</v>
      </c>
      <c r="N20" s="1059"/>
      <c r="O20" s="1059"/>
      <c r="P20" s="1059"/>
      <c r="Q20" s="1059"/>
      <c r="R20" s="1059"/>
      <c r="S20" s="1059"/>
    </row>
    <row r="21" spans="1:19" s="550" customFormat="1" ht="16.149999999999999" customHeight="1">
      <c r="A21" s="2098">
        <v>30</v>
      </c>
      <c r="B21" s="1060">
        <f t="array" aca="1" ref="B21:B26" ca="1">'Cobros y pagos 0'!N21:N26</f>
        <v>0</v>
      </c>
      <c r="C21" s="1059">
        <f t="array" aca="1" ref="C21" ca="1">SUM('Politicas Cobros y Pagos'!$C$24:$C$31*B$7:B$14)</f>
        <v>0</v>
      </c>
      <c r="D21" s="1059">
        <f t="array" aca="1" ref="D21" ca="1">SUM('Politicas Cobros y Pagos'!$C$24:$C$31*C$7:C$14)</f>
        <v>0</v>
      </c>
      <c r="E21" s="1059">
        <f t="array" aca="1" ref="E21" ca="1">SUM('Politicas Cobros y Pagos'!$C$24:$C$31*D$7:D$14)</f>
        <v>0</v>
      </c>
      <c r="F21" s="1059">
        <f t="array" aca="1" ref="F21" ca="1">SUM('Politicas Cobros y Pagos'!$C$24:$C$31*E$7:E$14)</f>
        <v>0</v>
      </c>
      <c r="G21" s="1059">
        <f t="array" aca="1" ref="G21" ca="1">SUM('Politicas Cobros y Pagos'!$C$24:$C$31*F$7:F$14)</f>
        <v>0</v>
      </c>
      <c r="H21" s="1059">
        <f t="array" aca="1" ref="H21" ca="1">SUM('Politicas Cobros y Pagos'!$C$24:$C$31*G$7:G$14)</f>
        <v>0</v>
      </c>
      <c r="I21" s="1059">
        <f t="array" aca="1" ref="I21" ca="1">SUM('Politicas Cobros y Pagos'!$C$24:$C$31*H$7:H$14)</f>
        <v>0</v>
      </c>
      <c r="J21" s="1059">
        <f t="array" aca="1" ref="J21" ca="1">SUM('Politicas Cobros y Pagos'!$C$24:$C$31*I$7:I$14)</f>
        <v>0</v>
      </c>
      <c r="K21" s="1059">
        <f t="array" aca="1" ref="K21" ca="1">SUM('Politicas Cobros y Pagos'!$C$24:$C$31*J$7:J$14)</f>
        <v>0</v>
      </c>
      <c r="L21" s="1059">
        <f t="array" aca="1" ref="L21" ca="1">SUM('Politicas Cobros y Pagos'!$C$24:$C$31*K$7:K$14)</f>
        <v>0</v>
      </c>
      <c r="M21" s="1059">
        <f t="array" aca="1" ref="M21" ca="1">SUM('Politicas Cobros y Pagos'!$C$24:$C$31*L$7:L$14)</f>
        <v>0</v>
      </c>
      <c r="N21" s="1059">
        <f t="array" aca="1" ref="N21" ca="1">SUM('Politicas Cobros y Pagos'!$C$24:$C$31*M$7:M$14)</f>
        <v>0</v>
      </c>
      <c r="O21" s="1059"/>
      <c r="P21" s="1059"/>
      <c r="Q21" s="1059"/>
      <c r="R21" s="1059"/>
      <c r="S21" s="1059"/>
    </row>
    <row r="22" spans="1:19" s="543" customFormat="1" ht="16.149999999999999" customHeight="1">
      <c r="A22" s="2098">
        <v>60</v>
      </c>
      <c r="B22" s="1060">
        <f ca="1"/>
        <v>0</v>
      </c>
      <c r="C22" s="1060">
        <f t="array" aca="1" ref="C22:C26" ca="1">'Cobros y pagos 0'!O22:O26</f>
        <v>0</v>
      </c>
      <c r="D22" s="1059">
        <f t="array" aca="1" ref="D22" ca="1">SUM('Politicas Cobros y Pagos'!$D$24:$D$31*B$7:B$14)</f>
        <v>0</v>
      </c>
      <c r="E22" s="1059">
        <f t="array" aca="1" ref="E22" ca="1">SUM('Politicas Cobros y Pagos'!$D$24:$D$31*C$7:C$14)</f>
        <v>0</v>
      </c>
      <c r="F22" s="1059">
        <f t="array" aca="1" ref="F22" ca="1">SUM('Politicas Cobros y Pagos'!$D$24:$D$31*D$7:D$14)</f>
        <v>0</v>
      </c>
      <c r="G22" s="1059">
        <f t="array" aca="1" ref="G22" ca="1">SUM('Politicas Cobros y Pagos'!$D$24:$D$31*E$7:E$14)</f>
        <v>0</v>
      </c>
      <c r="H22" s="1059">
        <f t="array" aca="1" ref="H22" ca="1">SUM('Politicas Cobros y Pagos'!$D$24:$D$31*F$7:F$14)</f>
        <v>0</v>
      </c>
      <c r="I22" s="1059">
        <f t="array" aca="1" ref="I22" ca="1">SUM('Politicas Cobros y Pagos'!$D$24:$D$31*G$7:G$14)</f>
        <v>0</v>
      </c>
      <c r="J22" s="1059">
        <f t="array" aca="1" ref="J22" ca="1">SUM('Politicas Cobros y Pagos'!$D$24:$D$31*H$7:H$14)</f>
        <v>0</v>
      </c>
      <c r="K22" s="1059">
        <f t="array" aca="1" ref="K22" ca="1">SUM('Politicas Cobros y Pagos'!$D$24:$D$31*I$7:I$14)</f>
        <v>0</v>
      </c>
      <c r="L22" s="1059">
        <f t="array" aca="1" ref="L22" ca="1">SUM('Politicas Cobros y Pagos'!$D$24:$D$31*J$7:J$14)</f>
        <v>0</v>
      </c>
      <c r="M22" s="1059">
        <f t="array" aca="1" ref="M22" ca="1">SUM('Politicas Cobros y Pagos'!$D$24:$D$31*K$7:K$14)</f>
        <v>0</v>
      </c>
      <c r="N22" s="1059">
        <f t="array" aca="1" ref="N22" ca="1">SUM('Politicas Cobros y Pagos'!$D$24:$D$31*L$7:L$14)</f>
        <v>0</v>
      </c>
      <c r="O22" s="1059">
        <f t="array" aca="1" ref="O22" ca="1">SUM('Politicas Cobros y Pagos'!$D$24:$D$31*M$7:M$14)</f>
        <v>0</v>
      </c>
      <c r="P22" s="1059"/>
      <c r="Q22" s="1059"/>
      <c r="R22" s="1059"/>
      <c r="S22" s="1059"/>
    </row>
    <row r="23" spans="1:19" s="543" customFormat="1" ht="16.149999999999999" customHeight="1">
      <c r="A23" s="2098">
        <v>90</v>
      </c>
      <c r="B23" s="1060">
        <f ca="1"/>
        <v>0</v>
      </c>
      <c r="C23" s="1060">
        <f ca="1"/>
        <v>0</v>
      </c>
      <c r="D23" s="1060">
        <f t="array" aca="1" ref="D23:D26" ca="1">'Cobros y pagos 0'!P23:P26</f>
        <v>0</v>
      </c>
      <c r="E23" s="1059">
        <f t="array" aca="1" ref="E23" ca="1">SUM('Politicas Cobros y Pagos'!$E$24:$E$31*B$7:B$14)</f>
        <v>0</v>
      </c>
      <c r="F23" s="1059">
        <f t="array" aca="1" ref="F23" ca="1">SUM('Politicas Cobros y Pagos'!$E$24:$E$31*C$7:C$14)</f>
        <v>0</v>
      </c>
      <c r="G23" s="1059">
        <f t="array" aca="1" ref="G23" ca="1">SUM('Politicas Cobros y Pagos'!$E$24:$E$31*D$7:D$14)</f>
        <v>0</v>
      </c>
      <c r="H23" s="1059">
        <f t="array" aca="1" ref="H23" ca="1">SUM('Politicas Cobros y Pagos'!$E$24:$E$31*E$7:E$14)</f>
        <v>0</v>
      </c>
      <c r="I23" s="1059">
        <f t="array" aca="1" ref="I23" ca="1">SUM('Politicas Cobros y Pagos'!$E$24:$E$31*F$7:F$14)</f>
        <v>0</v>
      </c>
      <c r="J23" s="1059">
        <f t="array" aca="1" ref="J23" ca="1">SUM('Politicas Cobros y Pagos'!$E$24:$E$31*G$7:G$14)</f>
        <v>0</v>
      </c>
      <c r="K23" s="1059">
        <f t="array" aca="1" ref="K23" ca="1">SUM('Politicas Cobros y Pagos'!$E$24:$E$31*H$7:H$14)</f>
        <v>0</v>
      </c>
      <c r="L23" s="1059">
        <f t="array" aca="1" ref="L23" ca="1">SUM('Politicas Cobros y Pagos'!$E$24:$E$31*I$7:I$14)</f>
        <v>0</v>
      </c>
      <c r="M23" s="1059">
        <f t="array" aca="1" ref="M23" ca="1">SUM('Politicas Cobros y Pagos'!$E$24:$E$31*J$7:J$14)</f>
        <v>0</v>
      </c>
      <c r="N23" s="1059">
        <f t="array" aca="1" ref="N23" ca="1">SUM('Politicas Cobros y Pagos'!$E$24:$E$31*K$7:K$14)</f>
        <v>0</v>
      </c>
      <c r="O23" s="1059">
        <f t="array" aca="1" ref="O23" ca="1">SUM('Politicas Cobros y Pagos'!$E$24:$E$31*L$7:L$14)</f>
        <v>0</v>
      </c>
      <c r="P23" s="1059">
        <f t="array" aca="1" ref="P23" ca="1">SUM('Politicas Cobros y Pagos'!$E$24:$E$31*M$7:M$14)</f>
        <v>0</v>
      </c>
      <c r="Q23" s="1059"/>
      <c r="R23" s="1059"/>
      <c r="S23" s="1059"/>
    </row>
    <row r="24" spans="1:19" s="543" customFormat="1" ht="16.149999999999999" customHeight="1">
      <c r="A24" s="2098">
        <v>120</v>
      </c>
      <c r="B24" s="1060">
        <f ca="1"/>
        <v>0</v>
      </c>
      <c r="C24" s="1060">
        <f ca="1"/>
        <v>0</v>
      </c>
      <c r="D24" s="1060">
        <f ca="1"/>
        <v>0</v>
      </c>
      <c r="E24" s="1060">
        <f t="array" aca="1" ref="E24:E26" ca="1">'Cobros y pagos 0'!Q24:Q26</f>
        <v>0</v>
      </c>
      <c r="F24" s="1059">
        <f t="array" aca="1" ref="F24" ca="1">SUM('Politicas Cobros y Pagos'!$F$24:$F$31*B$7:B$14)</f>
        <v>0</v>
      </c>
      <c r="G24" s="1059">
        <f t="array" aca="1" ref="G24" ca="1">SUM('Politicas Cobros y Pagos'!$F$24:$F$31*C$7:C$14)</f>
        <v>0</v>
      </c>
      <c r="H24" s="1059">
        <f t="array" aca="1" ref="H24" ca="1">SUM('Politicas Cobros y Pagos'!$F$24:$F$31*D$7:D$14)</f>
        <v>0</v>
      </c>
      <c r="I24" s="1059">
        <f t="array" aca="1" ref="I24" ca="1">SUM('Politicas Cobros y Pagos'!$F$24:$F$31*E$7:E$14)</f>
        <v>0</v>
      </c>
      <c r="J24" s="1059">
        <f t="array" aca="1" ref="J24" ca="1">SUM('Politicas Cobros y Pagos'!$F$24:$F$31*F$7:F$14)</f>
        <v>0</v>
      </c>
      <c r="K24" s="1059">
        <f t="array" aca="1" ref="K24" ca="1">SUM('Politicas Cobros y Pagos'!$F$24:$F$31*G$7:G$14)</f>
        <v>0</v>
      </c>
      <c r="L24" s="1059">
        <f t="array" aca="1" ref="L24" ca="1">SUM('Politicas Cobros y Pagos'!$F$24:$F$31*H$7:H$14)</f>
        <v>0</v>
      </c>
      <c r="M24" s="1059">
        <f t="array" aca="1" ref="M24" ca="1">SUM('Politicas Cobros y Pagos'!$F$24:$F$31*I$7:I$14)</f>
        <v>0</v>
      </c>
      <c r="N24" s="1059">
        <f t="array" aca="1" ref="N24" ca="1">SUM('Politicas Cobros y Pagos'!$F$24:$F$31*J$7:J$14)</f>
        <v>0</v>
      </c>
      <c r="O24" s="1059">
        <f t="array" aca="1" ref="O24" ca="1">SUM('Politicas Cobros y Pagos'!$F$24:$F$31*K$7:K$14)</f>
        <v>0</v>
      </c>
      <c r="P24" s="1059">
        <f t="array" aca="1" ref="P24" ca="1">SUM('Politicas Cobros y Pagos'!$F$24:$F$31*L$7:L$14)</f>
        <v>0</v>
      </c>
      <c r="Q24" s="1059">
        <f t="array" aca="1" ref="Q24" ca="1">SUM('Politicas Cobros y Pagos'!$F$24:$F$31*M$7:M$14)</f>
        <v>0</v>
      </c>
      <c r="R24" s="1059"/>
      <c r="S24" s="1059"/>
    </row>
    <row r="25" spans="1:19" s="543" customFormat="1" ht="16.149999999999999" customHeight="1">
      <c r="A25" s="2098">
        <v>150</v>
      </c>
      <c r="B25" s="1060">
        <f ca="1"/>
        <v>0</v>
      </c>
      <c r="C25" s="1060">
        <f ca="1"/>
        <v>0</v>
      </c>
      <c r="D25" s="1060">
        <f ca="1"/>
        <v>0</v>
      </c>
      <c r="E25" s="1060">
        <f ca="1"/>
        <v>0</v>
      </c>
      <c r="F25" s="1060">
        <f t="array" aca="1" ref="F25:F26" ca="1">'Cobros y pagos 0'!R25:R26</f>
        <v>0</v>
      </c>
      <c r="G25" s="1059">
        <f t="array" aca="1" ref="G25" ca="1">SUM('Politicas Cobros y Pagos'!$G$24:$G$31*B$7:B$14)</f>
        <v>0</v>
      </c>
      <c r="H25" s="1059">
        <f t="array" aca="1" ref="H25" ca="1">SUM('Politicas Cobros y Pagos'!$G$24:$G$31*C$7:C$14)</f>
        <v>0</v>
      </c>
      <c r="I25" s="1059">
        <f t="array" aca="1" ref="I25" ca="1">SUM('Politicas Cobros y Pagos'!$G$24:$G$31*D$7:D$14)</f>
        <v>0</v>
      </c>
      <c r="J25" s="1059">
        <f t="array" aca="1" ref="J25" ca="1">SUM('Politicas Cobros y Pagos'!$G$24:$G$31*E$7:E$14)</f>
        <v>0</v>
      </c>
      <c r="K25" s="1059">
        <f t="array" aca="1" ref="K25" ca="1">SUM('Politicas Cobros y Pagos'!$G$24:$G$31*F$7:F$14)</f>
        <v>0</v>
      </c>
      <c r="L25" s="1059">
        <f t="array" aca="1" ref="L25" ca="1">SUM('Politicas Cobros y Pagos'!$G$24:$G$31*G$7:G$14)</f>
        <v>0</v>
      </c>
      <c r="M25" s="1059">
        <f t="array" aca="1" ref="M25" ca="1">SUM('Politicas Cobros y Pagos'!$G$24:$G$31*H$7:H$14)</f>
        <v>0</v>
      </c>
      <c r="N25" s="1059">
        <f t="array" aca="1" ref="N25" ca="1">SUM('Politicas Cobros y Pagos'!$G$24:$G$31*I$7:I$14)</f>
        <v>0</v>
      </c>
      <c r="O25" s="1059">
        <f t="array" aca="1" ref="O25" ca="1">SUM('Politicas Cobros y Pagos'!$G$24:$G$31*J$7:J$14)</f>
        <v>0</v>
      </c>
      <c r="P25" s="1059">
        <f t="array" aca="1" ref="P25" ca="1">SUM('Politicas Cobros y Pagos'!$G$24:$G$31*K$7:K$14)</f>
        <v>0</v>
      </c>
      <c r="Q25" s="1059">
        <f t="array" aca="1" ref="Q25" ca="1">SUM('Politicas Cobros y Pagos'!$G$24:$G$31*L$7:L$14)</f>
        <v>0</v>
      </c>
      <c r="R25" s="1059">
        <f t="array" aca="1" ref="R25" ca="1">SUM('Politicas Cobros y Pagos'!$G$24:$G$31*M$7:M$14)</f>
        <v>0</v>
      </c>
      <c r="S25" s="1059"/>
    </row>
    <row r="26" spans="1:19" s="543" customFormat="1" ht="16.149999999999999" customHeight="1">
      <c r="A26" s="2098">
        <v>180</v>
      </c>
      <c r="B26" s="1060">
        <f ca="1"/>
        <v>0</v>
      </c>
      <c r="C26" s="1060">
        <f ca="1"/>
        <v>0</v>
      </c>
      <c r="D26" s="1060">
        <f ca="1"/>
        <v>0</v>
      </c>
      <c r="E26" s="1060">
        <f ca="1"/>
        <v>0</v>
      </c>
      <c r="F26" s="1060">
        <f ca="1"/>
        <v>0</v>
      </c>
      <c r="G26" s="1060">
        <f ca="1">'Cobros y pagos 0'!S26</f>
        <v>0</v>
      </c>
      <c r="H26" s="1059">
        <f t="array" aca="1" ref="H26" ca="1">SUM('Politicas Cobros y Pagos'!$H$24:$H$31*B$7:B$14)</f>
        <v>0</v>
      </c>
      <c r="I26" s="1059">
        <f t="array" aca="1" ref="I26" ca="1">SUM('Politicas Cobros y Pagos'!$H$24:$H$31*C$7:C$14)</f>
        <v>0</v>
      </c>
      <c r="J26" s="1059">
        <f t="array" aca="1" ref="J26" ca="1">SUM('Politicas Cobros y Pagos'!$H$24:$H$31*D$7:D$14)</f>
        <v>0</v>
      </c>
      <c r="K26" s="1059">
        <f t="array" aca="1" ref="K26" ca="1">SUM('Politicas Cobros y Pagos'!$H$24:$H$31*E$7:E$14)</f>
        <v>0</v>
      </c>
      <c r="L26" s="1059">
        <f t="array" aca="1" ref="L26" ca="1">SUM('Politicas Cobros y Pagos'!$H$24:$H$31*F$7:F$14)</f>
        <v>0</v>
      </c>
      <c r="M26" s="1059">
        <f t="array" aca="1" ref="M26" ca="1">SUM('Politicas Cobros y Pagos'!$H$24:$H$31*G$7:G$14)</f>
        <v>0</v>
      </c>
      <c r="N26" s="1059">
        <f t="array" aca="1" ref="N26" ca="1">SUM('Politicas Cobros y Pagos'!$H$24:$H$31*H$7:H$14)</f>
        <v>0</v>
      </c>
      <c r="O26" s="1059">
        <f t="array" aca="1" ref="O26" ca="1">SUM('Politicas Cobros y Pagos'!$H$24:$H$31*I$7:I$14)</f>
        <v>0</v>
      </c>
      <c r="P26" s="1059">
        <f t="array" aca="1" ref="P26" ca="1">SUM('Politicas Cobros y Pagos'!$H$24:$H$31*J$7:J$14)</f>
        <v>0</v>
      </c>
      <c r="Q26" s="1059">
        <f t="array" aca="1" ref="Q26" ca="1">SUM('Politicas Cobros y Pagos'!$H$24:$H$31*K$7:K$14)</f>
        <v>0</v>
      </c>
      <c r="R26" s="1059">
        <f t="array" aca="1" ref="R26" ca="1">SUM('Politicas Cobros y Pagos'!$H$24:$H$31*L$7:L$14)</f>
        <v>0</v>
      </c>
      <c r="S26" s="1059">
        <f t="array" aca="1" ref="S26" ca="1">SUM('Politicas Cobros y Pagos'!$H$24:$H$31*M$7:M$14)</f>
        <v>0</v>
      </c>
    </row>
    <row r="27" spans="1:19" s="543" customFormat="1" ht="16.149999999999999" customHeight="1">
      <c r="A27" s="2099" t="str">
        <v>Impagados</v>
      </c>
      <c r="B27" s="1074">
        <f t="shared" ref="B27:M27" ca="1" si="2">-morisidad*SUM(B20:B26)</f>
        <v>0</v>
      </c>
      <c r="C27" s="1074">
        <f t="shared" ca="1" si="2"/>
        <v>0</v>
      </c>
      <c r="D27" s="1074">
        <f t="shared" ca="1" si="2"/>
        <v>0</v>
      </c>
      <c r="E27" s="1074">
        <f t="shared" ca="1" si="2"/>
        <v>0</v>
      </c>
      <c r="F27" s="1074">
        <f t="shared" ca="1" si="2"/>
        <v>0</v>
      </c>
      <c r="G27" s="1074">
        <f t="shared" ca="1" si="2"/>
        <v>0</v>
      </c>
      <c r="H27" s="1074">
        <f t="shared" ca="1" si="2"/>
        <v>0</v>
      </c>
      <c r="I27" s="1074">
        <f t="shared" ca="1" si="2"/>
        <v>0</v>
      </c>
      <c r="J27" s="1074">
        <f t="shared" ca="1" si="2"/>
        <v>0</v>
      </c>
      <c r="K27" s="1074">
        <f t="shared" ca="1" si="2"/>
        <v>0</v>
      </c>
      <c r="L27" s="1074">
        <f t="shared" ca="1" si="2"/>
        <v>0</v>
      </c>
      <c r="M27" s="1074">
        <f t="shared" ca="1" si="2"/>
        <v>0</v>
      </c>
      <c r="N27" s="1061"/>
      <c r="O27" s="1061"/>
      <c r="P27" s="1061"/>
      <c r="Q27" s="1061"/>
      <c r="R27" s="1061"/>
      <c r="S27" s="1061"/>
    </row>
    <row r="28" spans="1:19" s="550" customFormat="1" ht="16.149999999999999" customHeight="1" thickBot="1">
      <c r="A28" s="2807" t="s">
        <v>11</v>
      </c>
      <c r="B28" s="2717">
        <f t="shared" ref="B28:S28" ca="1" si="3">SUM(B20:B27)</f>
        <v>3388</v>
      </c>
      <c r="C28" s="2717">
        <f t="shared" ca="1" si="3"/>
        <v>4235</v>
      </c>
      <c r="D28" s="2717">
        <f t="shared" ca="1" si="3"/>
        <v>4658.5</v>
      </c>
      <c r="E28" s="2717">
        <f t="shared" ca="1" si="3"/>
        <v>4446.75</v>
      </c>
      <c r="F28" s="2717">
        <f t="shared" ca="1" si="3"/>
        <v>3811.5</v>
      </c>
      <c r="G28" s="2717">
        <f t="shared" ca="1" si="3"/>
        <v>3599.75</v>
      </c>
      <c r="H28" s="2717">
        <f t="shared" ca="1" si="3"/>
        <v>3388</v>
      </c>
      <c r="I28" s="2717">
        <f t="shared" ca="1" si="3"/>
        <v>2541</v>
      </c>
      <c r="J28" s="2717">
        <f t="shared" ca="1" si="3"/>
        <v>3388</v>
      </c>
      <c r="K28" s="2717">
        <f t="shared" ca="1" si="3"/>
        <v>4023.25</v>
      </c>
      <c r="L28" s="2717">
        <f t="shared" ca="1" si="3"/>
        <v>4235</v>
      </c>
      <c r="M28" s="2717">
        <f t="shared" ca="1" si="3"/>
        <v>5082</v>
      </c>
      <c r="N28" s="2717">
        <f t="shared" ca="1" si="3"/>
        <v>0</v>
      </c>
      <c r="O28" s="2717">
        <f t="shared" ca="1" si="3"/>
        <v>0</v>
      </c>
      <c r="P28" s="2717">
        <f t="shared" ca="1" si="3"/>
        <v>0</v>
      </c>
      <c r="Q28" s="2717">
        <f t="shared" ca="1" si="3"/>
        <v>0</v>
      </c>
      <c r="R28" s="2717">
        <f t="shared" ca="1" si="3"/>
        <v>0</v>
      </c>
      <c r="S28" s="2717">
        <f t="shared" ca="1" si="3"/>
        <v>0</v>
      </c>
    </row>
    <row r="29" spans="1:19" s="550" customFormat="1" ht="13.5" customHeight="1" thickBot="1">
      <c r="B29" s="1062"/>
    </row>
    <row r="30" spans="1:19" s="543" customFormat="1" ht="16.149999999999999" customHeight="1" thickBot="1">
      <c r="A30" s="279"/>
      <c r="B30" s="1062"/>
      <c r="O30" s="1063"/>
      <c r="P30" s="1064"/>
      <c r="Q30" s="1064"/>
      <c r="R30" s="1076" t="str">
        <f>CONCATENATE("Cobros de ventas pendintes para el año ",Q18," (sin ",'Datos Básicos'!$A$28,")")</f>
        <v>Cobros de ventas pendintes para el año 2028 (sin IVA)</v>
      </c>
      <c r="S30" s="1065">
        <f ca="1">SUM(N28:S28)</f>
        <v>0</v>
      </c>
    </row>
    <row r="31" spans="1:19" s="543" customFormat="1" ht="17.25" customHeight="1" thickBot="1">
      <c r="A31" s="279"/>
      <c r="B31" s="1062"/>
      <c r="O31" s="1063"/>
      <c r="P31" s="1064"/>
      <c r="Q31" s="1064"/>
      <c r="R31" s="1077" t="str">
        <f>'Cobros y pagos 0'!R31</f>
        <v xml:space="preserve">Impagados producidos durante el año </v>
      </c>
      <c r="S31" s="1066">
        <f ca="1">-SUM(B27:M27)</f>
        <v>0</v>
      </c>
    </row>
    <row r="32" spans="1:19" s="326" customFormat="1" ht="22.5">
      <c r="A32" s="326" t="str">
        <f>'Cobros y pagos 0'!A32</f>
        <v>Compras y Costes variables (IVA incl.)</v>
      </c>
      <c r="B32" s="165"/>
      <c r="G32" s="165"/>
      <c r="H32" s="165"/>
    </row>
    <row r="33" spans="1:19" ht="7.5" customHeight="1" thickBot="1">
      <c r="P33" s="550"/>
    </row>
    <row r="34" spans="1:19" ht="15.75" thickBot="1">
      <c r="A34" s="167" t="str">
        <f>'Cobros y pagos 0'!A34</f>
        <v>Compras del periodo</v>
      </c>
      <c r="B34" s="2714" t="str">
        <f t="array" ref="B34:M34">meses</f>
        <v>enero</v>
      </c>
      <c r="C34" s="2714" t="str">
        <v>febrero</v>
      </c>
      <c r="D34" s="2714" t="str">
        <v>marzo</v>
      </c>
      <c r="E34" s="2714" t="str">
        <v>abril</v>
      </c>
      <c r="F34" s="2714" t="str">
        <v>mayo</v>
      </c>
      <c r="G34" s="2714" t="str">
        <v>junio</v>
      </c>
      <c r="H34" s="2714" t="str">
        <v>julio</v>
      </c>
      <c r="I34" s="2714" t="str">
        <v>agosto</v>
      </c>
      <c r="J34" s="2714" t="str">
        <v>septiembre</v>
      </c>
      <c r="K34" s="2714" t="str">
        <v>octubre</v>
      </c>
      <c r="L34" s="2714" t="str">
        <v>noviembre</v>
      </c>
      <c r="M34" s="2714" t="str">
        <v>diciembre</v>
      </c>
      <c r="N34" s="2715" t="s">
        <v>11</v>
      </c>
      <c r="O34" s="550"/>
    </row>
    <row r="35" spans="1:19" ht="14.25">
      <c r="A35" s="2100" t="str">
        <f t="array" ref="A35:A42">productos</f>
        <v>producto o servicio</v>
      </c>
      <c r="B35" s="1055">
        <f t="array" aca="1" ref="B35:M42" ca="1">'Distr CV 1'!B46:M53+'Distr CV 1'!B59:M66</f>
        <v>338.8</v>
      </c>
      <c r="C35" s="1055">
        <f ca="1"/>
        <v>423.50000000000006</v>
      </c>
      <c r="D35" s="1055">
        <f ca="1"/>
        <v>465.85000000000008</v>
      </c>
      <c r="E35" s="1055">
        <f ca="1"/>
        <v>444.67500000000007</v>
      </c>
      <c r="F35" s="1055">
        <f ca="1"/>
        <v>381.15000000000009</v>
      </c>
      <c r="G35" s="1055">
        <f ca="1"/>
        <v>359.97500000000002</v>
      </c>
      <c r="H35" s="1055">
        <f ca="1"/>
        <v>338.8</v>
      </c>
      <c r="I35" s="1055">
        <f ca="1"/>
        <v>254.10000000000002</v>
      </c>
      <c r="J35" s="1055">
        <f ca="1"/>
        <v>338.8</v>
      </c>
      <c r="K35" s="1055">
        <f ca="1"/>
        <v>402.32500000000005</v>
      </c>
      <c r="L35" s="1055">
        <f ca="1"/>
        <v>423.50000000000006</v>
      </c>
      <c r="M35" s="1055">
        <f ca="1"/>
        <v>508.20000000000005</v>
      </c>
      <c r="N35" s="2101">
        <f t="shared" ref="N35:N42" ca="1" si="4">SUM(B35:M35)</f>
        <v>4679.6750000000002</v>
      </c>
      <c r="O35" s="550"/>
    </row>
    <row r="36" spans="1:19" ht="14.25">
      <c r="A36" s="2102" t="str">
        <v/>
      </c>
      <c r="B36" s="1055">
        <f ca="1"/>
        <v>0</v>
      </c>
      <c r="C36" s="1055">
        <f ca="1"/>
        <v>0</v>
      </c>
      <c r="D36" s="1055">
        <f ca="1"/>
        <v>0</v>
      </c>
      <c r="E36" s="1055">
        <f ca="1"/>
        <v>0</v>
      </c>
      <c r="F36" s="1055">
        <f ca="1"/>
        <v>0</v>
      </c>
      <c r="G36" s="1055">
        <f ca="1"/>
        <v>0</v>
      </c>
      <c r="H36" s="1055">
        <f ca="1"/>
        <v>0</v>
      </c>
      <c r="I36" s="1055">
        <f ca="1"/>
        <v>0</v>
      </c>
      <c r="J36" s="1055">
        <f ca="1"/>
        <v>0</v>
      </c>
      <c r="K36" s="1055">
        <f ca="1"/>
        <v>0</v>
      </c>
      <c r="L36" s="1055">
        <f ca="1"/>
        <v>0</v>
      </c>
      <c r="M36" s="1055">
        <f ca="1"/>
        <v>0</v>
      </c>
      <c r="N36" s="2101">
        <f t="shared" ca="1" si="4"/>
        <v>0</v>
      </c>
      <c r="O36" s="550"/>
    </row>
    <row r="37" spans="1:19" ht="14.25">
      <c r="A37" s="2102" t="str">
        <v/>
      </c>
      <c r="B37" s="1055">
        <f ca="1"/>
        <v>0</v>
      </c>
      <c r="C37" s="1055">
        <f ca="1"/>
        <v>0</v>
      </c>
      <c r="D37" s="1055">
        <f ca="1"/>
        <v>0</v>
      </c>
      <c r="E37" s="1055">
        <f ca="1"/>
        <v>0</v>
      </c>
      <c r="F37" s="1055">
        <f ca="1"/>
        <v>0</v>
      </c>
      <c r="G37" s="1055">
        <f ca="1"/>
        <v>0</v>
      </c>
      <c r="H37" s="1055">
        <f ca="1"/>
        <v>0</v>
      </c>
      <c r="I37" s="1055">
        <f ca="1"/>
        <v>0</v>
      </c>
      <c r="J37" s="1055">
        <f ca="1"/>
        <v>0</v>
      </c>
      <c r="K37" s="1055">
        <f ca="1"/>
        <v>0</v>
      </c>
      <c r="L37" s="1055">
        <f ca="1"/>
        <v>0</v>
      </c>
      <c r="M37" s="1055">
        <f ca="1"/>
        <v>0</v>
      </c>
      <c r="N37" s="2101">
        <f t="shared" ca="1" si="4"/>
        <v>0</v>
      </c>
      <c r="O37" s="550"/>
    </row>
    <row r="38" spans="1:19" ht="14.25">
      <c r="A38" s="2102" t="str">
        <v/>
      </c>
      <c r="B38" s="1055">
        <f ca="1"/>
        <v>0</v>
      </c>
      <c r="C38" s="1055">
        <f ca="1"/>
        <v>0</v>
      </c>
      <c r="D38" s="1055">
        <f ca="1"/>
        <v>0</v>
      </c>
      <c r="E38" s="1055">
        <f ca="1"/>
        <v>0</v>
      </c>
      <c r="F38" s="1055">
        <f ca="1"/>
        <v>0</v>
      </c>
      <c r="G38" s="1055">
        <f ca="1"/>
        <v>0</v>
      </c>
      <c r="H38" s="1055">
        <f ca="1"/>
        <v>0</v>
      </c>
      <c r="I38" s="1055">
        <f ca="1"/>
        <v>0</v>
      </c>
      <c r="J38" s="1055">
        <f ca="1"/>
        <v>0</v>
      </c>
      <c r="K38" s="1055">
        <f ca="1"/>
        <v>0</v>
      </c>
      <c r="L38" s="1055">
        <f ca="1"/>
        <v>0</v>
      </c>
      <c r="M38" s="1055">
        <f ca="1"/>
        <v>0</v>
      </c>
      <c r="N38" s="2101">
        <f t="shared" ca="1" si="4"/>
        <v>0</v>
      </c>
      <c r="O38" s="550"/>
    </row>
    <row r="39" spans="1:19" ht="14.25">
      <c r="A39" s="2102" t="str">
        <v/>
      </c>
      <c r="B39" s="1055">
        <f ca="1"/>
        <v>0</v>
      </c>
      <c r="C39" s="1055">
        <f ca="1"/>
        <v>0</v>
      </c>
      <c r="D39" s="1055">
        <f ca="1"/>
        <v>0</v>
      </c>
      <c r="E39" s="1055">
        <f ca="1"/>
        <v>0</v>
      </c>
      <c r="F39" s="1055">
        <f ca="1"/>
        <v>0</v>
      </c>
      <c r="G39" s="1055">
        <f ca="1"/>
        <v>0</v>
      </c>
      <c r="H39" s="1055">
        <f ca="1"/>
        <v>0</v>
      </c>
      <c r="I39" s="1055">
        <f ca="1"/>
        <v>0</v>
      </c>
      <c r="J39" s="1055">
        <f ca="1"/>
        <v>0</v>
      </c>
      <c r="K39" s="1055">
        <f ca="1"/>
        <v>0</v>
      </c>
      <c r="L39" s="1055">
        <f ca="1"/>
        <v>0</v>
      </c>
      <c r="M39" s="1055">
        <f ca="1"/>
        <v>0</v>
      </c>
      <c r="N39" s="2101">
        <f t="shared" ca="1" si="4"/>
        <v>0</v>
      </c>
      <c r="O39" s="550"/>
    </row>
    <row r="40" spans="1:19" ht="14.25">
      <c r="A40" s="2102" t="str">
        <v/>
      </c>
      <c r="B40" s="1055">
        <f ca="1"/>
        <v>0</v>
      </c>
      <c r="C40" s="1055">
        <f ca="1"/>
        <v>0</v>
      </c>
      <c r="D40" s="1055">
        <f ca="1"/>
        <v>0</v>
      </c>
      <c r="E40" s="1055">
        <f ca="1"/>
        <v>0</v>
      </c>
      <c r="F40" s="1055">
        <f ca="1"/>
        <v>0</v>
      </c>
      <c r="G40" s="1055">
        <f ca="1"/>
        <v>0</v>
      </c>
      <c r="H40" s="1055">
        <f ca="1"/>
        <v>0</v>
      </c>
      <c r="I40" s="1055">
        <f ca="1"/>
        <v>0</v>
      </c>
      <c r="J40" s="1055">
        <f ca="1"/>
        <v>0</v>
      </c>
      <c r="K40" s="1055">
        <f ca="1"/>
        <v>0</v>
      </c>
      <c r="L40" s="1055">
        <f ca="1"/>
        <v>0</v>
      </c>
      <c r="M40" s="1055">
        <f ca="1"/>
        <v>0</v>
      </c>
      <c r="N40" s="2101">
        <f t="shared" ca="1" si="4"/>
        <v>0</v>
      </c>
      <c r="O40" s="550"/>
    </row>
    <row r="41" spans="1:19" ht="14.25">
      <c r="A41" s="2102" t="str">
        <v/>
      </c>
      <c r="B41" s="1055">
        <f ca="1"/>
        <v>0</v>
      </c>
      <c r="C41" s="1055">
        <f ca="1"/>
        <v>0</v>
      </c>
      <c r="D41" s="1055">
        <f ca="1"/>
        <v>0</v>
      </c>
      <c r="E41" s="1055">
        <f ca="1"/>
        <v>0</v>
      </c>
      <c r="F41" s="1055">
        <f ca="1"/>
        <v>0</v>
      </c>
      <c r="G41" s="1055">
        <f ca="1"/>
        <v>0</v>
      </c>
      <c r="H41" s="1055">
        <f ca="1"/>
        <v>0</v>
      </c>
      <c r="I41" s="1055">
        <f ca="1"/>
        <v>0</v>
      </c>
      <c r="J41" s="1055">
        <f ca="1"/>
        <v>0</v>
      </c>
      <c r="K41" s="1055">
        <f ca="1"/>
        <v>0</v>
      </c>
      <c r="L41" s="1055">
        <f ca="1"/>
        <v>0</v>
      </c>
      <c r="M41" s="1055">
        <f ca="1"/>
        <v>0</v>
      </c>
      <c r="N41" s="2101">
        <f t="shared" ca="1" si="4"/>
        <v>0</v>
      </c>
      <c r="O41" s="550"/>
    </row>
    <row r="42" spans="1:19" ht="15" thickBot="1">
      <c r="A42" s="2103" t="str">
        <v/>
      </c>
      <c r="B42" s="1056">
        <f ca="1"/>
        <v>0</v>
      </c>
      <c r="C42" s="1056">
        <f ca="1"/>
        <v>0</v>
      </c>
      <c r="D42" s="1056">
        <f ca="1"/>
        <v>0</v>
      </c>
      <c r="E42" s="1056">
        <f ca="1"/>
        <v>0</v>
      </c>
      <c r="F42" s="1056">
        <f ca="1"/>
        <v>0</v>
      </c>
      <c r="G42" s="1056">
        <f ca="1"/>
        <v>0</v>
      </c>
      <c r="H42" s="1056">
        <f ca="1"/>
        <v>0</v>
      </c>
      <c r="I42" s="1056">
        <f ca="1"/>
        <v>0</v>
      </c>
      <c r="J42" s="1056">
        <f ca="1"/>
        <v>0</v>
      </c>
      <c r="K42" s="1056">
        <f ca="1"/>
        <v>0</v>
      </c>
      <c r="L42" s="1056">
        <f ca="1"/>
        <v>0</v>
      </c>
      <c r="M42" s="1056">
        <f ca="1"/>
        <v>0</v>
      </c>
      <c r="N42" s="2101">
        <f t="shared" ca="1" si="4"/>
        <v>0</v>
      </c>
      <c r="O42" s="550"/>
    </row>
    <row r="43" spans="1:19" ht="15.75" thickBot="1">
      <c r="A43" s="167" t="s">
        <v>11</v>
      </c>
      <c r="B43" s="2718">
        <f t="shared" ref="B43:N43" ca="1" si="5">SUM(B35:B42)</f>
        <v>338.8</v>
      </c>
      <c r="C43" s="2718">
        <f t="shared" ca="1" si="5"/>
        <v>423.50000000000006</v>
      </c>
      <c r="D43" s="2718">
        <f t="shared" ca="1" si="5"/>
        <v>465.85000000000008</v>
      </c>
      <c r="E43" s="2718">
        <f t="shared" ca="1" si="5"/>
        <v>444.67500000000007</v>
      </c>
      <c r="F43" s="2718">
        <f t="shared" ca="1" si="5"/>
        <v>381.15000000000009</v>
      </c>
      <c r="G43" s="2718">
        <f t="shared" ca="1" si="5"/>
        <v>359.97500000000002</v>
      </c>
      <c r="H43" s="2718">
        <f t="shared" ca="1" si="5"/>
        <v>338.8</v>
      </c>
      <c r="I43" s="2718">
        <f t="shared" ca="1" si="5"/>
        <v>254.10000000000002</v>
      </c>
      <c r="J43" s="2718">
        <f t="shared" ca="1" si="5"/>
        <v>338.8</v>
      </c>
      <c r="K43" s="2718">
        <f t="shared" ca="1" si="5"/>
        <v>402.32500000000005</v>
      </c>
      <c r="L43" s="2718">
        <f t="shared" ca="1" si="5"/>
        <v>423.50000000000006</v>
      </c>
      <c r="M43" s="2718">
        <f t="shared" ca="1" si="5"/>
        <v>508.20000000000005</v>
      </c>
      <c r="N43" s="2718">
        <f t="shared" ca="1" si="5"/>
        <v>4679.6750000000002</v>
      </c>
      <c r="O43" s="550"/>
    </row>
    <row r="44" spans="1:19">
      <c r="C44" s="550"/>
      <c r="D44" s="550"/>
      <c r="E44" s="550"/>
      <c r="F44" s="550"/>
      <c r="G44" s="550"/>
      <c r="H44" s="550"/>
      <c r="I44" s="550"/>
      <c r="J44" s="550"/>
      <c r="K44" s="550"/>
      <c r="L44" s="550"/>
      <c r="M44" s="550"/>
      <c r="N44" s="550"/>
      <c r="O44" s="550"/>
      <c r="P44" s="550"/>
    </row>
    <row r="45" spans="1:19" s="326" customFormat="1" ht="22.5">
      <c r="A45" s="326" t="str">
        <f>'Cobros y pagos 0'!A45</f>
        <v>Pagos de compras y gastos variables (IVA incl.)</v>
      </c>
      <c r="B45" s="165"/>
      <c r="G45" s="165"/>
      <c r="H45" s="165"/>
    </row>
    <row r="46" spans="1:19" ht="15" thickBot="1">
      <c r="A46" s="550"/>
      <c r="B46" s="1054"/>
      <c r="C46" s="550"/>
      <c r="D46" s="550"/>
      <c r="E46" s="550"/>
      <c r="F46" s="550"/>
      <c r="G46" s="550"/>
      <c r="H46" s="550"/>
      <c r="I46" s="550"/>
      <c r="J46" s="550"/>
      <c r="K46" s="550"/>
      <c r="L46" s="550"/>
      <c r="M46" s="550"/>
      <c r="N46" s="550"/>
      <c r="O46" s="550"/>
      <c r="P46" s="1057" t="str">
        <f>'Cobros y pagos 0'!P46</f>
        <v>Pendiente para el año siguiente:</v>
      </c>
      <c r="Q46" s="1058" t="str">
        <f>Q18</f>
        <v>2028</v>
      </c>
    </row>
    <row r="47" spans="1:19" ht="27.75" customHeight="1" thickBot="1">
      <c r="A47" s="167" t="str">
        <f t="array" ref="A47:A54">'Cobros y pagos 0'!A47:A54</f>
        <v>Plazos de pago</v>
      </c>
      <c r="B47" s="2096" t="str">
        <f t="array" ref="B47:S47">B$19:S$19</f>
        <v>enero 
2027</v>
      </c>
      <c r="C47" s="2096" t="str">
        <v>febrero 
2027</v>
      </c>
      <c r="D47" s="2096" t="str">
        <v>marzo 
2027</v>
      </c>
      <c r="E47" s="2096" t="str">
        <v>abril 
2027</v>
      </c>
      <c r="F47" s="2096" t="str">
        <v>mayo 
2027</v>
      </c>
      <c r="G47" s="2096" t="str">
        <v>junio 
2027</v>
      </c>
      <c r="H47" s="2096" t="str">
        <v>julio 
2027</v>
      </c>
      <c r="I47" s="2096" t="str">
        <v>agosto 
2027</v>
      </c>
      <c r="J47" s="2096" t="str">
        <v>septiembre 
2027</v>
      </c>
      <c r="K47" s="2096" t="str">
        <v>octubre 
2027</v>
      </c>
      <c r="L47" s="2096" t="str">
        <v>noviembre 
2027</v>
      </c>
      <c r="M47" s="2096" t="str">
        <v>diciembre 
2027</v>
      </c>
      <c r="N47" s="2096" t="str">
        <v>enero 
2028</v>
      </c>
      <c r="O47" s="2096" t="str">
        <v>febrero 
2028</v>
      </c>
      <c r="P47" s="2096" t="str">
        <v>marzo 
2028</v>
      </c>
      <c r="Q47" s="2096" t="str">
        <v>abril 
2028</v>
      </c>
      <c r="R47" s="2096" t="str">
        <v>mayo 
2028</v>
      </c>
      <c r="S47" s="2096" t="str">
        <v>junio 
2028</v>
      </c>
    </row>
    <row r="48" spans="1:19" ht="14.25">
      <c r="A48" s="2097" t="str">
        <v>Contado</v>
      </c>
      <c r="B48" s="1055">
        <f t="array" aca="1" ref="B48" ca="1">SUM('Politicas Cobros y Pagos'!$B$73:$B$80*B$35:B$42)</f>
        <v>338.8</v>
      </c>
      <c r="C48" s="1055">
        <f t="array" aca="1" ref="C48" ca="1">SUM('Politicas Cobros y Pagos'!$B$73:$B$80*C$35:C$42)</f>
        <v>423.50000000000006</v>
      </c>
      <c r="D48" s="1055">
        <f t="array" aca="1" ref="D48" ca="1">SUM('Politicas Cobros y Pagos'!$B$73:$B$80*D$35:D$42)</f>
        <v>465.85000000000008</v>
      </c>
      <c r="E48" s="1055">
        <f t="array" aca="1" ref="E48" ca="1">SUM('Politicas Cobros y Pagos'!$B$73:$B$80*E$35:E$42)</f>
        <v>444.67500000000007</v>
      </c>
      <c r="F48" s="1055">
        <f t="array" aca="1" ref="F48" ca="1">SUM('Politicas Cobros y Pagos'!$B$73:$B$80*F$35:F$42)</f>
        <v>381.15000000000009</v>
      </c>
      <c r="G48" s="1055">
        <f t="array" aca="1" ref="G48" ca="1">SUM('Politicas Cobros y Pagos'!$B$73:$B$80*G$35:G$42)</f>
        <v>359.97500000000002</v>
      </c>
      <c r="H48" s="1055">
        <f t="array" aca="1" ref="H48" ca="1">SUM('Politicas Cobros y Pagos'!$B$73:$B$80*H$35:H$42)</f>
        <v>338.8</v>
      </c>
      <c r="I48" s="1055">
        <f t="array" aca="1" ref="I48" ca="1">SUM('Politicas Cobros y Pagos'!$B$73:$B$80*I$35:I$42)</f>
        <v>254.10000000000002</v>
      </c>
      <c r="J48" s="1055">
        <f t="array" aca="1" ref="J48" ca="1">SUM('Politicas Cobros y Pagos'!$B$73:$B$80*J$35:J$42)</f>
        <v>338.8</v>
      </c>
      <c r="K48" s="1055">
        <f t="array" aca="1" ref="K48" ca="1">SUM('Politicas Cobros y Pagos'!$B$73:$B$80*K$35:K$42)</f>
        <v>402.32500000000005</v>
      </c>
      <c r="L48" s="1055">
        <f t="array" aca="1" ref="L48" ca="1">SUM('Politicas Cobros y Pagos'!$B$73:$B$80*L$35:L$42)</f>
        <v>423.50000000000006</v>
      </c>
      <c r="M48" s="1055">
        <f t="array" aca="1" ref="M48" ca="1">SUM('Politicas Cobros y Pagos'!$B$73:$B$80*M$35:M$42)</f>
        <v>508.20000000000005</v>
      </c>
      <c r="N48" s="1055"/>
      <c r="O48" s="1055"/>
      <c r="P48" s="1055"/>
      <c r="Q48" s="1055"/>
      <c r="R48" s="1055"/>
      <c r="S48" s="1055"/>
    </row>
    <row r="49" spans="1:19" ht="14.25">
      <c r="A49" s="2098">
        <v>30</v>
      </c>
      <c r="B49" s="1067">
        <f t="array" aca="1" ref="B49:B54" ca="1">'Cobros y pagos 0'!N49:N54</f>
        <v>0</v>
      </c>
      <c r="C49" s="1055">
        <f t="array" aca="1" ref="C49" ca="1">SUM('Politicas Cobros y Pagos'!$C$73:$C$80*B$35:B$42)</f>
        <v>0</v>
      </c>
      <c r="D49" s="1055">
        <f t="array" aca="1" ref="D49" ca="1">SUM('Politicas Cobros y Pagos'!$C$73:$C$80*C$35:C$42)</f>
        <v>0</v>
      </c>
      <c r="E49" s="1055">
        <f t="array" aca="1" ref="E49" ca="1">SUM('Politicas Cobros y Pagos'!$C$73:$C$80*D$35:D$42)</f>
        <v>0</v>
      </c>
      <c r="F49" s="1055">
        <f t="array" aca="1" ref="F49" ca="1">SUM('Politicas Cobros y Pagos'!$C$73:$C$80*E$35:E$42)</f>
        <v>0</v>
      </c>
      <c r="G49" s="1055">
        <f t="array" aca="1" ref="G49" ca="1">SUM('Politicas Cobros y Pagos'!$C$73:$C$80*F$35:F$42)</f>
        <v>0</v>
      </c>
      <c r="H49" s="1055">
        <f t="array" aca="1" ref="H49" ca="1">SUM('Politicas Cobros y Pagos'!$C$73:$C$80*G$35:G$42)</f>
        <v>0</v>
      </c>
      <c r="I49" s="1055">
        <f t="array" aca="1" ref="I49" ca="1">SUM('Politicas Cobros y Pagos'!$C$73:$C$80*H$35:H$42)</f>
        <v>0</v>
      </c>
      <c r="J49" s="1055">
        <f t="array" aca="1" ref="J49" ca="1">SUM('Politicas Cobros y Pagos'!$C$73:$C$80*I$35:I$42)</f>
        <v>0</v>
      </c>
      <c r="K49" s="1055">
        <f t="array" aca="1" ref="K49" ca="1">SUM('Politicas Cobros y Pagos'!$C$73:$C$80*J$35:J$42)</f>
        <v>0</v>
      </c>
      <c r="L49" s="1055">
        <f t="array" aca="1" ref="L49" ca="1">SUM('Politicas Cobros y Pagos'!$C$73:$C$80*K$35:K$42)</f>
        <v>0</v>
      </c>
      <c r="M49" s="1055">
        <f t="array" aca="1" ref="M49" ca="1">SUM('Politicas Cobros y Pagos'!$C$73:$C$80*L$35:L$42)</f>
        <v>0</v>
      </c>
      <c r="N49" s="1055">
        <f t="array" aca="1" ref="N49" ca="1">SUM('Politicas Cobros y Pagos'!$C$73:$C$80*M$35:M$42)</f>
        <v>0</v>
      </c>
      <c r="O49" s="1055"/>
      <c r="P49" s="1055"/>
      <c r="Q49" s="1055"/>
      <c r="R49" s="1055"/>
      <c r="S49" s="1055"/>
    </row>
    <row r="50" spans="1:19" ht="14.25">
      <c r="A50" s="2098">
        <v>60</v>
      </c>
      <c r="B50" s="1067">
        <f ca="1"/>
        <v>0</v>
      </c>
      <c r="C50" s="1067">
        <f t="array" aca="1" ref="C50:C54" ca="1">'Cobros y pagos 0'!O50:O54</f>
        <v>0</v>
      </c>
      <c r="D50" s="1055">
        <f t="array" aca="1" ref="D50" ca="1">SUM('Politicas Cobros y Pagos'!$D$73:$D$80*B$35:B$42)</f>
        <v>0</v>
      </c>
      <c r="E50" s="1055">
        <f t="array" aca="1" ref="E50" ca="1">SUM('Politicas Cobros y Pagos'!$D$73:$D$80*C$35:C$42)</f>
        <v>0</v>
      </c>
      <c r="F50" s="1055">
        <f t="array" aca="1" ref="F50" ca="1">SUM('Politicas Cobros y Pagos'!$D$73:$D$80*D$35:D$42)</f>
        <v>0</v>
      </c>
      <c r="G50" s="1055">
        <f t="array" aca="1" ref="G50" ca="1">SUM('Politicas Cobros y Pagos'!$D$73:$D$80*E$35:E$42)</f>
        <v>0</v>
      </c>
      <c r="H50" s="1055">
        <f t="array" aca="1" ref="H50" ca="1">SUM('Politicas Cobros y Pagos'!$D$73:$D$80*F$35:F$42)</f>
        <v>0</v>
      </c>
      <c r="I50" s="1055">
        <f t="array" aca="1" ref="I50" ca="1">SUM('Politicas Cobros y Pagos'!$D$73:$D$80*G$35:G$42)</f>
        <v>0</v>
      </c>
      <c r="J50" s="1055">
        <f t="array" aca="1" ref="J50" ca="1">SUM('Politicas Cobros y Pagos'!$D$73:$D$80*H$35:H$42)</f>
        <v>0</v>
      </c>
      <c r="K50" s="1055">
        <f t="array" aca="1" ref="K50" ca="1">SUM('Politicas Cobros y Pagos'!$D$73:$D$80*I$35:I$42)</f>
        <v>0</v>
      </c>
      <c r="L50" s="1055">
        <f t="array" aca="1" ref="L50" ca="1">SUM('Politicas Cobros y Pagos'!$D$73:$D$80*J$35:J$42)</f>
        <v>0</v>
      </c>
      <c r="M50" s="1055">
        <f t="array" aca="1" ref="M50" ca="1">SUM('Politicas Cobros y Pagos'!$D$73:$D$80*K$35:K$42)</f>
        <v>0</v>
      </c>
      <c r="N50" s="1055">
        <f t="array" aca="1" ref="N50" ca="1">SUM('Politicas Cobros y Pagos'!$D$73:$D$80*L$35:L$42)</f>
        <v>0</v>
      </c>
      <c r="O50" s="1055">
        <f t="array" aca="1" ref="O50" ca="1">SUM('Politicas Cobros y Pagos'!$D$73:$D$80*M$35:M$42)</f>
        <v>0</v>
      </c>
      <c r="P50" s="1055"/>
      <c r="Q50" s="1055"/>
      <c r="R50" s="1055"/>
      <c r="S50" s="1055"/>
    </row>
    <row r="51" spans="1:19" ht="14.25">
      <c r="A51" s="2098">
        <v>90</v>
      </c>
      <c r="B51" s="1067">
        <f ca="1"/>
        <v>0</v>
      </c>
      <c r="C51" s="1067">
        <f ca="1"/>
        <v>0</v>
      </c>
      <c r="D51" s="1067">
        <f t="array" aca="1" ref="D51:D54" ca="1">'Cobros y pagos 0'!P51:P54</f>
        <v>0</v>
      </c>
      <c r="E51" s="1055">
        <f t="array" aca="1" ref="E51" ca="1">SUM('Politicas Cobros y Pagos'!$E$73:$E$80*B$35:B$42)</f>
        <v>0</v>
      </c>
      <c r="F51" s="1055">
        <f t="array" aca="1" ref="F51" ca="1">SUM('Politicas Cobros y Pagos'!$E$73:$E$80*C$35:C$42)</f>
        <v>0</v>
      </c>
      <c r="G51" s="1055">
        <f t="array" aca="1" ref="G51" ca="1">SUM('Politicas Cobros y Pagos'!$E$73:$E$80*D$35:D$42)</f>
        <v>0</v>
      </c>
      <c r="H51" s="1055">
        <f t="array" aca="1" ref="H51" ca="1">SUM('Politicas Cobros y Pagos'!$E$73:$E$80*E$35:E$42)</f>
        <v>0</v>
      </c>
      <c r="I51" s="1055">
        <f t="array" aca="1" ref="I51" ca="1">SUM('Politicas Cobros y Pagos'!$E$73:$E$80*F$35:F$42)</f>
        <v>0</v>
      </c>
      <c r="J51" s="1055">
        <f t="array" aca="1" ref="J51" ca="1">SUM('Politicas Cobros y Pagos'!$E$73:$E$80*G$35:G$42)</f>
        <v>0</v>
      </c>
      <c r="K51" s="1055">
        <f t="array" aca="1" ref="K51" ca="1">SUM('Politicas Cobros y Pagos'!$E$73:$E$80*H$35:H$42)</f>
        <v>0</v>
      </c>
      <c r="L51" s="1055">
        <f t="array" aca="1" ref="L51" ca="1">SUM('Politicas Cobros y Pagos'!$E$73:$E$80*I$35:I$42)</f>
        <v>0</v>
      </c>
      <c r="M51" s="1055">
        <f t="array" aca="1" ref="M51" ca="1">SUM('Politicas Cobros y Pagos'!$E$73:$E$80*J$35:J$42)</f>
        <v>0</v>
      </c>
      <c r="N51" s="1055">
        <f t="array" aca="1" ref="N51" ca="1">SUM('Politicas Cobros y Pagos'!$E$73:$E$80*K$35:K$42)</f>
        <v>0</v>
      </c>
      <c r="O51" s="1055">
        <f t="array" aca="1" ref="O51" ca="1">SUM('Politicas Cobros y Pagos'!$E$73:$E$80*L$35:L$42)</f>
        <v>0</v>
      </c>
      <c r="P51" s="1055">
        <f t="array" aca="1" ref="P51" ca="1">SUM('Politicas Cobros y Pagos'!$E$73:$E$80*M$35:M$42)</f>
        <v>0</v>
      </c>
      <c r="Q51" s="1055"/>
      <c r="R51" s="1055"/>
      <c r="S51" s="1055"/>
    </row>
    <row r="52" spans="1:19" ht="14.25">
      <c r="A52" s="2098">
        <v>120</v>
      </c>
      <c r="B52" s="1067">
        <f ca="1"/>
        <v>0</v>
      </c>
      <c r="C52" s="1067">
        <f ca="1"/>
        <v>0</v>
      </c>
      <c r="D52" s="1067">
        <f ca="1"/>
        <v>0</v>
      </c>
      <c r="E52" s="1067">
        <f t="array" aca="1" ref="E52:E54" ca="1">'Cobros y pagos 0'!Q52:Q54</f>
        <v>0</v>
      </c>
      <c r="F52" s="1055">
        <f t="array" aca="1" ref="F52" ca="1">SUM('Politicas Cobros y Pagos'!$F$73:$F$80*B$35:B$42)</f>
        <v>0</v>
      </c>
      <c r="G52" s="1055">
        <f t="array" aca="1" ref="G52" ca="1">SUM('Politicas Cobros y Pagos'!$F$73:$F$80*C$35:C$42)</f>
        <v>0</v>
      </c>
      <c r="H52" s="1055">
        <f t="array" aca="1" ref="H52" ca="1">SUM('Politicas Cobros y Pagos'!$F$73:$F$80*D$35:D$42)</f>
        <v>0</v>
      </c>
      <c r="I52" s="1055">
        <f t="array" aca="1" ref="I52" ca="1">SUM('Politicas Cobros y Pagos'!$F$73:$F$80*E$35:E$42)</f>
        <v>0</v>
      </c>
      <c r="J52" s="1055">
        <f t="array" aca="1" ref="J52" ca="1">SUM('Politicas Cobros y Pagos'!$F$73:$F$80*F$35:F$42)</f>
        <v>0</v>
      </c>
      <c r="K52" s="1055">
        <f t="array" aca="1" ref="K52" ca="1">SUM('Politicas Cobros y Pagos'!$F$73:$F$80*G$35:G$42)</f>
        <v>0</v>
      </c>
      <c r="L52" s="1055">
        <f t="array" aca="1" ref="L52" ca="1">SUM('Politicas Cobros y Pagos'!$F$73:$F$80*H$35:H$42)</f>
        <v>0</v>
      </c>
      <c r="M52" s="1055">
        <f t="array" aca="1" ref="M52" ca="1">SUM('Politicas Cobros y Pagos'!$F$73:$F$80*I$35:I$42)</f>
        <v>0</v>
      </c>
      <c r="N52" s="1055">
        <f t="array" aca="1" ref="N52" ca="1">SUM('Politicas Cobros y Pagos'!$F$73:$F$80*J$35:J$42)</f>
        <v>0</v>
      </c>
      <c r="O52" s="1055">
        <f t="array" aca="1" ref="O52" ca="1">SUM('Politicas Cobros y Pagos'!$F$73:$F$80*K$35:K$42)</f>
        <v>0</v>
      </c>
      <c r="P52" s="1055">
        <f t="array" aca="1" ref="P52" ca="1">SUM('Politicas Cobros y Pagos'!$F$73:$F$80*L$35:L$42)</f>
        <v>0</v>
      </c>
      <c r="Q52" s="1055">
        <f t="array" aca="1" ref="Q52" ca="1">SUM('Politicas Cobros y Pagos'!$F$73:$F$80*M$35:M$42)</f>
        <v>0</v>
      </c>
      <c r="R52" s="1055"/>
      <c r="S52" s="1055"/>
    </row>
    <row r="53" spans="1:19" ht="14.25">
      <c r="A53" s="2098">
        <v>150</v>
      </c>
      <c r="B53" s="1067">
        <f ca="1"/>
        <v>0</v>
      </c>
      <c r="C53" s="1067">
        <f ca="1"/>
        <v>0</v>
      </c>
      <c r="D53" s="1067">
        <f ca="1"/>
        <v>0</v>
      </c>
      <c r="E53" s="1067">
        <f ca="1"/>
        <v>0</v>
      </c>
      <c r="F53" s="1067">
        <f t="array" aca="1" ref="F53:F54" ca="1">'Cobros y pagos 0'!R53:R54</f>
        <v>0</v>
      </c>
      <c r="G53" s="1055">
        <f t="array" aca="1" ref="G53" ca="1">SUM('Politicas Cobros y Pagos'!$G$73:$G$80*B$35:B$42)</f>
        <v>0</v>
      </c>
      <c r="H53" s="1055">
        <f t="array" aca="1" ref="H53" ca="1">SUM('Politicas Cobros y Pagos'!$G$73:$G$80*C$35:C$42)</f>
        <v>0</v>
      </c>
      <c r="I53" s="1055">
        <f t="array" aca="1" ref="I53" ca="1">SUM('Politicas Cobros y Pagos'!$G$73:$G$80*D$35:D$42)</f>
        <v>0</v>
      </c>
      <c r="J53" s="1055">
        <f t="array" aca="1" ref="J53" ca="1">SUM('Politicas Cobros y Pagos'!$G$73:$G$80*E$35:E$42)</f>
        <v>0</v>
      </c>
      <c r="K53" s="1055">
        <f t="array" aca="1" ref="K53" ca="1">SUM('Politicas Cobros y Pagos'!$G$73:$G$80*F$35:F$42)</f>
        <v>0</v>
      </c>
      <c r="L53" s="1055">
        <f t="array" aca="1" ref="L53" ca="1">SUM('Politicas Cobros y Pagos'!$G$73:$G$80*G$35:G$42)</f>
        <v>0</v>
      </c>
      <c r="M53" s="1055">
        <f t="array" aca="1" ref="M53" ca="1">SUM('Politicas Cobros y Pagos'!$G$73:$G$80*H$35:H$42)</f>
        <v>0</v>
      </c>
      <c r="N53" s="1055">
        <f t="array" aca="1" ref="N53" ca="1">SUM('Politicas Cobros y Pagos'!$G$73:$G$80*I$35:I$42)</f>
        <v>0</v>
      </c>
      <c r="O53" s="1055">
        <f t="array" aca="1" ref="O53" ca="1">SUM('Politicas Cobros y Pagos'!$G$73:$G$80*J$35:J$42)</f>
        <v>0</v>
      </c>
      <c r="P53" s="1055">
        <f t="array" aca="1" ref="P53" ca="1">SUM('Politicas Cobros y Pagos'!$G$73:$G$80*K$35:K$42)</f>
        <v>0</v>
      </c>
      <c r="Q53" s="1055">
        <f t="array" aca="1" ref="Q53" ca="1">SUM('Politicas Cobros y Pagos'!$G$73:$G$80*L$35:L$42)</f>
        <v>0</v>
      </c>
      <c r="R53" s="1055">
        <f t="array" aca="1" ref="R53" ca="1">SUM('Politicas Cobros y Pagos'!$G$73:$G$80*M$35:M$42)</f>
        <v>0</v>
      </c>
      <c r="S53" s="1055"/>
    </row>
    <row r="54" spans="1:19" ht="14.25">
      <c r="A54" s="2098">
        <v>180</v>
      </c>
      <c r="B54" s="1067">
        <f ca="1"/>
        <v>0</v>
      </c>
      <c r="C54" s="1067">
        <f ca="1"/>
        <v>0</v>
      </c>
      <c r="D54" s="1067">
        <f ca="1"/>
        <v>0</v>
      </c>
      <c r="E54" s="1067">
        <f ca="1"/>
        <v>0</v>
      </c>
      <c r="F54" s="1067">
        <f ca="1"/>
        <v>0</v>
      </c>
      <c r="G54" s="1067">
        <f ca="1">'Cobros y pagos 0'!S54</f>
        <v>0</v>
      </c>
      <c r="H54" s="1055">
        <f t="array" aca="1" ref="H54" ca="1">SUM('Politicas Cobros y Pagos'!$H$73:$H$80*B$35:B$42)</f>
        <v>0</v>
      </c>
      <c r="I54" s="1055">
        <f t="array" aca="1" ref="I54" ca="1">SUM('Politicas Cobros y Pagos'!$H$73:$H$80*C$35:C$42)</f>
        <v>0</v>
      </c>
      <c r="J54" s="1055">
        <f t="array" aca="1" ref="J54" ca="1">SUM('Politicas Cobros y Pagos'!$H$73:$H$80*D$35:D$42)</f>
        <v>0</v>
      </c>
      <c r="K54" s="1055">
        <f t="array" aca="1" ref="K54" ca="1">SUM('Politicas Cobros y Pagos'!$H$73:$H$80*E$35:E$42)</f>
        <v>0</v>
      </c>
      <c r="L54" s="1055">
        <f t="array" aca="1" ref="L54" ca="1">SUM('Politicas Cobros y Pagos'!$H$73:$H$80*F$35:F$42)</f>
        <v>0</v>
      </c>
      <c r="M54" s="1055">
        <f t="array" aca="1" ref="M54" ca="1">SUM('Politicas Cobros y Pagos'!$H$73:$H$80*G$35:G$42)</f>
        <v>0</v>
      </c>
      <c r="N54" s="1055">
        <f t="array" aca="1" ref="N54" ca="1">SUM('Politicas Cobros y Pagos'!$H$73:$H$80*H$35:H$42)</f>
        <v>0</v>
      </c>
      <c r="O54" s="1055">
        <f t="array" aca="1" ref="O54" ca="1">SUM('Politicas Cobros y Pagos'!$H$73:$H$80*I$35:I$42)</f>
        <v>0</v>
      </c>
      <c r="P54" s="1055">
        <f t="array" aca="1" ref="P54" ca="1">SUM('Politicas Cobros y Pagos'!$H$73:$H$80*J$35:J$42)</f>
        <v>0</v>
      </c>
      <c r="Q54" s="1055">
        <f t="array" aca="1" ref="Q54" ca="1">SUM('Politicas Cobros y Pagos'!$H$73:$H$80*K$35:K$42)</f>
        <v>0</v>
      </c>
      <c r="R54" s="1055">
        <f t="array" aca="1" ref="R54" ca="1">SUM('Politicas Cobros y Pagos'!$H$73:$H$80*L$35:L$42)</f>
        <v>0</v>
      </c>
      <c r="S54" s="1055">
        <f t="array" aca="1" ref="S54" ca="1">SUM('Politicas Cobros y Pagos'!$H$73:$H$80*M$35:M$42)</f>
        <v>0</v>
      </c>
    </row>
    <row r="55" spans="1:19" ht="15" thickBot="1">
      <c r="A55" s="2806" t="s">
        <v>11</v>
      </c>
      <c r="B55" s="2719">
        <f t="shared" ref="B55:S55" ca="1" si="6">SUM(B48:B54)</f>
        <v>338.8</v>
      </c>
      <c r="C55" s="2719">
        <f t="shared" ca="1" si="6"/>
        <v>423.50000000000006</v>
      </c>
      <c r="D55" s="2719">
        <f t="shared" ca="1" si="6"/>
        <v>465.85000000000008</v>
      </c>
      <c r="E55" s="2719">
        <f t="shared" ca="1" si="6"/>
        <v>444.67500000000007</v>
      </c>
      <c r="F55" s="2719">
        <f t="shared" ca="1" si="6"/>
        <v>381.15000000000009</v>
      </c>
      <c r="G55" s="2719">
        <f t="shared" ca="1" si="6"/>
        <v>359.97500000000002</v>
      </c>
      <c r="H55" s="2719">
        <f t="shared" ca="1" si="6"/>
        <v>338.8</v>
      </c>
      <c r="I55" s="2719">
        <f t="shared" ca="1" si="6"/>
        <v>254.10000000000002</v>
      </c>
      <c r="J55" s="2719">
        <f t="shared" ca="1" si="6"/>
        <v>338.8</v>
      </c>
      <c r="K55" s="2719">
        <f t="shared" ca="1" si="6"/>
        <v>402.32500000000005</v>
      </c>
      <c r="L55" s="2719">
        <f t="shared" ca="1" si="6"/>
        <v>423.50000000000006</v>
      </c>
      <c r="M55" s="2719">
        <f t="shared" ca="1" si="6"/>
        <v>508.20000000000005</v>
      </c>
      <c r="N55" s="2719">
        <f t="shared" ca="1" si="6"/>
        <v>0</v>
      </c>
      <c r="O55" s="2719">
        <f t="shared" ca="1" si="6"/>
        <v>0</v>
      </c>
      <c r="P55" s="2719">
        <f t="shared" ca="1" si="6"/>
        <v>0</v>
      </c>
      <c r="Q55" s="2719">
        <f t="shared" ca="1" si="6"/>
        <v>0</v>
      </c>
      <c r="R55" s="2719">
        <f t="shared" ca="1" si="6"/>
        <v>0</v>
      </c>
      <c r="S55" s="2719">
        <f t="shared" ca="1" si="6"/>
        <v>0</v>
      </c>
    </row>
    <row r="56" spans="1:19" ht="13.5" thickBot="1">
      <c r="A56" s="550"/>
      <c r="B56" s="1054"/>
      <c r="C56" s="543"/>
      <c r="D56" s="543"/>
      <c r="E56" s="543"/>
      <c r="F56" s="543"/>
      <c r="G56" s="543"/>
      <c r="H56" s="543"/>
      <c r="I56" s="543"/>
      <c r="J56" s="543"/>
      <c r="K56" s="543"/>
      <c r="L56" s="543"/>
      <c r="M56" s="543"/>
      <c r="N56" s="543"/>
      <c r="O56" s="550"/>
      <c r="P56" s="543"/>
    </row>
    <row r="57" spans="1:19" ht="13.5" thickBot="1">
      <c r="N57" s="1068"/>
      <c r="O57" s="1069"/>
      <c r="P57" s="1069"/>
      <c r="Q57" s="1069"/>
      <c r="R57" s="1078" t="str">
        <f>CONCATENATE("Pagos de compras y CV pendintes para el año ",Q46," (sin ",'Datos Básicos'!A28,")")</f>
        <v>Pagos de compras y CV pendintes para el año 2028 (sin IVA)</v>
      </c>
      <c r="S57" s="1079">
        <f ca="1">SUM(N55:S55)</f>
        <v>0</v>
      </c>
    </row>
  </sheetData>
  <sheetProtection sheet="1" objects="1" scenarios="1"/>
  <phoneticPr fontId="6" type="noConversion"/>
  <printOptions horizontalCentered="1" verticalCentered="1"/>
  <pageMargins left="0.39370078740157483" right="0.39370078740157483" top="0.34" bottom="0.31" header="0.31496062992125984" footer="0.31496062992125984"/>
  <pageSetup paperSize="9" scale="60" orientation="landscape" horizontalDpi="300" verticalDpi="300" r:id="rId1"/>
  <headerFooter alignWithMargins="0">
    <oddFooter>&amp;C&amp;"Tahoma,Normal"&amp;10&amp;A</oddFooter>
  </headerFooter>
  <rowBreaks count="1" manualBreakCount="1">
    <brk id="16" max="14"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22">
    <tabColor indexed="41"/>
    <pageSetUpPr fitToPage="1"/>
  </sheetPr>
  <dimension ref="A1:S57"/>
  <sheetViews>
    <sheetView workbookViewId="0"/>
  </sheetViews>
  <sheetFormatPr baseColWidth="10" defaultColWidth="11" defaultRowHeight="12.75"/>
  <cols>
    <col min="1" max="1" width="24.75" style="279" customWidth="1"/>
    <col min="2" max="2" width="9.75" style="281" customWidth="1"/>
    <col min="3" max="4" width="10" style="87" customWidth="1"/>
    <col min="5" max="5" width="11.375" style="87" customWidth="1"/>
    <col min="6" max="14" width="10" style="87" customWidth="1"/>
    <col min="15" max="15" width="9.5" style="279" customWidth="1"/>
    <col min="16" max="16384" width="11" style="87"/>
  </cols>
  <sheetData>
    <row r="1" spans="1:15" ht="25.5">
      <c r="A1" s="956" t="str">
        <f>'Cobros y pagos 0'!A1</f>
        <v>Cobros y de Pagos de la Empresa</v>
      </c>
      <c r="B1" s="1071"/>
      <c r="E1" s="2711" t="str">
        <f>Parametros!D$77</f>
        <v>Año 2:  2028</v>
      </c>
      <c r="F1" s="296"/>
      <c r="M1" s="1072"/>
      <c r="O1" s="87"/>
    </row>
    <row r="2" spans="1:15" s="543" customFormat="1" ht="25.5">
      <c r="A2" s="164" t="str">
        <f>'Datos Básicos'!B9</f>
        <v>nombre empresa</v>
      </c>
      <c r="B2" s="1071"/>
      <c r="D2" s="1073"/>
      <c r="E2" s="161"/>
    </row>
    <row r="3" spans="1:15" ht="21" customHeight="1">
      <c r="A3" s="87"/>
      <c r="B3" s="1058"/>
      <c r="O3" s="87"/>
    </row>
    <row r="4" spans="1:15" ht="25.5">
      <c r="A4" s="164" t="str">
        <f>'Cobros y pagos 0'!A4</f>
        <v>Ventas (IVA incl.)</v>
      </c>
      <c r="B4" s="1058"/>
      <c r="E4" s="165"/>
      <c r="F4" s="165"/>
      <c r="O4" s="87"/>
    </row>
    <row r="5" spans="1:15" ht="5.25" customHeight="1" thickBot="1"/>
    <row r="6" spans="1:15" s="1054" customFormat="1" ht="16.149999999999999" customHeight="1" thickBot="1">
      <c r="A6" s="167" t="str">
        <f>'Cobros y pagos 0'!A6</f>
        <v>Ventas del periodo</v>
      </c>
      <c r="B6" s="2714" t="str">
        <f t="array" ref="B6:M6">meses</f>
        <v>enero</v>
      </c>
      <c r="C6" s="2715" t="str">
        <v>febrero</v>
      </c>
      <c r="D6" s="2715" t="str">
        <v>marzo</v>
      </c>
      <c r="E6" s="2715" t="str">
        <v>abril</v>
      </c>
      <c r="F6" s="2715" t="str">
        <v>mayo</v>
      </c>
      <c r="G6" s="2715" t="str">
        <v>junio</v>
      </c>
      <c r="H6" s="2715" t="str">
        <v>julio</v>
      </c>
      <c r="I6" s="2715" t="str">
        <v>agosto</v>
      </c>
      <c r="J6" s="2715" t="str">
        <v>septiembre</v>
      </c>
      <c r="K6" s="2715" t="str">
        <v>octubre</v>
      </c>
      <c r="L6" s="2715" t="str">
        <v>noviembre</v>
      </c>
      <c r="M6" s="2715" t="str">
        <v>diciembre</v>
      </c>
      <c r="N6" s="2715" t="s">
        <v>11</v>
      </c>
    </row>
    <row r="7" spans="1:15" s="550" customFormat="1" ht="16.149999999999999" customHeight="1">
      <c r="A7" s="2100" t="str">
        <f t="array" ref="A7:A14">productos</f>
        <v>producto o servicio</v>
      </c>
      <c r="B7" s="1055">
        <f t="array" aca="1" ref="B7:M14" ca="1">'Prev.Ventas 2'!B17:M24*(1+Parametros!$E24:$E31 - ret_irpf  )</f>
        <v>3489.64</v>
      </c>
      <c r="C7" s="1055">
        <f ca="1"/>
        <v>4362.05</v>
      </c>
      <c r="D7" s="1055">
        <f ca="1"/>
        <v>4798.2550000000001</v>
      </c>
      <c r="E7" s="1055">
        <f ca="1"/>
        <v>4580.1525000000001</v>
      </c>
      <c r="F7" s="1055">
        <f ca="1"/>
        <v>3925.8449999999998</v>
      </c>
      <c r="G7" s="1055">
        <f ca="1"/>
        <v>3707.7424999999998</v>
      </c>
      <c r="H7" s="1055">
        <f ca="1"/>
        <v>3489.64</v>
      </c>
      <c r="I7" s="1055">
        <f ca="1"/>
        <v>2617.23</v>
      </c>
      <c r="J7" s="1055">
        <f ca="1"/>
        <v>3489.64</v>
      </c>
      <c r="K7" s="1055">
        <f ca="1"/>
        <v>4143.9475000000002</v>
      </c>
      <c r="L7" s="1055">
        <f ca="1"/>
        <v>4362.05</v>
      </c>
      <c r="M7" s="1055">
        <f ca="1"/>
        <v>5234.46</v>
      </c>
      <c r="N7" s="2101">
        <f t="shared" ref="N7:N14" ca="1" si="0">SUM(B7:M7)</f>
        <v>48200.652500000004</v>
      </c>
    </row>
    <row r="8" spans="1:15" s="550" customFormat="1" ht="16.149999999999999" customHeight="1">
      <c r="A8" s="2102" t="str">
        <v/>
      </c>
      <c r="B8" s="1055">
        <f ca="1"/>
        <v>0</v>
      </c>
      <c r="C8" s="1055">
        <f ca="1"/>
        <v>0</v>
      </c>
      <c r="D8" s="1055">
        <f ca="1"/>
        <v>0</v>
      </c>
      <c r="E8" s="1055">
        <f ca="1"/>
        <v>0</v>
      </c>
      <c r="F8" s="1055">
        <f ca="1"/>
        <v>0</v>
      </c>
      <c r="G8" s="1055">
        <f ca="1"/>
        <v>0</v>
      </c>
      <c r="H8" s="1055">
        <f ca="1"/>
        <v>0</v>
      </c>
      <c r="I8" s="1055">
        <f ca="1"/>
        <v>0</v>
      </c>
      <c r="J8" s="1055">
        <f ca="1"/>
        <v>0</v>
      </c>
      <c r="K8" s="1055">
        <f ca="1"/>
        <v>0</v>
      </c>
      <c r="L8" s="1055">
        <f ca="1"/>
        <v>0</v>
      </c>
      <c r="M8" s="1055">
        <f ca="1"/>
        <v>0</v>
      </c>
      <c r="N8" s="2101">
        <f t="shared" ca="1" si="0"/>
        <v>0</v>
      </c>
    </row>
    <row r="9" spans="1:15" s="550" customFormat="1" ht="16.149999999999999" customHeight="1">
      <c r="A9" s="2102" t="str">
        <v/>
      </c>
      <c r="B9" s="1055">
        <f ca="1"/>
        <v>0</v>
      </c>
      <c r="C9" s="1055">
        <f ca="1"/>
        <v>0</v>
      </c>
      <c r="D9" s="1055">
        <f ca="1"/>
        <v>0</v>
      </c>
      <c r="E9" s="1055">
        <f ca="1"/>
        <v>0</v>
      </c>
      <c r="F9" s="1055">
        <f ca="1"/>
        <v>0</v>
      </c>
      <c r="G9" s="1055">
        <f ca="1"/>
        <v>0</v>
      </c>
      <c r="H9" s="1055">
        <f ca="1"/>
        <v>0</v>
      </c>
      <c r="I9" s="1055">
        <f ca="1"/>
        <v>0</v>
      </c>
      <c r="J9" s="1055">
        <f ca="1"/>
        <v>0</v>
      </c>
      <c r="K9" s="1055">
        <f ca="1"/>
        <v>0</v>
      </c>
      <c r="L9" s="1055">
        <f ca="1"/>
        <v>0</v>
      </c>
      <c r="M9" s="1055">
        <f ca="1"/>
        <v>0</v>
      </c>
      <c r="N9" s="2101">
        <f t="shared" ca="1" si="0"/>
        <v>0</v>
      </c>
    </row>
    <row r="10" spans="1:15" s="550" customFormat="1" ht="16.149999999999999" customHeight="1">
      <c r="A10" s="2102" t="str">
        <v/>
      </c>
      <c r="B10" s="1055">
        <f ca="1"/>
        <v>0</v>
      </c>
      <c r="C10" s="1055">
        <f ca="1"/>
        <v>0</v>
      </c>
      <c r="D10" s="1055">
        <f ca="1"/>
        <v>0</v>
      </c>
      <c r="E10" s="1055">
        <f ca="1"/>
        <v>0</v>
      </c>
      <c r="F10" s="1055">
        <f ca="1"/>
        <v>0</v>
      </c>
      <c r="G10" s="1055">
        <f ca="1"/>
        <v>0</v>
      </c>
      <c r="H10" s="1055">
        <f ca="1"/>
        <v>0</v>
      </c>
      <c r="I10" s="1055">
        <f ca="1"/>
        <v>0</v>
      </c>
      <c r="J10" s="1055">
        <f ca="1"/>
        <v>0</v>
      </c>
      <c r="K10" s="1055">
        <f ca="1"/>
        <v>0</v>
      </c>
      <c r="L10" s="1055">
        <f ca="1"/>
        <v>0</v>
      </c>
      <c r="M10" s="1055">
        <f ca="1"/>
        <v>0</v>
      </c>
      <c r="N10" s="2101">
        <f t="shared" ca="1" si="0"/>
        <v>0</v>
      </c>
    </row>
    <row r="11" spans="1:15" s="550" customFormat="1" ht="16.149999999999999" customHeight="1">
      <c r="A11" s="2102" t="str">
        <v/>
      </c>
      <c r="B11" s="1055">
        <f ca="1"/>
        <v>0</v>
      </c>
      <c r="C11" s="1055">
        <f ca="1"/>
        <v>0</v>
      </c>
      <c r="D11" s="1055">
        <f ca="1"/>
        <v>0</v>
      </c>
      <c r="E11" s="1055">
        <f ca="1"/>
        <v>0</v>
      </c>
      <c r="F11" s="1055">
        <f ca="1"/>
        <v>0</v>
      </c>
      <c r="G11" s="1055">
        <f ca="1"/>
        <v>0</v>
      </c>
      <c r="H11" s="1055">
        <f ca="1"/>
        <v>0</v>
      </c>
      <c r="I11" s="1055">
        <f ca="1"/>
        <v>0</v>
      </c>
      <c r="J11" s="1055">
        <f ca="1"/>
        <v>0</v>
      </c>
      <c r="K11" s="1055">
        <f ca="1"/>
        <v>0</v>
      </c>
      <c r="L11" s="1055">
        <f ca="1"/>
        <v>0</v>
      </c>
      <c r="M11" s="1055">
        <f ca="1"/>
        <v>0</v>
      </c>
      <c r="N11" s="2101">
        <f t="shared" ca="1" si="0"/>
        <v>0</v>
      </c>
    </row>
    <row r="12" spans="1:15" s="550" customFormat="1" ht="16.149999999999999" customHeight="1">
      <c r="A12" s="2102" t="str">
        <v/>
      </c>
      <c r="B12" s="1055">
        <f ca="1"/>
        <v>0</v>
      </c>
      <c r="C12" s="1055">
        <f ca="1"/>
        <v>0</v>
      </c>
      <c r="D12" s="1055">
        <f ca="1"/>
        <v>0</v>
      </c>
      <c r="E12" s="1055">
        <f ca="1"/>
        <v>0</v>
      </c>
      <c r="F12" s="1055">
        <f ca="1"/>
        <v>0</v>
      </c>
      <c r="G12" s="1055">
        <f ca="1"/>
        <v>0</v>
      </c>
      <c r="H12" s="1055">
        <f ca="1"/>
        <v>0</v>
      </c>
      <c r="I12" s="1055">
        <f ca="1"/>
        <v>0</v>
      </c>
      <c r="J12" s="1055">
        <f ca="1"/>
        <v>0</v>
      </c>
      <c r="K12" s="1055">
        <f ca="1"/>
        <v>0</v>
      </c>
      <c r="L12" s="1055">
        <f ca="1"/>
        <v>0</v>
      </c>
      <c r="M12" s="1055">
        <f ca="1"/>
        <v>0</v>
      </c>
      <c r="N12" s="2101">
        <f t="shared" ca="1" si="0"/>
        <v>0</v>
      </c>
    </row>
    <row r="13" spans="1:15" s="550" customFormat="1" ht="16.149999999999999" customHeight="1">
      <c r="A13" s="2102" t="str">
        <v/>
      </c>
      <c r="B13" s="1055">
        <f ca="1"/>
        <v>0</v>
      </c>
      <c r="C13" s="1055">
        <f ca="1"/>
        <v>0</v>
      </c>
      <c r="D13" s="1055">
        <f ca="1"/>
        <v>0</v>
      </c>
      <c r="E13" s="1055">
        <f ca="1"/>
        <v>0</v>
      </c>
      <c r="F13" s="1055">
        <f ca="1"/>
        <v>0</v>
      </c>
      <c r="G13" s="1055">
        <f ca="1"/>
        <v>0</v>
      </c>
      <c r="H13" s="1055">
        <f ca="1"/>
        <v>0</v>
      </c>
      <c r="I13" s="1055">
        <f ca="1"/>
        <v>0</v>
      </c>
      <c r="J13" s="1055">
        <f ca="1"/>
        <v>0</v>
      </c>
      <c r="K13" s="1055">
        <f ca="1"/>
        <v>0</v>
      </c>
      <c r="L13" s="1055">
        <f ca="1"/>
        <v>0</v>
      </c>
      <c r="M13" s="1055">
        <f ca="1"/>
        <v>0</v>
      </c>
      <c r="N13" s="2101">
        <f t="shared" ca="1" si="0"/>
        <v>0</v>
      </c>
    </row>
    <row r="14" spans="1:15" s="550" customFormat="1" ht="16.149999999999999" customHeight="1" thickBot="1">
      <c r="A14" s="2103" t="str">
        <v/>
      </c>
      <c r="B14" s="1056">
        <f ca="1"/>
        <v>0</v>
      </c>
      <c r="C14" s="1056">
        <f ca="1"/>
        <v>0</v>
      </c>
      <c r="D14" s="1056">
        <f ca="1"/>
        <v>0</v>
      </c>
      <c r="E14" s="1056">
        <f ca="1"/>
        <v>0</v>
      </c>
      <c r="F14" s="1056">
        <f ca="1"/>
        <v>0</v>
      </c>
      <c r="G14" s="1056">
        <f ca="1"/>
        <v>0</v>
      </c>
      <c r="H14" s="1056">
        <f ca="1"/>
        <v>0</v>
      </c>
      <c r="I14" s="1056">
        <f ca="1"/>
        <v>0</v>
      </c>
      <c r="J14" s="1056">
        <f ca="1"/>
        <v>0</v>
      </c>
      <c r="K14" s="1056">
        <f ca="1"/>
        <v>0</v>
      </c>
      <c r="L14" s="1056">
        <f ca="1"/>
        <v>0</v>
      </c>
      <c r="M14" s="1056">
        <f ca="1"/>
        <v>0</v>
      </c>
      <c r="N14" s="2101">
        <f t="shared" ca="1" si="0"/>
        <v>0</v>
      </c>
    </row>
    <row r="15" spans="1:15" s="550" customFormat="1" ht="16.149999999999999" customHeight="1" thickBot="1">
      <c r="A15" s="2104" t="s">
        <v>11</v>
      </c>
      <c r="B15" s="2105">
        <f t="shared" ref="B15:N15" ca="1" si="1">SUM(B7:B14)</f>
        <v>3489.64</v>
      </c>
      <c r="C15" s="2105">
        <f t="shared" ca="1" si="1"/>
        <v>4362.05</v>
      </c>
      <c r="D15" s="2105">
        <f t="shared" ca="1" si="1"/>
        <v>4798.2550000000001</v>
      </c>
      <c r="E15" s="2105">
        <f t="shared" ca="1" si="1"/>
        <v>4580.1525000000001</v>
      </c>
      <c r="F15" s="2105">
        <f t="shared" ca="1" si="1"/>
        <v>3925.8449999999998</v>
      </c>
      <c r="G15" s="2105">
        <f t="shared" ca="1" si="1"/>
        <v>3707.7424999999998</v>
      </c>
      <c r="H15" s="2105">
        <f t="shared" ca="1" si="1"/>
        <v>3489.64</v>
      </c>
      <c r="I15" s="2105">
        <f t="shared" ca="1" si="1"/>
        <v>2617.23</v>
      </c>
      <c r="J15" s="2105">
        <f t="shared" ca="1" si="1"/>
        <v>3489.64</v>
      </c>
      <c r="K15" s="2105">
        <f t="shared" ca="1" si="1"/>
        <v>4143.9475000000002</v>
      </c>
      <c r="L15" s="2105">
        <f t="shared" ca="1" si="1"/>
        <v>4362.05</v>
      </c>
      <c r="M15" s="2105">
        <f t="shared" ca="1" si="1"/>
        <v>5234.46</v>
      </c>
      <c r="N15" s="2105">
        <f t="shared" ca="1" si="1"/>
        <v>48200.652500000004</v>
      </c>
    </row>
    <row r="16" spans="1:15" s="550" customFormat="1" ht="16.149999999999999" customHeight="1">
      <c r="A16" s="24"/>
    </row>
    <row r="17" spans="1:19" s="326" customFormat="1" ht="22.5">
      <c r="A17" s="326" t="str">
        <f>'Cobros y pagos 0'!A17</f>
        <v>Cobros por Ventas del año</v>
      </c>
      <c r="B17" s="165"/>
      <c r="E17" s="165"/>
      <c r="F17" s="165"/>
    </row>
    <row r="18" spans="1:19" ht="16.5" customHeight="1" thickBot="1">
      <c r="A18" s="87"/>
      <c r="B18" s="87"/>
      <c r="O18" s="87"/>
      <c r="P18" s="1057" t="str">
        <f>'Cobros y pagos 0'!P18</f>
        <v>Pendiente para el año siguiente:</v>
      </c>
      <c r="Q18" s="1075" t="str">
        <f>Parametros!G65</f>
        <v>2029</v>
      </c>
    </row>
    <row r="19" spans="1:19" s="1054" customFormat="1" ht="28.5" customHeight="1" thickBot="1">
      <c r="A19" s="167" t="str">
        <f t="array" ref="A19:A27">'Cobros y pagos 0'!A19:A27</f>
        <v>Plazos de cobro</v>
      </c>
      <c r="B19" s="2716" t="str">
        <f t="array" ref="B19:M19">'Estimaciones Ventas'!B31:M31</f>
        <v>enero 
2028</v>
      </c>
      <c r="C19" s="2716" t="str">
        <v>febrero 
2028</v>
      </c>
      <c r="D19" s="2716" t="str">
        <v>marzo 
2028</v>
      </c>
      <c r="E19" s="2716" t="str">
        <v>abril 
2028</v>
      </c>
      <c r="F19" s="2716" t="str">
        <v>mayo 
2028</v>
      </c>
      <c r="G19" s="2716" t="str">
        <v>junio 
2028</v>
      </c>
      <c r="H19" s="2716" t="str">
        <v>julio 
2028</v>
      </c>
      <c r="I19" s="2716" t="str">
        <v>agosto 
2028</v>
      </c>
      <c r="J19" s="2716" t="str">
        <v>septiembre 
2028</v>
      </c>
      <c r="K19" s="2716" t="str">
        <v>octubre 
2028</v>
      </c>
      <c r="L19" s="2716" t="str">
        <v>noviembre 
2028</v>
      </c>
      <c r="M19" s="2716" t="str">
        <v>diciembre 
2028</v>
      </c>
      <c r="N19" s="2716" t="str">
        <f t="array" ref="N19:S19">'Cobros y pagos 3'!B19:G19</f>
        <v>enero 
2029</v>
      </c>
      <c r="O19" s="2716" t="str">
        <v>febrero 
2029</v>
      </c>
      <c r="P19" s="2716" t="str">
        <v>marzo 
2029</v>
      </c>
      <c r="Q19" s="2716" t="str">
        <v>abril 
2029</v>
      </c>
      <c r="R19" s="2716" t="str">
        <v>mayo 
2029</v>
      </c>
      <c r="S19" s="2716" t="str">
        <v>junio 
2029</v>
      </c>
    </row>
    <row r="20" spans="1:19" s="543" customFormat="1" ht="16.149999999999999" customHeight="1">
      <c r="A20" s="2097" t="str">
        <v>Contado</v>
      </c>
      <c r="B20" s="1059">
        <f t="array" aca="1" ref="B20" ca="1">SUM('Politicas Cobros y Pagos'!$B$39:$B$46*B7:B14)</f>
        <v>3489.64</v>
      </c>
      <c r="C20" s="1059">
        <f t="array" aca="1" ref="C20" ca="1">SUM('Politicas Cobros y Pagos'!$B$39:$B$46*C7:C14)</f>
        <v>4362.05</v>
      </c>
      <c r="D20" s="1059">
        <f t="array" aca="1" ref="D20" ca="1">SUM('Politicas Cobros y Pagos'!$B$39:$B$46*D7:D14)</f>
        <v>4798.2550000000001</v>
      </c>
      <c r="E20" s="1059">
        <f t="array" aca="1" ref="E20" ca="1">SUM('Politicas Cobros y Pagos'!$B$39:$B$46*E7:E14)</f>
        <v>4580.1525000000001</v>
      </c>
      <c r="F20" s="1059">
        <f t="array" aca="1" ref="F20" ca="1">SUM('Politicas Cobros y Pagos'!$B$39:$B$46*F7:F14)</f>
        <v>3925.8449999999998</v>
      </c>
      <c r="G20" s="1059">
        <f t="array" aca="1" ref="G20" ca="1">SUM('Politicas Cobros y Pagos'!$B$39:$B$46*G7:G14)</f>
        <v>3707.7424999999998</v>
      </c>
      <c r="H20" s="1059">
        <f t="array" aca="1" ref="H20" ca="1">SUM('Politicas Cobros y Pagos'!$B$39:$B$46*H7:H14)</f>
        <v>3489.64</v>
      </c>
      <c r="I20" s="1059">
        <f t="array" aca="1" ref="I20" ca="1">SUM('Politicas Cobros y Pagos'!$B$39:$B$46*I7:I14)</f>
        <v>2617.23</v>
      </c>
      <c r="J20" s="1059">
        <f t="array" aca="1" ref="J20" ca="1">SUM('Politicas Cobros y Pagos'!$B$39:$B$46*J7:J14)</f>
        <v>3489.64</v>
      </c>
      <c r="K20" s="1059">
        <f t="array" aca="1" ref="K20" ca="1">SUM('Politicas Cobros y Pagos'!$B$39:$B$46*K7:K14)</f>
        <v>4143.9475000000002</v>
      </c>
      <c r="L20" s="1059">
        <f t="array" aca="1" ref="L20" ca="1">SUM('Politicas Cobros y Pagos'!$B$39:$B$46*L7:L14)</f>
        <v>4362.05</v>
      </c>
      <c r="M20" s="1059">
        <f t="array" aca="1" ref="M20" ca="1">SUM('Politicas Cobros y Pagos'!$B$39:$B$46*M7:M14)</f>
        <v>5234.46</v>
      </c>
      <c r="N20" s="1059"/>
      <c r="O20" s="1059"/>
      <c r="P20" s="1059"/>
      <c r="Q20" s="1059"/>
      <c r="R20" s="1059"/>
      <c r="S20" s="1059"/>
    </row>
    <row r="21" spans="1:19" s="550" customFormat="1" ht="16.149999999999999" customHeight="1">
      <c r="A21" s="2098">
        <v>30</v>
      </c>
      <c r="B21" s="1060">
        <f t="array" aca="1" ref="B21:B26" ca="1">'Cobros y pagos 1'!N21:N26</f>
        <v>0</v>
      </c>
      <c r="C21" s="1059">
        <f t="array" aca="1" ref="C21" ca="1">SUM('Politicas Cobros y Pagos'!$C$39:$C$46*B$7:B$14)</f>
        <v>0</v>
      </c>
      <c r="D21" s="1059">
        <f t="array" aca="1" ref="D21" ca="1">SUM('Politicas Cobros y Pagos'!$C$39:$C$46*C$7:C$14)</f>
        <v>0</v>
      </c>
      <c r="E21" s="1059">
        <f t="array" aca="1" ref="E21" ca="1">SUM('Politicas Cobros y Pagos'!$C$39:$C$46*D$7:D$14)</f>
        <v>0</v>
      </c>
      <c r="F21" s="1059">
        <f t="array" aca="1" ref="F21" ca="1">SUM('Politicas Cobros y Pagos'!$C$39:$C$46*E$7:E$14)</f>
        <v>0</v>
      </c>
      <c r="G21" s="1059">
        <f t="array" aca="1" ref="G21" ca="1">SUM('Politicas Cobros y Pagos'!$C$39:$C$46*F$7:F$14)</f>
        <v>0</v>
      </c>
      <c r="H21" s="1059">
        <f t="array" aca="1" ref="H21" ca="1">SUM('Politicas Cobros y Pagos'!$C$39:$C$46*G$7:G$14)</f>
        <v>0</v>
      </c>
      <c r="I21" s="1059">
        <f t="array" aca="1" ref="I21" ca="1">SUM('Politicas Cobros y Pagos'!$C$39:$C$46*H$7:H$14)</f>
        <v>0</v>
      </c>
      <c r="J21" s="1059">
        <f t="array" aca="1" ref="J21" ca="1">SUM('Politicas Cobros y Pagos'!$C$39:$C$46*I$7:I$14)</f>
        <v>0</v>
      </c>
      <c r="K21" s="1059">
        <f t="array" aca="1" ref="K21" ca="1">SUM('Politicas Cobros y Pagos'!$C$39:$C$46*J$7:J$14)</f>
        <v>0</v>
      </c>
      <c r="L21" s="1059">
        <f t="array" aca="1" ref="L21" ca="1">SUM('Politicas Cobros y Pagos'!$C$39:$C$46*K$7:K$14)</f>
        <v>0</v>
      </c>
      <c r="M21" s="1059">
        <f t="array" aca="1" ref="M21" ca="1">SUM('Politicas Cobros y Pagos'!$C$39:$C$46*L$7:L$14)</f>
        <v>0</v>
      </c>
      <c r="N21" s="1059">
        <f t="array" aca="1" ref="N21" ca="1">SUM('Politicas Cobros y Pagos'!$C$39:$C$46*M$7:M$14)</f>
        <v>0</v>
      </c>
      <c r="O21" s="1059"/>
      <c r="P21" s="1059"/>
      <c r="Q21" s="1059"/>
      <c r="R21" s="1059"/>
      <c r="S21" s="1059"/>
    </row>
    <row r="22" spans="1:19" s="543" customFormat="1" ht="16.149999999999999" customHeight="1">
      <c r="A22" s="2098">
        <v>60</v>
      </c>
      <c r="B22" s="1060">
        <f ca="1"/>
        <v>0</v>
      </c>
      <c r="C22" s="1060">
        <f t="array" aca="1" ref="C22:C26" ca="1">'Cobros y pagos 1'!O22:O26</f>
        <v>0</v>
      </c>
      <c r="D22" s="1059">
        <f t="array" aca="1" ref="D22" ca="1">SUM('Politicas Cobros y Pagos'!$D$39:$D$46*B$7:B$14)</f>
        <v>0</v>
      </c>
      <c r="E22" s="1059">
        <f t="array" aca="1" ref="E22" ca="1">SUM('Politicas Cobros y Pagos'!$D$39:$D$46*C$7:C$14)</f>
        <v>0</v>
      </c>
      <c r="F22" s="1059">
        <f t="array" aca="1" ref="F22" ca="1">SUM('Politicas Cobros y Pagos'!$D$39:$D$46*D$7:D$14)</f>
        <v>0</v>
      </c>
      <c r="G22" s="1059">
        <f t="array" aca="1" ref="G22" ca="1">SUM('Politicas Cobros y Pagos'!$D$39:$D$46*E$7:E$14)</f>
        <v>0</v>
      </c>
      <c r="H22" s="1059">
        <f t="array" aca="1" ref="H22" ca="1">SUM('Politicas Cobros y Pagos'!$D$39:$D$46*F$7:F$14)</f>
        <v>0</v>
      </c>
      <c r="I22" s="1059">
        <f t="array" aca="1" ref="I22" ca="1">SUM('Politicas Cobros y Pagos'!$D$39:$D$46*G$7:G$14)</f>
        <v>0</v>
      </c>
      <c r="J22" s="1059">
        <f t="array" aca="1" ref="J22" ca="1">SUM('Politicas Cobros y Pagos'!$D$39:$D$46*H$7:H$14)</f>
        <v>0</v>
      </c>
      <c r="K22" s="1059">
        <f t="array" aca="1" ref="K22" ca="1">SUM('Politicas Cobros y Pagos'!$D$39:$D$46*I$7:I$14)</f>
        <v>0</v>
      </c>
      <c r="L22" s="1059">
        <f t="array" aca="1" ref="L22" ca="1">SUM('Politicas Cobros y Pagos'!$D$39:$D$46*J$7:J$14)</f>
        <v>0</v>
      </c>
      <c r="M22" s="1059">
        <f t="array" aca="1" ref="M22" ca="1">SUM('Politicas Cobros y Pagos'!$D$39:$D$46*K$7:K$14)</f>
        <v>0</v>
      </c>
      <c r="N22" s="1059">
        <f t="array" aca="1" ref="N22" ca="1">SUM('Politicas Cobros y Pagos'!$D$39:$D$46*L$7:L$14)</f>
        <v>0</v>
      </c>
      <c r="O22" s="1059">
        <f t="array" aca="1" ref="O22" ca="1">SUM('Politicas Cobros y Pagos'!$D$39:$D$46*M$7:M$14)</f>
        <v>0</v>
      </c>
      <c r="P22" s="1059"/>
      <c r="Q22" s="1059"/>
      <c r="R22" s="1059"/>
      <c r="S22" s="1059"/>
    </row>
    <row r="23" spans="1:19" s="543" customFormat="1" ht="16.149999999999999" customHeight="1">
      <c r="A23" s="2098">
        <v>90</v>
      </c>
      <c r="B23" s="1060">
        <f ca="1"/>
        <v>0</v>
      </c>
      <c r="C23" s="1060">
        <f ca="1"/>
        <v>0</v>
      </c>
      <c r="D23" s="1060">
        <f t="array" aca="1" ref="D23:D26" ca="1">'Cobros y pagos 1'!P23:P26</f>
        <v>0</v>
      </c>
      <c r="E23" s="1059">
        <f t="array" aca="1" ref="E23" ca="1">SUM('Politicas Cobros y Pagos'!$E$39:$E$46*B$7:B$14)</f>
        <v>0</v>
      </c>
      <c r="F23" s="1059">
        <f t="array" aca="1" ref="F23" ca="1">SUM('Politicas Cobros y Pagos'!$E$39:$E$46*C$7:C$14)</f>
        <v>0</v>
      </c>
      <c r="G23" s="1059">
        <f t="array" aca="1" ref="G23" ca="1">SUM('Politicas Cobros y Pagos'!$E$39:$E$46*D$7:D$14)</f>
        <v>0</v>
      </c>
      <c r="H23" s="1059">
        <f t="array" aca="1" ref="H23" ca="1">SUM('Politicas Cobros y Pagos'!$E$39:$E$46*E$7:E$14)</f>
        <v>0</v>
      </c>
      <c r="I23" s="1059">
        <f t="array" aca="1" ref="I23" ca="1">SUM('Politicas Cobros y Pagos'!$E$39:$E$46*F$7:F$14)</f>
        <v>0</v>
      </c>
      <c r="J23" s="1059">
        <f t="array" aca="1" ref="J23" ca="1">SUM('Politicas Cobros y Pagos'!$E$39:$E$46*G$7:G$14)</f>
        <v>0</v>
      </c>
      <c r="K23" s="1059">
        <f t="array" aca="1" ref="K23" ca="1">SUM('Politicas Cobros y Pagos'!$E$39:$E$46*H$7:H$14)</f>
        <v>0</v>
      </c>
      <c r="L23" s="1059">
        <f t="array" aca="1" ref="L23" ca="1">SUM('Politicas Cobros y Pagos'!$E$39:$E$46*I$7:I$14)</f>
        <v>0</v>
      </c>
      <c r="M23" s="1059">
        <f t="array" aca="1" ref="M23" ca="1">SUM('Politicas Cobros y Pagos'!$E$39:$E$46*J$7:J$14)</f>
        <v>0</v>
      </c>
      <c r="N23" s="1059">
        <f t="array" aca="1" ref="N23" ca="1">SUM('Politicas Cobros y Pagos'!$E$39:$E$46*K$7:K$14)</f>
        <v>0</v>
      </c>
      <c r="O23" s="1059">
        <f t="array" aca="1" ref="O23" ca="1">SUM('Politicas Cobros y Pagos'!$E$39:$E$46*L$7:L$14)</f>
        <v>0</v>
      </c>
      <c r="P23" s="1059">
        <f t="array" aca="1" ref="P23" ca="1">SUM('Politicas Cobros y Pagos'!$E$39:$E$46*M$7:M$14)</f>
        <v>0</v>
      </c>
      <c r="Q23" s="1059"/>
      <c r="R23" s="1059"/>
      <c r="S23" s="1059"/>
    </row>
    <row r="24" spans="1:19" s="543" customFormat="1" ht="16.149999999999999" customHeight="1">
      <c r="A24" s="2098">
        <v>120</v>
      </c>
      <c r="B24" s="1060">
        <f ca="1"/>
        <v>0</v>
      </c>
      <c r="C24" s="1060">
        <f ca="1"/>
        <v>0</v>
      </c>
      <c r="D24" s="1060">
        <f ca="1"/>
        <v>0</v>
      </c>
      <c r="E24" s="1060">
        <f t="array" aca="1" ref="E24:E26" ca="1">'Cobros y pagos 1'!Q24:Q26</f>
        <v>0</v>
      </c>
      <c r="F24" s="1059">
        <f t="array" aca="1" ref="F24" ca="1">SUM('Politicas Cobros y Pagos'!$F$39:$F$46*B$7:B$14)</f>
        <v>0</v>
      </c>
      <c r="G24" s="1059">
        <f t="array" aca="1" ref="G24" ca="1">SUM('Politicas Cobros y Pagos'!$F$39:$F$46*C$7:C$14)</f>
        <v>0</v>
      </c>
      <c r="H24" s="1059">
        <f t="array" aca="1" ref="H24" ca="1">SUM('Politicas Cobros y Pagos'!$F$39:$F$46*D$7:D$14)</f>
        <v>0</v>
      </c>
      <c r="I24" s="1059">
        <f t="array" aca="1" ref="I24" ca="1">SUM('Politicas Cobros y Pagos'!$F$39:$F$46*E$7:E$14)</f>
        <v>0</v>
      </c>
      <c r="J24" s="1059">
        <f t="array" aca="1" ref="J24" ca="1">SUM('Politicas Cobros y Pagos'!$F$39:$F$46*F$7:F$14)</f>
        <v>0</v>
      </c>
      <c r="K24" s="1059">
        <f t="array" aca="1" ref="K24" ca="1">SUM('Politicas Cobros y Pagos'!$F$39:$F$46*G$7:G$14)</f>
        <v>0</v>
      </c>
      <c r="L24" s="1059">
        <f t="array" aca="1" ref="L24" ca="1">SUM('Politicas Cobros y Pagos'!$F$39:$F$46*H$7:H$14)</f>
        <v>0</v>
      </c>
      <c r="M24" s="1059">
        <f t="array" aca="1" ref="M24" ca="1">SUM('Politicas Cobros y Pagos'!$F$39:$F$46*I$7:I$14)</f>
        <v>0</v>
      </c>
      <c r="N24" s="1059">
        <f t="array" aca="1" ref="N24" ca="1">SUM('Politicas Cobros y Pagos'!$F$39:$F$46*J$7:J$14)</f>
        <v>0</v>
      </c>
      <c r="O24" s="1059">
        <f t="array" aca="1" ref="O24" ca="1">SUM('Politicas Cobros y Pagos'!$F$39:$F$46*K$7:K$14)</f>
        <v>0</v>
      </c>
      <c r="P24" s="1059">
        <f t="array" aca="1" ref="P24" ca="1">SUM('Politicas Cobros y Pagos'!$F$39:$F$46*L$7:L$14)</f>
        <v>0</v>
      </c>
      <c r="Q24" s="1059">
        <f t="array" aca="1" ref="Q24" ca="1">SUM('Politicas Cobros y Pagos'!$F$39:$F$46*M$7:M$14)</f>
        <v>0</v>
      </c>
      <c r="R24" s="1059"/>
      <c r="S24" s="1059"/>
    </row>
    <row r="25" spans="1:19" s="543" customFormat="1" ht="16.149999999999999" customHeight="1">
      <c r="A25" s="2098">
        <v>150</v>
      </c>
      <c r="B25" s="1060">
        <f ca="1"/>
        <v>0</v>
      </c>
      <c r="C25" s="1060">
        <f ca="1"/>
        <v>0</v>
      </c>
      <c r="D25" s="1060">
        <f ca="1"/>
        <v>0</v>
      </c>
      <c r="E25" s="1060">
        <f ca="1"/>
        <v>0</v>
      </c>
      <c r="F25" s="1060">
        <f t="array" aca="1" ref="F25:F26" ca="1">'Cobros y pagos 1'!R25:R26</f>
        <v>0</v>
      </c>
      <c r="G25" s="1059">
        <f t="array" aca="1" ref="G25" ca="1">SUM('Politicas Cobros y Pagos'!$G$39:$G$46*B$7:B$14)</f>
        <v>0</v>
      </c>
      <c r="H25" s="1059">
        <f t="array" aca="1" ref="H25" ca="1">SUM('Politicas Cobros y Pagos'!$G$39:$G$46*C$7:C$14)</f>
        <v>0</v>
      </c>
      <c r="I25" s="1059">
        <f t="array" aca="1" ref="I25" ca="1">SUM('Politicas Cobros y Pagos'!$G$39:$G$46*D$7:D$14)</f>
        <v>0</v>
      </c>
      <c r="J25" s="1059">
        <f t="array" aca="1" ref="J25" ca="1">SUM('Politicas Cobros y Pagos'!$G$39:$G$46*E$7:E$14)</f>
        <v>0</v>
      </c>
      <c r="K25" s="1059">
        <f t="array" aca="1" ref="K25" ca="1">SUM('Politicas Cobros y Pagos'!$G$39:$G$46*F$7:F$14)</f>
        <v>0</v>
      </c>
      <c r="L25" s="1059">
        <f t="array" aca="1" ref="L25" ca="1">SUM('Politicas Cobros y Pagos'!$G$39:$G$46*G$7:G$14)</f>
        <v>0</v>
      </c>
      <c r="M25" s="1059">
        <f t="array" aca="1" ref="M25" ca="1">SUM('Politicas Cobros y Pagos'!$G$39:$G$46*H$7:H$14)</f>
        <v>0</v>
      </c>
      <c r="N25" s="1059">
        <f t="array" aca="1" ref="N25" ca="1">SUM('Politicas Cobros y Pagos'!$G$39:$G$46*I$7:I$14)</f>
        <v>0</v>
      </c>
      <c r="O25" s="1059">
        <f t="array" aca="1" ref="O25" ca="1">SUM('Politicas Cobros y Pagos'!$G$39:$G$46*J$7:J$14)</f>
        <v>0</v>
      </c>
      <c r="P25" s="1059">
        <f t="array" aca="1" ref="P25" ca="1">SUM('Politicas Cobros y Pagos'!$G$39:$G$46*K$7:K$14)</f>
        <v>0</v>
      </c>
      <c r="Q25" s="1059">
        <f t="array" aca="1" ref="Q25" ca="1">SUM('Politicas Cobros y Pagos'!$G$39:$G$46*L$7:L$14)</f>
        <v>0</v>
      </c>
      <c r="R25" s="1059">
        <f t="array" aca="1" ref="R25" ca="1">SUM('Politicas Cobros y Pagos'!$G$39:$G$46*M$7:M$14)</f>
        <v>0</v>
      </c>
      <c r="S25" s="1059"/>
    </row>
    <row r="26" spans="1:19" s="543" customFormat="1" ht="16.149999999999999" customHeight="1">
      <c r="A26" s="2098">
        <v>180</v>
      </c>
      <c r="B26" s="1060">
        <f ca="1"/>
        <v>0</v>
      </c>
      <c r="C26" s="1060">
        <f ca="1"/>
        <v>0</v>
      </c>
      <c r="D26" s="1060">
        <f ca="1"/>
        <v>0</v>
      </c>
      <c r="E26" s="1060">
        <f ca="1"/>
        <v>0</v>
      </c>
      <c r="F26" s="1060">
        <f ca="1"/>
        <v>0</v>
      </c>
      <c r="G26" s="1060">
        <f ca="1">'Cobros y pagos 1'!S26</f>
        <v>0</v>
      </c>
      <c r="H26" s="1059">
        <f t="array" aca="1" ref="H26" ca="1">SUM('Politicas Cobros y Pagos'!$H$39:$H$46*B$7:B$14)</f>
        <v>0</v>
      </c>
      <c r="I26" s="1059">
        <f t="array" aca="1" ref="I26" ca="1">SUM('Politicas Cobros y Pagos'!$H$39:$H$46*C$7:C$14)</f>
        <v>0</v>
      </c>
      <c r="J26" s="1059">
        <f t="array" aca="1" ref="J26" ca="1">SUM('Politicas Cobros y Pagos'!$H$39:$H$46*D$7:D$14)</f>
        <v>0</v>
      </c>
      <c r="K26" s="1059">
        <f t="array" aca="1" ref="K26" ca="1">SUM('Politicas Cobros y Pagos'!$H$39:$H$46*E$7:E$14)</f>
        <v>0</v>
      </c>
      <c r="L26" s="1059">
        <f t="array" aca="1" ref="L26" ca="1">SUM('Politicas Cobros y Pagos'!$H$39:$H$46*F$7:F$14)</f>
        <v>0</v>
      </c>
      <c r="M26" s="1059">
        <f t="array" aca="1" ref="M26" ca="1">SUM('Politicas Cobros y Pagos'!$H$39:$H$46*G$7:G$14)</f>
        <v>0</v>
      </c>
      <c r="N26" s="1059">
        <f t="array" aca="1" ref="N26" ca="1">SUM('Politicas Cobros y Pagos'!$H$39:$H$46*H$7:H$14)</f>
        <v>0</v>
      </c>
      <c r="O26" s="1059">
        <f t="array" aca="1" ref="O26" ca="1">SUM('Politicas Cobros y Pagos'!$H$39:$H$46*I$7:I$14)</f>
        <v>0</v>
      </c>
      <c r="P26" s="1059">
        <f t="array" aca="1" ref="P26" ca="1">SUM('Politicas Cobros y Pagos'!$H$39:$H$46*J$7:J$14)</f>
        <v>0</v>
      </c>
      <c r="Q26" s="1059">
        <f t="array" aca="1" ref="Q26" ca="1">SUM('Politicas Cobros y Pagos'!$H$39:$H$46*K$7:K$14)</f>
        <v>0</v>
      </c>
      <c r="R26" s="1059">
        <f t="array" aca="1" ref="R26" ca="1">SUM('Politicas Cobros y Pagos'!$H$39:$H$46*L$7:L$14)</f>
        <v>0</v>
      </c>
      <c r="S26" s="1059">
        <f t="array" aca="1" ref="S26" ca="1">SUM('Politicas Cobros y Pagos'!$H$39:$H$46*M$7:M$14)</f>
        <v>0</v>
      </c>
    </row>
    <row r="27" spans="1:19" s="543" customFormat="1" ht="16.149999999999999" customHeight="1">
      <c r="A27" s="2099" t="str">
        <v>Impagados</v>
      </c>
      <c r="B27" s="1074">
        <f t="shared" ref="B27:M27" ca="1" si="2">-morisidad*SUM(B20:B26)</f>
        <v>0</v>
      </c>
      <c r="C27" s="1074">
        <f t="shared" ca="1" si="2"/>
        <v>0</v>
      </c>
      <c r="D27" s="1074">
        <f t="shared" ca="1" si="2"/>
        <v>0</v>
      </c>
      <c r="E27" s="1074">
        <f t="shared" ca="1" si="2"/>
        <v>0</v>
      </c>
      <c r="F27" s="1074">
        <f t="shared" ca="1" si="2"/>
        <v>0</v>
      </c>
      <c r="G27" s="1074">
        <f t="shared" ca="1" si="2"/>
        <v>0</v>
      </c>
      <c r="H27" s="1074">
        <f t="shared" ca="1" si="2"/>
        <v>0</v>
      </c>
      <c r="I27" s="1074">
        <f t="shared" ca="1" si="2"/>
        <v>0</v>
      </c>
      <c r="J27" s="1074">
        <f t="shared" ca="1" si="2"/>
        <v>0</v>
      </c>
      <c r="K27" s="1074">
        <f t="shared" ca="1" si="2"/>
        <v>0</v>
      </c>
      <c r="L27" s="1074">
        <f t="shared" ca="1" si="2"/>
        <v>0</v>
      </c>
      <c r="M27" s="1074">
        <f t="shared" ca="1" si="2"/>
        <v>0</v>
      </c>
      <c r="N27" s="1061"/>
      <c r="O27" s="1061"/>
      <c r="P27" s="1061"/>
      <c r="Q27" s="1061"/>
      <c r="R27" s="1061"/>
      <c r="S27" s="1061"/>
    </row>
    <row r="28" spans="1:19" s="550" customFormat="1" ht="16.149999999999999" customHeight="1" thickBot="1">
      <c r="A28" s="2807" t="s">
        <v>11</v>
      </c>
      <c r="B28" s="2717">
        <f t="shared" ref="B28:S28" ca="1" si="3">SUM(B20:B27)</f>
        <v>3489.64</v>
      </c>
      <c r="C28" s="2717">
        <f t="shared" ca="1" si="3"/>
        <v>4362.05</v>
      </c>
      <c r="D28" s="2717">
        <f t="shared" ca="1" si="3"/>
        <v>4798.2550000000001</v>
      </c>
      <c r="E28" s="2717">
        <f t="shared" ca="1" si="3"/>
        <v>4580.1525000000001</v>
      </c>
      <c r="F28" s="2717">
        <f t="shared" ca="1" si="3"/>
        <v>3925.8449999999998</v>
      </c>
      <c r="G28" s="2717">
        <f t="shared" ca="1" si="3"/>
        <v>3707.7424999999998</v>
      </c>
      <c r="H28" s="2717">
        <f t="shared" ca="1" si="3"/>
        <v>3489.64</v>
      </c>
      <c r="I28" s="2717">
        <f t="shared" ca="1" si="3"/>
        <v>2617.23</v>
      </c>
      <c r="J28" s="2717">
        <f t="shared" ca="1" si="3"/>
        <v>3489.64</v>
      </c>
      <c r="K28" s="2717">
        <f t="shared" ca="1" si="3"/>
        <v>4143.9475000000002</v>
      </c>
      <c r="L28" s="2717">
        <f t="shared" ca="1" si="3"/>
        <v>4362.05</v>
      </c>
      <c r="M28" s="2717">
        <f t="shared" ca="1" si="3"/>
        <v>5234.46</v>
      </c>
      <c r="N28" s="2717">
        <f t="shared" ca="1" si="3"/>
        <v>0</v>
      </c>
      <c r="O28" s="2717">
        <f t="shared" ca="1" si="3"/>
        <v>0</v>
      </c>
      <c r="P28" s="2717">
        <f t="shared" ca="1" si="3"/>
        <v>0</v>
      </c>
      <c r="Q28" s="2717">
        <f t="shared" ca="1" si="3"/>
        <v>0</v>
      </c>
      <c r="R28" s="2717">
        <f t="shared" ca="1" si="3"/>
        <v>0</v>
      </c>
      <c r="S28" s="2717">
        <f t="shared" ca="1" si="3"/>
        <v>0</v>
      </c>
    </row>
    <row r="29" spans="1:19" s="550" customFormat="1" ht="13.5" customHeight="1" thickBot="1">
      <c r="B29" s="1062"/>
    </row>
    <row r="30" spans="1:19" s="543" customFormat="1" ht="16.149999999999999" customHeight="1" thickBot="1">
      <c r="A30" s="279"/>
      <c r="B30" s="1062"/>
      <c r="O30" s="1063"/>
      <c r="P30" s="1064"/>
      <c r="Q30" s="1064"/>
      <c r="R30" s="1076" t="str">
        <f>CONCATENATE("Cobros de ventas pendintes para el año ",Q18," (sin ",'Datos Básicos'!$A$28,")")</f>
        <v>Cobros de ventas pendintes para el año 2029 (sin IVA)</v>
      </c>
      <c r="S30" s="1065">
        <f ca="1">SUM(N28:S28)</f>
        <v>0</v>
      </c>
    </row>
    <row r="31" spans="1:19" s="543" customFormat="1" ht="17.25" customHeight="1" thickBot="1">
      <c r="A31" s="279"/>
      <c r="B31" s="1062"/>
      <c r="O31" s="1063"/>
      <c r="P31" s="1064"/>
      <c r="Q31" s="1064"/>
      <c r="R31" s="1077" t="str">
        <f>'Cobros y pagos 0'!R31</f>
        <v xml:space="preserve">Impagados producidos durante el año </v>
      </c>
      <c r="S31" s="1066">
        <f ca="1">-SUM(B27:M27)</f>
        <v>0</v>
      </c>
    </row>
    <row r="32" spans="1:19" s="326" customFormat="1" ht="22.5">
      <c r="A32" s="326" t="str">
        <f>'Cobros y pagos 0'!A32</f>
        <v>Compras y Costes variables (IVA incl.)</v>
      </c>
      <c r="B32" s="165"/>
      <c r="G32" s="165"/>
      <c r="H32" s="165"/>
    </row>
    <row r="33" spans="1:19" ht="7.5" customHeight="1" thickBot="1">
      <c r="P33" s="550"/>
    </row>
    <row r="34" spans="1:19" ht="15.75" thickBot="1">
      <c r="A34" s="167" t="str">
        <f>'Cobros y pagos 0'!A34</f>
        <v>Compras del periodo</v>
      </c>
      <c r="B34" s="2714" t="str">
        <f t="array" ref="B34:M34">meses</f>
        <v>enero</v>
      </c>
      <c r="C34" s="2714" t="str">
        <v>febrero</v>
      </c>
      <c r="D34" s="2714" t="str">
        <v>marzo</v>
      </c>
      <c r="E34" s="2714" t="str">
        <v>abril</v>
      </c>
      <c r="F34" s="2714" t="str">
        <v>mayo</v>
      </c>
      <c r="G34" s="2714" t="str">
        <v>junio</v>
      </c>
      <c r="H34" s="2714" t="str">
        <v>julio</v>
      </c>
      <c r="I34" s="2714" t="str">
        <v>agosto</v>
      </c>
      <c r="J34" s="2714" t="str">
        <v>septiembre</v>
      </c>
      <c r="K34" s="2714" t="str">
        <v>octubre</v>
      </c>
      <c r="L34" s="2714" t="str">
        <v>noviembre</v>
      </c>
      <c r="M34" s="2714" t="str">
        <v>diciembre</v>
      </c>
      <c r="N34" s="2715" t="s">
        <v>11</v>
      </c>
      <c r="O34" s="550"/>
    </row>
    <row r="35" spans="1:19" ht="14.25">
      <c r="A35" s="2100" t="str">
        <f t="array" ref="A35:A42">productos</f>
        <v>producto o servicio</v>
      </c>
      <c r="B35" s="1055">
        <f t="array" aca="1" ref="B35:M42" ca="1">'Distr CV 2'!B46:M53+'Distr CV 2'!B59:M66</f>
        <v>348.96400000000006</v>
      </c>
      <c r="C35" s="1055">
        <f ca="1"/>
        <v>436.20500000000004</v>
      </c>
      <c r="D35" s="1055">
        <f ca="1"/>
        <v>479.82550000000003</v>
      </c>
      <c r="E35" s="1055">
        <f ca="1"/>
        <v>458.01525000000004</v>
      </c>
      <c r="F35" s="1055">
        <f ca="1"/>
        <v>392.58450000000005</v>
      </c>
      <c r="G35" s="1055">
        <f ca="1"/>
        <v>370.77424999999999</v>
      </c>
      <c r="H35" s="1055">
        <f ca="1"/>
        <v>348.96400000000006</v>
      </c>
      <c r="I35" s="1055">
        <f ca="1"/>
        <v>261.72300000000001</v>
      </c>
      <c r="J35" s="1055">
        <f ca="1"/>
        <v>348.96400000000006</v>
      </c>
      <c r="K35" s="1055">
        <f ca="1"/>
        <v>414.39475000000004</v>
      </c>
      <c r="L35" s="1055">
        <f ca="1"/>
        <v>436.20500000000004</v>
      </c>
      <c r="M35" s="1055">
        <f ca="1"/>
        <v>523.44600000000003</v>
      </c>
      <c r="N35" s="2101">
        <f t="shared" ref="N35:N42" ca="1" si="4">SUM(B35:M35)</f>
        <v>4820.0652499999997</v>
      </c>
      <c r="O35" s="550"/>
    </row>
    <row r="36" spans="1:19" ht="14.25">
      <c r="A36" s="2102" t="str">
        <v/>
      </c>
      <c r="B36" s="1055">
        <f ca="1"/>
        <v>0</v>
      </c>
      <c r="C36" s="1055">
        <f ca="1"/>
        <v>0</v>
      </c>
      <c r="D36" s="1055">
        <f ca="1"/>
        <v>0</v>
      </c>
      <c r="E36" s="1055">
        <f ca="1"/>
        <v>0</v>
      </c>
      <c r="F36" s="1055">
        <f ca="1"/>
        <v>0</v>
      </c>
      <c r="G36" s="1055">
        <f ca="1"/>
        <v>0</v>
      </c>
      <c r="H36" s="1055">
        <f ca="1"/>
        <v>0</v>
      </c>
      <c r="I36" s="1055">
        <f ca="1"/>
        <v>0</v>
      </c>
      <c r="J36" s="1055">
        <f ca="1"/>
        <v>0</v>
      </c>
      <c r="K36" s="1055">
        <f ca="1"/>
        <v>0</v>
      </c>
      <c r="L36" s="1055">
        <f ca="1"/>
        <v>0</v>
      </c>
      <c r="M36" s="1055">
        <f ca="1"/>
        <v>0</v>
      </c>
      <c r="N36" s="2101">
        <f t="shared" ca="1" si="4"/>
        <v>0</v>
      </c>
      <c r="O36" s="550"/>
    </row>
    <row r="37" spans="1:19" ht="14.25">
      <c r="A37" s="2102" t="str">
        <v/>
      </c>
      <c r="B37" s="1055">
        <f ca="1"/>
        <v>0</v>
      </c>
      <c r="C37" s="1055">
        <f ca="1"/>
        <v>0</v>
      </c>
      <c r="D37" s="1055">
        <f ca="1"/>
        <v>0</v>
      </c>
      <c r="E37" s="1055">
        <f ca="1"/>
        <v>0</v>
      </c>
      <c r="F37" s="1055">
        <f ca="1"/>
        <v>0</v>
      </c>
      <c r="G37" s="1055">
        <f ca="1"/>
        <v>0</v>
      </c>
      <c r="H37" s="1055">
        <f ca="1"/>
        <v>0</v>
      </c>
      <c r="I37" s="1055">
        <f ca="1"/>
        <v>0</v>
      </c>
      <c r="J37" s="1055">
        <f ca="1"/>
        <v>0</v>
      </c>
      <c r="K37" s="1055">
        <f ca="1"/>
        <v>0</v>
      </c>
      <c r="L37" s="1055">
        <f ca="1"/>
        <v>0</v>
      </c>
      <c r="M37" s="1055">
        <f ca="1"/>
        <v>0</v>
      </c>
      <c r="N37" s="2101">
        <f t="shared" ca="1" si="4"/>
        <v>0</v>
      </c>
      <c r="O37" s="550"/>
    </row>
    <row r="38" spans="1:19" ht="14.25">
      <c r="A38" s="2102" t="str">
        <v/>
      </c>
      <c r="B38" s="1055">
        <f ca="1"/>
        <v>0</v>
      </c>
      <c r="C38" s="1055">
        <f ca="1"/>
        <v>0</v>
      </c>
      <c r="D38" s="1055">
        <f ca="1"/>
        <v>0</v>
      </c>
      <c r="E38" s="1055">
        <f ca="1"/>
        <v>0</v>
      </c>
      <c r="F38" s="1055">
        <f ca="1"/>
        <v>0</v>
      </c>
      <c r="G38" s="1055">
        <f ca="1"/>
        <v>0</v>
      </c>
      <c r="H38" s="1055">
        <f ca="1"/>
        <v>0</v>
      </c>
      <c r="I38" s="1055">
        <f ca="1"/>
        <v>0</v>
      </c>
      <c r="J38" s="1055">
        <f ca="1"/>
        <v>0</v>
      </c>
      <c r="K38" s="1055">
        <f ca="1"/>
        <v>0</v>
      </c>
      <c r="L38" s="1055">
        <f ca="1"/>
        <v>0</v>
      </c>
      <c r="M38" s="1055">
        <f ca="1"/>
        <v>0</v>
      </c>
      <c r="N38" s="2101">
        <f t="shared" ca="1" si="4"/>
        <v>0</v>
      </c>
      <c r="O38" s="550"/>
    </row>
    <row r="39" spans="1:19" ht="14.25">
      <c r="A39" s="2102" t="str">
        <v/>
      </c>
      <c r="B39" s="1055">
        <f ca="1"/>
        <v>0</v>
      </c>
      <c r="C39" s="1055">
        <f ca="1"/>
        <v>0</v>
      </c>
      <c r="D39" s="1055">
        <f ca="1"/>
        <v>0</v>
      </c>
      <c r="E39" s="1055">
        <f ca="1"/>
        <v>0</v>
      </c>
      <c r="F39" s="1055">
        <f ca="1"/>
        <v>0</v>
      </c>
      <c r="G39" s="1055">
        <f ca="1"/>
        <v>0</v>
      </c>
      <c r="H39" s="1055">
        <f ca="1"/>
        <v>0</v>
      </c>
      <c r="I39" s="1055">
        <f ca="1"/>
        <v>0</v>
      </c>
      <c r="J39" s="1055">
        <f ca="1"/>
        <v>0</v>
      </c>
      <c r="K39" s="1055">
        <f ca="1"/>
        <v>0</v>
      </c>
      <c r="L39" s="1055">
        <f ca="1"/>
        <v>0</v>
      </c>
      <c r="M39" s="1055">
        <f ca="1"/>
        <v>0</v>
      </c>
      <c r="N39" s="2101">
        <f t="shared" ca="1" si="4"/>
        <v>0</v>
      </c>
      <c r="O39" s="550"/>
    </row>
    <row r="40" spans="1:19" ht="14.25">
      <c r="A40" s="2102" t="str">
        <v/>
      </c>
      <c r="B40" s="1055">
        <f ca="1"/>
        <v>0</v>
      </c>
      <c r="C40" s="1055">
        <f ca="1"/>
        <v>0</v>
      </c>
      <c r="D40" s="1055">
        <f ca="1"/>
        <v>0</v>
      </c>
      <c r="E40" s="1055">
        <f ca="1"/>
        <v>0</v>
      </c>
      <c r="F40" s="1055">
        <f ca="1"/>
        <v>0</v>
      </c>
      <c r="G40" s="1055">
        <f ca="1"/>
        <v>0</v>
      </c>
      <c r="H40" s="1055">
        <f ca="1"/>
        <v>0</v>
      </c>
      <c r="I40" s="1055">
        <f ca="1"/>
        <v>0</v>
      </c>
      <c r="J40" s="1055">
        <f ca="1"/>
        <v>0</v>
      </c>
      <c r="K40" s="1055">
        <f ca="1"/>
        <v>0</v>
      </c>
      <c r="L40" s="1055">
        <f ca="1"/>
        <v>0</v>
      </c>
      <c r="M40" s="1055">
        <f ca="1"/>
        <v>0</v>
      </c>
      <c r="N40" s="2101">
        <f t="shared" ca="1" si="4"/>
        <v>0</v>
      </c>
      <c r="O40" s="550"/>
    </row>
    <row r="41" spans="1:19" ht="14.25">
      <c r="A41" s="2102" t="str">
        <v/>
      </c>
      <c r="B41" s="1055">
        <f ca="1"/>
        <v>0</v>
      </c>
      <c r="C41" s="1055">
        <f ca="1"/>
        <v>0</v>
      </c>
      <c r="D41" s="1055">
        <f ca="1"/>
        <v>0</v>
      </c>
      <c r="E41" s="1055">
        <f ca="1"/>
        <v>0</v>
      </c>
      <c r="F41" s="1055">
        <f ca="1"/>
        <v>0</v>
      </c>
      <c r="G41" s="1055">
        <f ca="1"/>
        <v>0</v>
      </c>
      <c r="H41" s="1055">
        <f ca="1"/>
        <v>0</v>
      </c>
      <c r="I41" s="1055">
        <f ca="1"/>
        <v>0</v>
      </c>
      <c r="J41" s="1055">
        <f ca="1"/>
        <v>0</v>
      </c>
      <c r="K41" s="1055">
        <f ca="1"/>
        <v>0</v>
      </c>
      <c r="L41" s="1055">
        <f ca="1"/>
        <v>0</v>
      </c>
      <c r="M41" s="1055">
        <f ca="1"/>
        <v>0</v>
      </c>
      <c r="N41" s="2101">
        <f t="shared" ca="1" si="4"/>
        <v>0</v>
      </c>
      <c r="O41" s="550"/>
    </row>
    <row r="42" spans="1:19" ht="15" thickBot="1">
      <c r="A42" s="2103" t="str">
        <v/>
      </c>
      <c r="B42" s="1056">
        <f ca="1"/>
        <v>0</v>
      </c>
      <c r="C42" s="1056">
        <f ca="1"/>
        <v>0</v>
      </c>
      <c r="D42" s="1056">
        <f ca="1"/>
        <v>0</v>
      </c>
      <c r="E42" s="1056">
        <f ca="1"/>
        <v>0</v>
      </c>
      <c r="F42" s="1056">
        <f ca="1"/>
        <v>0</v>
      </c>
      <c r="G42" s="1056">
        <f ca="1"/>
        <v>0</v>
      </c>
      <c r="H42" s="1056">
        <f ca="1"/>
        <v>0</v>
      </c>
      <c r="I42" s="1056">
        <f ca="1"/>
        <v>0</v>
      </c>
      <c r="J42" s="1056">
        <f ca="1"/>
        <v>0</v>
      </c>
      <c r="K42" s="1056">
        <f ca="1"/>
        <v>0</v>
      </c>
      <c r="L42" s="1056">
        <f ca="1"/>
        <v>0</v>
      </c>
      <c r="M42" s="1056">
        <f ca="1"/>
        <v>0</v>
      </c>
      <c r="N42" s="2101">
        <f t="shared" ca="1" si="4"/>
        <v>0</v>
      </c>
      <c r="O42" s="550"/>
    </row>
    <row r="43" spans="1:19" ht="15.75" thickBot="1">
      <c r="A43" s="167" t="s">
        <v>11</v>
      </c>
      <c r="B43" s="2718">
        <f t="shared" ref="B43:N43" ca="1" si="5">SUM(B35:B42)</f>
        <v>348.96400000000006</v>
      </c>
      <c r="C43" s="2718">
        <f t="shared" ca="1" si="5"/>
        <v>436.20500000000004</v>
      </c>
      <c r="D43" s="2718">
        <f t="shared" ca="1" si="5"/>
        <v>479.82550000000003</v>
      </c>
      <c r="E43" s="2718">
        <f t="shared" ca="1" si="5"/>
        <v>458.01525000000004</v>
      </c>
      <c r="F43" s="2718">
        <f t="shared" ca="1" si="5"/>
        <v>392.58450000000005</v>
      </c>
      <c r="G43" s="2718">
        <f t="shared" ca="1" si="5"/>
        <v>370.77424999999999</v>
      </c>
      <c r="H43" s="2718">
        <f t="shared" ca="1" si="5"/>
        <v>348.96400000000006</v>
      </c>
      <c r="I43" s="2718">
        <f t="shared" ca="1" si="5"/>
        <v>261.72300000000001</v>
      </c>
      <c r="J43" s="2718">
        <f t="shared" ca="1" si="5"/>
        <v>348.96400000000006</v>
      </c>
      <c r="K43" s="2718">
        <f t="shared" ca="1" si="5"/>
        <v>414.39475000000004</v>
      </c>
      <c r="L43" s="2718">
        <f t="shared" ca="1" si="5"/>
        <v>436.20500000000004</v>
      </c>
      <c r="M43" s="2718">
        <f t="shared" ca="1" si="5"/>
        <v>523.44600000000003</v>
      </c>
      <c r="N43" s="2718">
        <f t="shared" ca="1" si="5"/>
        <v>4820.0652499999997</v>
      </c>
      <c r="O43" s="550"/>
    </row>
    <row r="44" spans="1:19">
      <c r="C44" s="550"/>
      <c r="D44" s="550"/>
      <c r="E44" s="550"/>
      <c r="F44" s="550"/>
      <c r="G44" s="550"/>
      <c r="H44" s="550"/>
      <c r="I44" s="550"/>
      <c r="J44" s="550"/>
      <c r="K44" s="550"/>
      <c r="L44" s="550"/>
      <c r="M44" s="550"/>
      <c r="N44" s="550"/>
      <c r="O44" s="550"/>
      <c r="P44" s="550"/>
    </row>
    <row r="45" spans="1:19" s="326" customFormat="1" ht="22.5">
      <c r="A45" s="326" t="str">
        <f>'Cobros y pagos 0'!A45</f>
        <v>Pagos de compras y gastos variables (IVA incl.)</v>
      </c>
      <c r="B45" s="165"/>
      <c r="G45" s="165"/>
      <c r="H45" s="165"/>
    </row>
    <row r="46" spans="1:19" ht="15" thickBot="1">
      <c r="A46" s="550"/>
      <c r="B46" s="1054"/>
      <c r="C46" s="550"/>
      <c r="D46" s="550"/>
      <c r="E46" s="550"/>
      <c r="F46" s="550"/>
      <c r="G46" s="550"/>
      <c r="H46" s="550"/>
      <c r="I46" s="550"/>
      <c r="J46" s="550"/>
      <c r="K46" s="550"/>
      <c r="L46" s="550"/>
      <c r="M46" s="550"/>
      <c r="N46" s="550"/>
      <c r="O46" s="550"/>
      <c r="P46" s="1057" t="str">
        <f>'Cobros y pagos 0'!P46</f>
        <v>Pendiente para el año siguiente:</v>
      </c>
      <c r="Q46" s="1058" t="str">
        <f>Q18</f>
        <v>2029</v>
      </c>
    </row>
    <row r="47" spans="1:19" ht="27.75" customHeight="1" thickBot="1">
      <c r="A47" s="167" t="str">
        <f t="array" ref="A47:A54">'Cobros y pagos 0'!A47:A54</f>
        <v>Plazos de pago</v>
      </c>
      <c r="B47" s="2096" t="str">
        <f t="array" ref="B47:S47">B$19:S$19</f>
        <v>enero 
2028</v>
      </c>
      <c r="C47" s="2096" t="str">
        <v>febrero 
2028</v>
      </c>
      <c r="D47" s="2096" t="str">
        <v>marzo 
2028</v>
      </c>
      <c r="E47" s="2096" t="str">
        <v>abril 
2028</v>
      </c>
      <c r="F47" s="2096" t="str">
        <v>mayo 
2028</v>
      </c>
      <c r="G47" s="2096" t="str">
        <v>junio 
2028</v>
      </c>
      <c r="H47" s="2096" t="str">
        <v>julio 
2028</v>
      </c>
      <c r="I47" s="2096" t="str">
        <v>agosto 
2028</v>
      </c>
      <c r="J47" s="2096" t="str">
        <v>septiembre 
2028</v>
      </c>
      <c r="K47" s="2096" t="str">
        <v>octubre 
2028</v>
      </c>
      <c r="L47" s="2096" t="str">
        <v>noviembre 
2028</v>
      </c>
      <c r="M47" s="2096" t="str">
        <v>diciembre 
2028</v>
      </c>
      <c r="N47" s="2096" t="str">
        <v>enero 
2029</v>
      </c>
      <c r="O47" s="2096" t="str">
        <v>febrero 
2029</v>
      </c>
      <c r="P47" s="2096" t="str">
        <v>marzo 
2029</v>
      </c>
      <c r="Q47" s="2096" t="str">
        <v>abril 
2029</v>
      </c>
      <c r="R47" s="2096" t="str">
        <v>mayo 
2029</v>
      </c>
      <c r="S47" s="2096" t="str">
        <v>junio 
2029</v>
      </c>
    </row>
    <row r="48" spans="1:19" ht="14.25">
      <c r="A48" s="2097" t="str">
        <v>Contado</v>
      </c>
      <c r="B48" s="1055">
        <f t="array" aca="1" ref="B48" ca="1">SUM('Politicas Cobros y Pagos'!$B$88:$B$95*B$35:B$42)</f>
        <v>348.96400000000006</v>
      </c>
      <c r="C48" s="1055">
        <f t="array" aca="1" ref="C48" ca="1">SUM('Politicas Cobros y Pagos'!$B$88:$B$95*C$35:C$42)</f>
        <v>436.20500000000004</v>
      </c>
      <c r="D48" s="1055">
        <f t="array" aca="1" ref="D48" ca="1">SUM('Politicas Cobros y Pagos'!$B$88:$B$95*D$35:D$42)</f>
        <v>479.82550000000003</v>
      </c>
      <c r="E48" s="1055">
        <f t="array" aca="1" ref="E48" ca="1">SUM('Politicas Cobros y Pagos'!$B$88:$B$95*E$35:E$42)</f>
        <v>458.01525000000004</v>
      </c>
      <c r="F48" s="1055">
        <f t="array" aca="1" ref="F48" ca="1">SUM('Politicas Cobros y Pagos'!$B$88:$B$95*F$35:F$42)</f>
        <v>392.58450000000005</v>
      </c>
      <c r="G48" s="1055">
        <f t="array" aca="1" ref="G48" ca="1">SUM('Politicas Cobros y Pagos'!$B$88:$B$95*G$35:G$42)</f>
        <v>370.77424999999999</v>
      </c>
      <c r="H48" s="1055">
        <f t="array" aca="1" ref="H48" ca="1">SUM('Politicas Cobros y Pagos'!$B$88:$B$95*H$35:H$42)</f>
        <v>348.96400000000006</v>
      </c>
      <c r="I48" s="1055">
        <f t="array" aca="1" ref="I48" ca="1">SUM('Politicas Cobros y Pagos'!$B$88:$B$95*I$35:I$42)</f>
        <v>261.72300000000001</v>
      </c>
      <c r="J48" s="1055">
        <f t="array" aca="1" ref="J48" ca="1">SUM('Politicas Cobros y Pagos'!$B$88:$B$95*J$35:J$42)</f>
        <v>348.96400000000006</v>
      </c>
      <c r="K48" s="1055">
        <f t="array" aca="1" ref="K48" ca="1">SUM('Politicas Cobros y Pagos'!$B$88:$B$95*K$35:K$42)</f>
        <v>414.39475000000004</v>
      </c>
      <c r="L48" s="1055">
        <f t="array" aca="1" ref="L48" ca="1">SUM('Politicas Cobros y Pagos'!$B$88:$B$95*L$35:L$42)</f>
        <v>436.20500000000004</v>
      </c>
      <c r="M48" s="1055">
        <f t="array" aca="1" ref="M48" ca="1">SUM('Politicas Cobros y Pagos'!$B$88:$B$95*M$35:M$42)</f>
        <v>523.44600000000003</v>
      </c>
      <c r="N48" s="1055"/>
      <c r="O48" s="1055"/>
      <c r="P48" s="1055"/>
      <c r="Q48" s="1055"/>
      <c r="R48" s="1055"/>
      <c r="S48" s="1055"/>
    </row>
    <row r="49" spans="1:19" ht="14.25">
      <c r="A49" s="2098">
        <v>30</v>
      </c>
      <c r="B49" s="1067">
        <f t="array" aca="1" ref="B49:B54" ca="1">'Cobros y pagos 1'!N49:N54</f>
        <v>0</v>
      </c>
      <c r="C49" s="1055">
        <f t="array" aca="1" ref="C49" ca="1">SUM('Politicas Cobros y Pagos'!$C$88:$C$95*B$35:B$42)</f>
        <v>0</v>
      </c>
      <c r="D49" s="1055">
        <f t="array" aca="1" ref="D49" ca="1">SUM('Politicas Cobros y Pagos'!$C$88:$C$95*C$35:C$42)</f>
        <v>0</v>
      </c>
      <c r="E49" s="1055">
        <f t="array" aca="1" ref="E49" ca="1">SUM('Politicas Cobros y Pagos'!$C$88:$C$95*D$35:D$42)</f>
        <v>0</v>
      </c>
      <c r="F49" s="1055">
        <f t="array" aca="1" ref="F49" ca="1">SUM('Politicas Cobros y Pagos'!$C$88:$C$95*E$35:E$42)</f>
        <v>0</v>
      </c>
      <c r="G49" s="1055">
        <f t="array" aca="1" ref="G49" ca="1">SUM('Politicas Cobros y Pagos'!$C$88:$C$95*F$35:F$42)</f>
        <v>0</v>
      </c>
      <c r="H49" s="1055">
        <f t="array" aca="1" ref="H49" ca="1">SUM('Politicas Cobros y Pagos'!$C$88:$C$95*G$35:G$42)</f>
        <v>0</v>
      </c>
      <c r="I49" s="1055">
        <f t="array" aca="1" ref="I49" ca="1">SUM('Politicas Cobros y Pagos'!$C$88:$C$95*H$35:H$42)</f>
        <v>0</v>
      </c>
      <c r="J49" s="1055">
        <f t="array" aca="1" ref="J49" ca="1">SUM('Politicas Cobros y Pagos'!$C$88:$C$95*I$35:I$42)</f>
        <v>0</v>
      </c>
      <c r="K49" s="1055">
        <f t="array" aca="1" ref="K49" ca="1">SUM('Politicas Cobros y Pagos'!$C$88:$C$95*J$35:J$42)</f>
        <v>0</v>
      </c>
      <c r="L49" s="1055">
        <f t="array" aca="1" ref="L49" ca="1">SUM('Politicas Cobros y Pagos'!$C$88:$C$95*K$35:K$42)</f>
        <v>0</v>
      </c>
      <c r="M49" s="1055">
        <f t="array" aca="1" ref="M49" ca="1">SUM('Politicas Cobros y Pagos'!$C$88:$C$95*L$35:L$42)</f>
        <v>0</v>
      </c>
      <c r="N49" s="1055">
        <f t="array" aca="1" ref="N49" ca="1">SUM('Politicas Cobros y Pagos'!$C$88:$C$95*M$35:M$42)</f>
        <v>0</v>
      </c>
      <c r="O49" s="1055"/>
      <c r="P49" s="1055"/>
      <c r="Q49" s="1055"/>
      <c r="R49" s="1055"/>
      <c r="S49" s="1055"/>
    </row>
    <row r="50" spans="1:19" ht="14.25">
      <c r="A50" s="2098">
        <v>60</v>
      </c>
      <c r="B50" s="1067">
        <f ca="1"/>
        <v>0</v>
      </c>
      <c r="C50" s="1067">
        <f t="array" aca="1" ref="C50:C54" ca="1">'Cobros y pagos 1'!O50:O54</f>
        <v>0</v>
      </c>
      <c r="D50" s="1055">
        <f t="array" aca="1" ref="D50" ca="1">SUM('Politicas Cobros y Pagos'!$D$88:$D$95*B$35:B$42)</f>
        <v>0</v>
      </c>
      <c r="E50" s="1055">
        <f t="array" aca="1" ref="E50" ca="1">SUM('Politicas Cobros y Pagos'!$D$88:$D$95*C$35:C$42)</f>
        <v>0</v>
      </c>
      <c r="F50" s="1055">
        <f t="array" aca="1" ref="F50" ca="1">SUM('Politicas Cobros y Pagos'!$D$88:$D$95*D$35:D$42)</f>
        <v>0</v>
      </c>
      <c r="G50" s="1055">
        <f t="array" aca="1" ref="G50" ca="1">SUM('Politicas Cobros y Pagos'!$D$88:$D$95*E$35:E$42)</f>
        <v>0</v>
      </c>
      <c r="H50" s="1055">
        <f t="array" aca="1" ref="H50" ca="1">SUM('Politicas Cobros y Pagos'!$D$88:$D$95*F$35:F$42)</f>
        <v>0</v>
      </c>
      <c r="I50" s="1055">
        <f t="array" aca="1" ref="I50" ca="1">SUM('Politicas Cobros y Pagos'!$D$88:$D$95*G$35:G$42)</f>
        <v>0</v>
      </c>
      <c r="J50" s="1055">
        <f t="array" aca="1" ref="J50" ca="1">SUM('Politicas Cobros y Pagos'!$D$88:$D$95*H$35:H$42)</f>
        <v>0</v>
      </c>
      <c r="K50" s="1055">
        <f t="array" aca="1" ref="K50" ca="1">SUM('Politicas Cobros y Pagos'!$D$88:$D$95*I$35:I$42)</f>
        <v>0</v>
      </c>
      <c r="L50" s="1055">
        <f t="array" aca="1" ref="L50" ca="1">SUM('Politicas Cobros y Pagos'!$D$88:$D$95*J$35:J$42)</f>
        <v>0</v>
      </c>
      <c r="M50" s="1055">
        <f t="array" aca="1" ref="M50" ca="1">SUM('Politicas Cobros y Pagos'!$D$88:$D$95*K$35:K$42)</f>
        <v>0</v>
      </c>
      <c r="N50" s="1055">
        <f t="array" aca="1" ref="N50" ca="1">SUM('Politicas Cobros y Pagos'!$D$88:$D$95*L$35:L$42)</f>
        <v>0</v>
      </c>
      <c r="O50" s="1055">
        <f t="array" aca="1" ref="O50" ca="1">SUM('Politicas Cobros y Pagos'!$D$88:$D$95*M$35:M$42)</f>
        <v>0</v>
      </c>
      <c r="P50" s="1055"/>
      <c r="Q50" s="1055"/>
      <c r="R50" s="1055"/>
      <c r="S50" s="1055"/>
    </row>
    <row r="51" spans="1:19" ht="14.25">
      <c r="A51" s="2098">
        <v>90</v>
      </c>
      <c r="B51" s="1067">
        <f ca="1"/>
        <v>0</v>
      </c>
      <c r="C51" s="1067">
        <f ca="1"/>
        <v>0</v>
      </c>
      <c r="D51" s="1067">
        <f t="array" aca="1" ref="D51:D54" ca="1">'Cobros y pagos 1'!P51:P54</f>
        <v>0</v>
      </c>
      <c r="E51" s="1055">
        <f t="array" aca="1" ref="E51" ca="1">SUM('Politicas Cobros y Pagos'!$E$88:$E$95*B$35:B$42)</f>
        <v>0</v>
      </c>
      <c r="F51" s="1055">
        <f t="array" aca="1" ref="F51" ca="1">SUM('Politicas Cobros y Pagos'!$E$88:$E$95*C$35:C$42)</f>
        <v>0</v>
      </c>
      <c r="G51" s="1055">
        <f t="array" aca="1" ref="G51" ca="1">SUM('Politicas Cobros y Pagos'!$E$88:$E$95*D$35:D$42)</f>
        <v>0</v>
      </c>
      <c r="H51" s="1055">
        <f t="array" aca="1" ref="H51" ca="1">SUM('Politicas Cobros y Pagos'!$E$88:$E$95*E$35:E$42)</f>
        <v>0</v>
      </c>
      <c r="I51" s="1055">
        <f t="array" aca="1" ref="I51" ca="1">SUM('Politicas Cobros y Pagos'!$E$88:$E$95*F$35:F$42)</f>
        <v>0</v>
      </c>
      <c r="J51" s="1055">
        <f t="array" aca="1" ref="J51" ca="1">SUM('Politicas Cobros y Pagos'!$E$88:$E$95*G$35:G$42)</f>
        <v>0</v>
      </c>
      <c r="K51" s="1055">
        <f t="array" aca="1" ref="K51" ca="1">SUM('Politicas Cobros y Pagos'!$E$88:$E$95*H$35:H$42)</f>
        <v>0</v>
      </c>
      <c r="L51" s="1055">
        <f t="array" aca="1" ref="L51" ca="1">SUM('Politicas Cobros y Pagos'!$E$88:$E$95*I$35:I$42)</f>
        <v>0</v>
      </c>
      <c r="M51" s="1055">
        <f t="array" aca="1" ref="M51" ca="1">SUM('Politicas Cobros y Pagos'!$E$88:$E$95*J$35:J$42)</f>
        <v>0</v>
      </c>
      <c r="N51" s="1055">
        <f t="array" aca="1" ref="N51" ca="1">SUM('Politicas Cobros y Pagos'!$E$88:$E$95*K$35:K$42)</f>
        <v>0</v>
      </c>
      <c r="O51" s="1055">
        <f t="array" aca="1" ref="O51" ca="1">SUM('Politicas Cobros y Pagos'!$E$88:$E$95*L$35:L$42)</f>
        <v>0</v>
      </c>
      <c r="P51" s="1055">
        <f t="array" aca="1" ref="P51" ca="1">SUM('Politicas Cobros y Pagos'!$E$88:$E$95*M$35:M$42)</f>
        <v>0</v>
      </c>
      <c r="Q51" s="1055"/>
      <c r="R51" s="1055"/>
      <c r="S51" s="1055"/>
    </row>
    <row r="52" spans="1:19" ht="14.25">
      <c r="A52" s="2098">
        <v>120</v>
      </c>
      <c r="B52" s="1067">
        <f ca="1"/>
        <v>0</v>
      </c>
      <c r="C52" s="1067">
        <f ca="1"/>
        <v>0</v>
      </c>
      <c r="D52" s="1067">
        <f ca="1"/>
        <v>0</v>
      </c>
      <c r="E52" s="1067">
        <f t="array" aca="1" ref="E52:E54" ca="1">'Cobros y pagos 1'!Q52:Q54</f>
        <v>0</v>
      </c>
      <c r="F52" s="1055">
        <f t="array" aca="1" ref="F52" ca="1">SUM('Politicas Cobros y Pagos'!$F$88:$F$95*B$35:B$42)</f>
        <v>0</v>
      </c>
      <c r="G52" s="1055">
        <f t="array" aca="1" ref="G52" ca="1">SUM('Politicas Cobros y Pagos'!$F$88:$F$95*C$35:C$42)</f>
        <v>0</v>
      </c>
      <c r="H52" s="1055">
        <f t="array" aca="1" ref="H52" ca="1">SUM('Politicas Cobros y Pagos'!$F$88:$F$95*D$35:D$42)</f>
        <v>0</v>
      </c>
      <c r="I52" s="1055">
        <f t="array" aca="1" ref="I52" ca="1">SUM('Politicas Cobros y Pagos'!$F$88:$F$95*E$35:E$42)</f>
        <v>0</v>
      </c>
      <c r="J52" s="1055">
        <f t="array" aca="1" ref="J52" ca="1">SUM('Politicas Cobros y Pagos'!$F$88:$F$95*F$35:F$42)</f>
        <v>0</v>
      </c>
      <c r="K52" s="1055">
        <f t="array" aca="1" ref="K52" ca="1">SUM('Politicas Cobros y Pagos'!$F$88:$F$95*G$35:G$42)</f>
        <v>0</v>
      </c>
      <c r="L52" s="1055">
        <f t="array" aca="1" ref="L52" ca="1">SUM('Politicas Cobros y Pagos'!$F$88:$F$95*H$35:H$42)</f>
        <v>0</v>
      </c>
      <c r="M52" s="1055">
        <f t="array" aca="1" ref="M52" ca="1">SUM('Politicas Cobros y Pagos'!$F$88:$F$95*I$35:I$42)</f>
        <v>0</v>
      </c>
      <c r="N52" s="1055">
        <f t="array" aca="1" ref="N52" ca="1">SUM('Politicas Cobros y Pagos'!$F$88:$F$95*J$35:J$42)</f>
        <v>0</v>
      </c>
      <c r="O52" s="1055">
        <f t="array" aca="1" ref="O52" ca="1">SUM('Politicas Cobros y Pagos'!$F$88:$F$95*K$35:K$42)</f>
        <v>0</v>
      </c>
      <c r="P52" s="1055">
        <f t="array" aca="1" ref="P52" ca="1">SUM('Politicas Cobros y Pagos'!$F$88:$F$95*L$35:L$42)</f>
        <v>0</v>
      </c>
      <c r="Q52" s="1055">
        <f t="array" aca="1" ref="Q52" ca="1">SUM('Politicas Cobros y Pagos'!$F$88:$F$95*M$35:M$42)</f>
        <v>0</v>
      </c>
      <c r="R52" s="1055"/>
      <c r="S52" s="1055"/>
    </row>
    <row r="53" spans="1:19" ht="14.25">
      <c r="A53" s="2098">
        <v>150</v>
      </c>
      <c r="B53" s="1067">
        <f ca="1"/>
        <v>0</v>
      </c>
      <c r="C53" s="1067">
        <f ca="1"/>
        <v>0</v>
      </c>
      <c r="D53" s="1067">
        <f ca="1"/>
        <v>0</v>
      </c>
      <c r="E53" s="1067">
        <f ca="1"/>
        <v>0</v>
      </c>
      <c r="F53" s="1067">
        <f t="array" aca="1" ref="F53:F54" ca="1">'Cobros y pagos 1'!R53:R54</f>
        <v>0</v>
      </c>
      <c r="G53" s="1055">
        <f t="array" aca="1" ref="G53" ca="1">SUM('Politicas Cobros y Pagos'!$G$88:$G$95*B$35:B$42)</f>
        <v>0</v>
      </c>
      <c r="H53" s="1055">
        <f t="array" aca="1" ref="H53" ca="1">SUM('Politicas Cobros y Pagos'!$G$88:$G$95*C$35:C$42)</f>
        <v>0</v>
      </c>
      <c r="I53" s="1055">
        <f t="array" aca="1" ref="I53" ca="1">SUM('Politicas Cobros y Pagos'!$G$88:$G$95*D$35:D$42)</f>
        <v>0</v>
      </c>
      <c r="J53" s="1055">
        <f t="array" aca="1" ref="J53" ca="1">SUM('Politicas Cobros y Pagos'!$G$88:$G$95*E$35:E$42)</f>
        <v>0</v>
      </c>
      <c r="K53" s="1055">
        <f t="array" aca="1" ref="K53" ca="1">SUM('Politicas Cobros y Pagos'!$G$88:$G$95*F$35:F$42)</f>
        <v>0</v>
      </c>
      <c r="L53" s="1055">
        <f t="array" aca="1" ref="L53" ca="1">SUM('Politicas Cobros y Pagos'!$G$88:$G$95*G$35:G$42)</f>
        <v>0</v>
      </c>
      <c r="M53" s="1055">
        <f t="array" aca="1" ref="M53" ca="1">SUM('Politicas Cobros y Pagos'!$G$88:$G$95*H$35:H$42)</f>
        <v>0</v>
      </c>
      <c r="N53" s="1055">
        <f t="array" aca="1" ref="N53" ca="1">SUM('Politicas Cobros y Pagos'!$G$88:$G$95*I$35:I$42)</f>
        <v>0</v>
      </c>
      <c r="O53" s="1055">
        <f t="array" aca="1" ref="O53" ca="1">SUM('Politicas Cobros y Pagos'!$G$88:$G$95*J$35:J$42)</f>
        <v>0</v>
      </c>
      <c r="P53" s="1055">
        <f t="array" aca="1" ref="P53" ca="1">SUM('Politicas Cobros y Pagos'!$G$88:$G$95*K$35:K$42)</f>
        <v>0</v>
      </c>
      <c r="Q53" s="1055">
        <f t="array" aca="1" ref="Q53" ca="1">SUM('Politicas Cobros y Pagos'!$G$88:$G$95*L$35:L$42)</f>
        <v>0</v>
      </c>
      <c r="R53" s="1055">
        <f t="array" aca="1" ref="R53" ca="1">SUM('Politicas Cobros y Pagos'!$G$88:$G$95*M$35:M$42)</f>
        <v>0</v>
      </c>
      <c r="S53" s="1055"/>
    </row>
    <row r="54" spans="1:19" ht="14.25">
      <c r="A54" s="2098">
        <v>180</v>
      </c>
      <c r="B54" s="1067">
        <f ca="1"/>
        <v>0</v>
      </c>
      <c r="C54" s="1067">
        <f ca="1"/>
        <v>0</v>
      </c>
      <c r="D54" s="1067">
        <f ca="1"/>
        <v>0</v>
      </c>
      <c r="E54" s="1067">
        <f ca="1"/>
        <v>0</v>
      </c>
      <c r="F54" s="1067">
        <f ca="1"/>
        <v>0</v>
      </c>
      <c r="G54" s="1067">
        <f ca="1">'Cobros y pagos 1'!S54</f>
        <v>0</v>
      </c>
      <c r="H54" s="1055">
        <f t="array" aca="1" ref="H54" ca="1">SUM('Politicas Cobros y Pagos'!$H$88:$H$95*B$35:B$42)</f>
        <v>0</v>
      </c>
      <c r="I54" s="1055">
        <f t="array" aca="1" ref="I54" ca="1">SUM('Politicas Cobros y Pagos'!$H$88:$H$95*C$35:C$42)</f>
        <v>0</v>
      </c>
      <c r="J54" s="1055">
        <f t="array" aca="1" ref="J54" ca="1">SUM('Politicas Cobros y Pagos'!$H$88:$H$95*D$35:D$42)</f>
        <v>0</v>
      </c>
      <c r="K54" s="1055">
        <f t="array" aca="1" ref="K54" ca="1">SUM('Politicas Cobros y Pagos'!$H$88:$H$95*E$35:E$42)</f>
        <v>0</v>
      </c>
      <c r="L54" s="1055">
        <f t="array" aca="1" ref="L54" ca="1">SUM('Politicas Cobros y Pagos'!$H$88:$H$95*F$35:F$42)</f>
        <v>0</v>
      </c>
      <c r="M54" s="1055">
        <f t="array" aca="1" ref="M54" ca="1">SUM('Politicas Cobros y Pagos'!$H$88:$H$95*G$35:G$42)</f>
        <v>0</v>
      </c>
      <c r="N54" s="1055">
        <f t="array" aca="1" ref="N54" ca="1">SUM('Politicas Cobros y Pagos'!$H$88:$H$95*H$35:H$42)</f>
        <v>0</v>
      </c>
      <c r="O54" s="1055">
        <f t="array" aca="1" ref="O54" ca="1">SUM('Politicas Cobros y Pagos'!$H$88:$H$95*I$35:I$42)</f>
        <v>0</v>
      </c>
      <c r="P54" s="1055">
        <f t="array" aca="1" ref="P54" ca="1">SUM('Politicas Cobros y Pagos'!$H$88:$H$95*J$35:J$42)</f>
        <v>0</v>
      </c>
      <c r="Q54" s="1055">
        <f t="array" aca="1" ref="Q54" ca="1">SUM('Politicas Cobros y Pagos'!$H$88:$H$95*K$35:K$42)</f>
        <v>0</v>
      </c>
      <c r="R54" s="1055">
        <f t="array" aca="1" ref="R54" ca="1">SUM('Politicas Cobros y Pagos'!$H$88:$H$95*L$35:L$42)</f>
        <v>0</v>
      </c>
      <c r="S54" s="1055">
        <f t="array" aca="1" ref="S54" ca="1">SUM('Politicas Cobros y Pagos'!$H$88:$H$95*M$35:M$42)</f>
        <v>0</v>
      </c>
    </row>
    <row r="55" spans="1:19" ht="15" thickBot="1">
      <c r="A55" s="2806" t="s">
        <v>11</v>
      </c>
      <c r="B55" s="2719">
        <f t="shared" ref="B55:S55" ca="1" si="6">SUM(B48:B54)</f>
        <v>348.96400000000006</v>
      </c>
      <c r="C55" s="2719">
        <f t="shared" ca="1" si="6"/>
        <v>436.20500000000004</v>
      </c>
      <c r="D55" s="2719">
        <f t="shared" ca="1" si="6"/>
        <v>479.82550000000003</v>
      </c>
      <c r="E55" s="2719">
        <f t="shared" ca="1" si="6"/>
        <v>458.01525000000004</v>
      </c>
      <c r="F55" s="2719">
        <f t="shared" ca="1" si="6"/>
        <v>392.58450000000005</v>
      </c>
      <c r="G55" s="2719">
        <f t="shared" ca="1" si="6"/>
        <v>370.77424999999999</v>
      </c>
      <c r="H55" s="2719">
        <f t="shared" ca="1" si="6"/>
        <v>348.96400000000006</v>
      </c>
      <c r="I55" s="2719">
        <f t="shared" ca="1" si="6"/>
        <v>261.72300000000001</v>
      </c>
      <c r="J55" s="2719">
        <f t="shared" ca="1" si="6"/>
        <v>348.96400000000006</v>
      </c>
      <c r="K55" s="2719">
        <f t="shared" ca="1" si="6"/>
        <v>414.39475000000004</v>
      </c>
      <c r="L55" s="2719">
        <f t="shared" ca="1" si="6"/>
        <v>436.20500000000004</v>
      </c>
      <c r="M55" s="2719">
        <f t="shared" ca="1" si="6"/>
        <v>523.44600000000003</v>
      </c>
      <c r="N55" s="2719">
        <f t="shared" ca="1" si="6"/>
        <v>0</v>
      </c>
      <c r="O55" s="2719">
        <f t="shared" ca="1" si="6"/>
        <v>0</v>
      </c>
      <c r="P55" s="2719">
        <f t="shared" ca="1" si="6"/>
        <v>0</v>
      </c>
      <c r="Q55" s="2719">
        <f t="shared" ca="1" si="6"/>
        <v>0</v>
      </c>
      <c r="R55" s="2719">
        <f t="shared" ca="1" si="6"/>
        <v>0</v>
      </c>
      <c r="S55" s="2719">
        <f t="shared" ca="1" si="6"/>
        <v>0</v>
      </c>
    </row>
    <row r="56" spans="1:19" ht="13.5" thickBot="1">
      <c r="A56" s="550"/>
      <c r="B56" s="1054"/>
      <c r="C56" s="543"/>
      <c r="D56" s="543"/>
      <c r="E56" s="543"/>
      <c r="F56" s="543"/>
      <c r="G56" s="543"/>
      <c r="H56" s="543"/>
      <c r="I56" s="543"/>
      <c r="J56" s="543"/>
      <c r="K56" s="543"/>
      <c r="L56" s="543"/>
      <c r="M56" s="543"/>
      <c r="N56" s="543"/>
      <c r="O56" s="550"/>
      <c r="P56" s="543"/>
    </row>
    <row r="57" spans="1:19" ht="13.5" thickBot="1">
      <c r="N57" s="1068"/>
      <c r="O57" s="1069"/>
      <c r="P57" s="1069"/>
      <c r="Q57" s="1069"/>
      <c r="R57" s="1078" t="str">
        <f>CONCATENATE("Pagos de compras y CV pendintes para el año ",Q46," (sin ",'Datos Básicos'!A28,")")</f>
        <v>Pagos de compras y CV pendintes para el año 2029 (sin IVA)</v>
      </c>
      <c r="S57" s="1079">
        <f ca="1">SUM(N55:S55)</f>
        <v>0</v>
      </c>
    </row>
  </sheetData>
  <sheetProtection sheet="1" objects="1" scenarios="1"/>
  <phoneticPr fontId="6" type="noConversion"/>
  <printOptions horizontalCentered="1" verticalCentered="1"/>
  <pageMargins left="0.39370078740157483" right="0.39370078740157483" top="0.31" bottom="0.3" header="0.31496062992125984" footer="0.31496062992125984"/>
  <pageSetup paperSize="9" scale="60" orientation="landscape" horizontalDpi="300" verticalDpi="300" r:id="rId1"/>
  <headerFooter alignWithMargins="0">
    <oddFooter>&amp;C&amp;"Tahoma,Normal"&amp;10&amp;A</oddFooter>
  </headerFooter>
  <rowBreaks count="1" manualBreakCount="1">
    <brk id="16" max="14"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0"/>
    <pageSetUpPr fitToPage="1"/>
  </sheetPr>
  <dimension ref="B1:K57"/>
  <sheetViews>
    <sheetView workbookViewId="0"/>
  </sheetViews>
  <sheetFormatPr baseColWidth="10" defaultColWidth="11" defaultRowHeight="15"/>
  <cols>
    <col min="1" max="1" width="11" style="35"/>
    <col min="2" max="2" width="5.875" style="35" customWidth="1"/>
    <col min="3" max="3" width="40.75" style="35" customWidth="1"/>
    <col min="4" max="4" width="19.25" style="35" customWidth="1"/>
    <col min="5" max="5" width="6.625" style="35" customWidth="1"/>
    <col min="6" max="6" width="5.75" style="35" customWidth="1"/>
    <col min="7" max="7" width="40.75" style="35" customWidth="1"/>
    <col min="8" max="8" width="19.25" style="35" customWidth="1"/>
    <col min="9" max="9" width="11" style="35"/>
    <col min="10" max="10" width="38.5" style="35" customWidth="1"/>
    <col min="11" max="11" width="13" style="35" bestFit="1" customWidth="1"/>
    <col min="12" max="12" width="12.375" style="35" customWidth="1"/>
    <col min="13" max="16384" width="11" style="35"/>
  </cols>
  <sheetData>
    <row r="1" spans="2:8" ht="25.5">
      <c r="C1" s="348" t="s">
        <v>983</v>
      </c>
      <c r="D1" s="348"/>
      <c r="E1" s="2726" t="str">
        <f>CONCATENATE("Empresa: ",'Datos Básicos'!$B$9)</f>
        <v>Empresa: nombre empresa</v>
      </c>
      <c r="F1" s="2726"/>
      <c r="G1" s="2726"/>
      <c r="H1" s="2726"/>
    </row>
    <row r="2" spans="2:8" ht="12" customHeight="1"/>
    <row r="3" spans="2:8" s="938" customFormat="1" ht="27">
      <c r="C3" s="937"/>
      <c r="D3" s="937"/>
      <c r="E3" s="2335" t="str">
        <f>CONCATENATE("BALANCE  INICIAL  DEL  EJERCICIO  ",Parametros!D65)</f>
        <v>BALANCE  INICIAL  DEL  EJERCICIO  2026</v>
      </c>
      <c r="F3" s="937"/>
      <c r="G3" s="937"/>
      <c r="H3" s="937"/>
    </row>
    <row r="4" spans="2:8" s="98" customFormat="1" ht="22.5">
      <c r="C4" s="1589"/>
      <c r="E4" s="1590" t="str">
        <f>CONCATENATE("a fecha 1 de ",TEXT(INDEX(Parametros!A61:A72,mes0,1),"mmmm aaaa"))</f>
        <v>a fecha 1 de enero 2026</v>
      </c>
      <c r="H4" s="2433">
        <f>consolidacion</f>
        <v>0</v>
      </c>
    </row>
    <row r="6" spans="2:8" ht="15.75" thickBot="1"/>
    <row r="7" spans="2:8" ht="19.5">
      <c r="B7" s="251"/>
      <c r="C7" s="1650" t="s">
        <v>601</v>
      </c>
      <c r="D7" s="377"/>
      <c r="F7" s="251"/>
      <c r="G7" s="1651" t="s">
        <v>600</v>
      </c>
      <c r="H7" s="377"/>
    </row>
    <row r="8" spans="2:8">
      <c r="B8" s="104"/>
      <c r="D8" s="381"/>
      <c r="F8" s="104"/>
      <c r="H8" s="381"/>
    </row>
    <row r="9" spans="2:8" ht="18">
      <c r="B9" s="1635" t="s">
        <v>937</v>
      </c>
      <c r="D9" s="1636">
        <f>SUM(D10:D19)</f>
        <v>0</v>
      </c>
      <c r="F9" s="1635" t="s">
        <v>938</v>
      </c>
      <c r="G9" s="635"/>
      <c r="H9" s="1636">
        <f>SUM(H10:H14)</f>
        <v>0</v>
      </c>
    </row>
    <row r="10" spans="2:8">
      <c r="B10" s="2258" t="s">
        <v>939</v>
      </c>
      <c r="C10" s="39" t="s">
        <v>12</v>
      </c>
      <c r="D10" s="2259">
        <v>0</v>
      </c>
      <c r="F10" s="2258" t="s">
        <v>939</v>
      </c>
      <c r="G10" s="1451" t="str">
        <f>'Balances anuales'!A27</f>
        <v>Fondo Social</v>
      </c>
      <c r="H10" s="2260">
        <v>0</v>
      </c>
    </row>
    <row r="11" spans="2:8">
      <c r="B11" s="2258"/>
      <c r="C11" s="2261" t="s">
        <v>628</v>
      </c>
      <c r="D11" s="2262">
        <v>0</v>
      </c>
      <c r="F11" s="2258" t="s">
        <v>940</v>
      </c>
      <c r="G11" s="35" t="s">
        <v>902</v>
      </c>
      <c r="H11" s="2263">
        <v>0</v>
      </c>
    </row>
    <row r="12" spans="2:8">
      <c r="B12" s="2258" t="s">
        <v>941</v>
      </c>
      <c r="C12" s="39" t="s">
        <v>1</v>
      </c>
      <c r="D12" s="2264">
        <v>0</v>
      </c>
      <c r="F12" s="2258" t="s">
        <v>942</v>
      </c>
      <c r="G12" s="35" t="s">
        <v>112</v>
      </c>
      <c r="H12" s="2265">
        <v>0</v>
      </c>
    </row>
    <row r="13" spans="2:8">
      <c r="B13" s="2258"/>
      <c r="C13" s="2261" t="s">
        <v>627</v>
      </c>
      <c r="D13" s="2262">
        <v>0</v>
      </c>
      <c r="F13" s="2258" t="s">
        <v>943</v>
      </c>
      <c r="G13" s="35" t="s">
        <v>944</v>
      </c>
      <c r="H13" s="2265">
        <v>0</v>
      </c>
    </row>
    <row r="14" spans="2:8">
      <c r="B14" s="2258" t="s">
        <v>945</v>
      </c>
      <c r="C14" s="39" t="s">
        <v>946</v>
      </c>
      <c r="D14" s="2266">
        <v>0</v>
      </c>
      <c r="F14" s="2258" t="s">
        <v>947</v>
      </c>
      <c r="G14" s="35" t="s">
        <v>8</v>
      </c>
      <c r="H14" s="2259">
        <v>0</v>
      </c>
    </row>
    <row r="15" spans="2:8">
      <c r="B15" s="104"/>
      <c r="D15" s="381"/>
      <c r="F15" s="2258"/>
      <c r="H15" s="2265"/>
    </row>
    <row r="16" spans="2:8" ht="18">
      <c r="B16" s="2258" t="s">
        <v>948</v>
      </c>
      <c r="C16" s="39" t="s">
        <v>949</v>
      </c>
      <c r="D16" s="2264">
        <v>0</v>
      </c>
      <c r="F16" s="1635" t="s">
        <v>668</v>
      </c>
      <c r="G16" s="635"/>
      <c r="H16" s="1636">
        <f>H17+H24</f>
        <v>0</v>
      </c>
    </row>
    <row r="17" spans="2:9" ht="18">
      <c r="B17" s="2258" t="s">
        <v>943</v>
      </c>
      <c r="C17" s="39" t="s">
        <v>950</v>
      </c>
      <c r="D17" s="2383">
        <v>0</v>
      </c>
      <c r="F17" s="1635" t="s">
        <v>952</v>
      </c>
      <c r="G17" s="683"/>
      <c r="H17" s="1647">
        <f>SUM(H18:H22)</f>
        <v>0</v>
      </c>
    </row>
    <row r="18" spans="2:9">
      <c r="B18" s="2258" t="s">
        <v>951</v>
      </c>
      <c r="C18" s="39" t="s">
        <v>629</v>
      </c>
      <c r="D18" s="2264">
        <v>0</v>
      </c>
      <c r="F18" s="2258" t="s">
        <v>953</v>
      </c>
      <c r="G18" s="35" t="s">
        <v>987</v>
      </c>
      <c r="H18" s="2267">
        <f>H39-H25</f>
        <v>0</v>
      </c>
      <c r="I18" s="934"/>
    </row>
    <row r="19" spans="2:9">
      <c r="B19" s="2258"/>
      <c r="C19" s="39" t="s">
        <v>980</v>
      </c>
      <c r="D19" s="2269">
        <f>+'Gastos Iniciales'!B23</f>
        <v>0</v>
      </c>
      <c r="F19" s="2258" t="s">
        <v>953</v>
      </c>
      <c r="G19" s="35" t="s">
        <v>989</v>
      </c>
      <c r="H19" s="2267">
        <f>H47-H26</f>
        <v>0</v>
      </c>
      <c r="I19" s="934"/>
    </row>
    <row r="20" spans="2:9">
      <c r="B20" s="2258"/>
      <c r="C20" s="39"/>
      <c r="D20" s="2330"/>
      <c r="F20" s="2258" t="s">
        <v>954</v>
      </c>
      <c r="G20" s="35" t="s">
        <v>229</v>
      </c>
      <c r="H20" s="2260">
        <v>0</v>
      </c>
      <c r="I20" s="934"/>
    </row>
    <row r="21" spans="2:9">
      <c r="B21" s="104"/>
      <c r="D21" s="381"/>
      <c r="F21" s="2258" t="s">
        <v>945</v>
      </c>
      <c r="G21" s="35" t="s">
        <v>7</v>
      </c>
      <c r="H21" s="2265">
        <f>D10</f>
        <v>0</v>
      </c>
    </row>
    <row r="22" spans="2:9" ht="18">
      <c r="B22" s="1635" t="s">
        <v>955</v>
      </c>
      <c r="D22" s="1636">
        <f>SUM(D23:D31)</f>
        <v>0</v>
      </c>
      <c r="F22" s="2258" t="s">
        <v>951</v>
      </c>
      <c r="G22" s="35" t="s">
        <v>956</v>
      </c>
      <c r="H22" s="2260">
        <v>0</v>
      </c>
    </row>
    <row r="23" spans="2:9">
      <c r="B23" s="2258" t="s">
        <v>951</v>
      </c>
      <c r="C23" s="39" t="s">
        <v>623</v>
      </c>
      <c r="D23" s="2264">
        <v>0</v>
      </c>
      <c r="F23" s="2258"/>
      <c r="H23" s="2260"/>
    </row>
    <row r="24" spans="2:9" ht="18">
      <c r="B24" s="2258" t="s">
        <v>941</v>
      </c>
      <c r="C24" s="39" t="s">
        <v>624</v>
      </c>
      <c r="D24" s="2268">
        <v>0</v>
      </c>
      <c r="F24" s="1635" t="s">
        <v>957</v>
      </c>
      <c r="G24" s="683"/>
      <c r="H24" s="1647">
        <f>SUM(H25:H32)</f>
        <v>0</v>
      </c>
    </row>
    <row r="25" spans="2:9">
      <c r="B25" s="2258" t="s">
        <v>953</v>
      </c>
      <c r="C25" s="39" t="s">
        <v>625</v>
      </c>
      <c r="D25" s="2268">
        <v>0</v>
      </c>
      <c r="F25" s="2258" t="s">
        <v>953</v>
      </c>
      <c r="G25" s="35" t="s">
        <v>988</v>
      </c>
      <c r="H25" s="2267">
        <f>'Financiación Inicial'!B23</f>
        <v>0</v>
      </c>
    </row>
    <row r="26" spans="2:9">
      <c r="B26" s="2258" t="s">
        <v>958</v>
      </c>
      <c r="C26" s="39" t="s">
        <v>1065</v>
      </c>
      <c r="D26" s="2268">
        <v>0</v>
      </c>
      <c r="F26" s="2258" t="s">
        <v>953</v>
      </c>
      <c r="G26" s="35" t="s">
        <v>990</v>
      </c>
      <c r="H26" s="2267">
        <f>'Financiación Inicial'!B24</f>
        <v>0</v>
      </c>
    </row>
    <row r="27" spans="2:9">
      <c r="B27" s="2258" t="s">
        <v>958</v>
      </c>
      <c r="C27" s="39" t="str">
        <f>"H.P. Pagos y retenciones "&amp; 'Datos Básicos'!I43</f>
        <v>H.P. Pagos y retenciones I.R.P.F.</v>
      </c>
      <c r="D27" s="2268">
        <v>0</v>
      </c>
      <c r="F27" s="2258" t="s">
        <v>953</v>
      </c>
      <c r="G27" s="35" t="s">
        <v>1013</v>
      </c>
      <c r="H27" s="2260">
        <v>0</v>
      </c>
    </row>
    <row r="28" spans="2:9">
      <c r="B28" s="2258" t="s">
        <v>958</v>
      </c>
      <c r="C28" s="39" t="str">
        <f>"H.P. Deudora "&amp;IF(Isoc=0,'Datos Básicos'!I43,'Datos Básicos'!I44)</f>
        <v>H.P. Deudora I.R.P.F.</v>
      </c>
      <c r="D28" s="2264">
        <v>0</v>
      </c>
      <c r="F28" s="2258" t="s">
        <v>959</v>
      </c>
      <c r="G28" s="35" t="s">
        <v>232</v>
      </c>
      <c r="H28" s="2260">
        <v>0</v>
      </c>
    </row>
    <row r="29" spans="2:9">
      <c r="B29" s="2258" t="s">
        <v>958</v>
      </c>
      <c r="C29" s="1654" t="str">
        <f>'Balances anuales'!A21</f>
        <v>H.P. Deudora IVA</v>
      </c>
      <c r="D29" s="2264">
        <v>0</v>
      </c>
      <c r="F29" s="2258" t="s">
        <v>961</v>
      </c>
      <c r="G29" s="72" t="str">
        <f>'Balances anuales'!A41</f>
        <v>H.P. acreedora IVA</v>
      </c>
      <c r="H29" s="2260">
        <v>0</v>
      </c>
    </row>
    <row r="30" spans="2:9">
      <c r="B30" s="2258" t="s">
        <v>951</v>
      </c>
      <c r="C30" s="39" t="s">
        <v>960</v>
      </c>
      <c r="D30" s="2264">
        <v>0</v>
      </c>
      <c r="F30" s="2258" t="s">
        <v>961</v>
      </c>
      <c r="G30" s="72" t="str">
        <f>'Balances anuales'!A42</f>
        <v>H.P. acreedora I.R.P.F.</v>
      </c>
      <c r="H30" s="2270">
        <v>0</v>
      </c>
    </row>
    <row r="31" spans="2:9">
      <c r="B31" s="2258" t="s">
        <v>943</v>
      </c>
      <c r="C31" s="39" t="s">
        <v>626</v>
      </c>
      <c r="D31" s="2269">
        <f>H33-D9-SUM(D23:D30)</f>
        <v>0</v>
      </c>
      <c r="F31" s="2258" t="s">
        <v>961</v>
      </c>
      <c r="G31" s="35" t="s">
        <v>233</v>
      </c>
      <c r="H31" s="2260">
        <v>0</v>
      </c>
    </row>
    <row r="32" spans="2:9">
      <c r="B32" s="104"/>
      <c r="D32" s="381"/>
      <c r="F32" s="2258"/>
      <c r="H32" s="381"/>
    </row>
    <row r="33" spans="2:11" ht="18.75" thickBot="1">
      <c r="B33" s="1642"/>
      <c r="C33" s="1643" t="s">
        <v>6</v>
      </c>
      <c r="D33" s="1644">
        <f>D22+D9</f>
        <v>0</v>
      </c>
      <c r="F33" s="1642"/>
      <c r="G33" s="1649" t="s">
        <v>602</v>
      </c>
      <c r="H33" s="1644">
        <f>H16+H9</f>
        <v>0</v>
      </c>
    </row>
    <row r="34" spans="2:11">
      <c r="G34" s="2384" t="str">
        <f>IF(H34&lt;&gt;"","DESCUADRE EN BAL. PREVIO","")</f>
        <v/>
      </c>
      <c r="H34" s="935" t="str">
        <f>IF(ABS(H33-D33)&gt;0.0001,H33-D33,"")</f>
        <v/>
      </c>
    </row>
    <row r="35" spans="2:11" ht="15.75" thickBot="1"/>
    <row r="36" spans="2:11" ht="15.75" thickBot="1">
      <c r="B36" s="2352" t="s">
        <v>1005</v>
      </c>
      <c r="C36" s="707"/>
      <c r="D36" s="765"/>
      <c r="F36" s="2352" t="s">
        <v>1001</v>
      </c>
      <c r="G36" s="707"/>
      <c r="H36" s="765"/>
    </row>
    <row r="37" spans="2:11">
      <c r="B37" s="2053" t="s">
        <v>984</v>
      </c>
      <c r="C37" s="2331"/>
      <c r="D37" s="2370">
        <v>3</v>
      </c>
      <c r="F37" s="2355" t="s">
        <v>962</v>
      </c>
      <c r="G37" s="1132"/>
      <c r="H37" s="2358">
        <v>0</v>
      </c>
    </row>
    <row r="38" spans="2:11" ht="15.75" thickBot="1">
      <c r="B38" s="2053" t="s">
        <v>974</v>
      </c>
      <c r="C38" s="2331"/>
      <c r="D38" s="2370">
        <v>15</v>
      </c>
      <c r="F38" s="2354" t="s">
        <v>964</v>
      </c>
      <c r="G38" s="1100"/>
      <c r="H38" s="2361">
        <v>0</v>
      </c>
    </row>
    <row r="39" spans="2:11" ht="15.75" thickBot="1">
      <c r="B39" s="2371" t="s">
        <v>985</v>
      </c>
      <c r="C39" s="2372"/>
      <c r="D39" s="2373">
        <v>5</v>
      </c>
      <c r="F39" s="2355" t="s">
        <v>991</v>
      </c>
      <c r="G39" s="1132"/>
      <c r="H39" s="2359">
        <f>H37+H38</f>
        <v>0</v>
      </c>
      <c r="K39" s="2274"/>
    </row>
    <row r="40" spans="2:11" ht="15.75" thickBot="1">
      <c r="F40" s="2353" t="s">
        <v>975</v>
      </c>
      <c r="G40" s="1000"/>
      <c r="H40" s="2360">
        <v>0.08</v>
      </c>
      <c r="K40" s="2274"/>
    </row>
    <row r="41" spans="2:11" ht="15.75" thickBot="1">
      <c r="B41" s="2352" t="s">
        <v>1006</v>
      </c>
      <c r="C41" s="707"/>
      <c r="D41" s="765"/>
      <c r="F41" s="2354" t="s">
        <v>99</v>
      </c>
      <c r="G41" s="1100"/>
      <c r="H41" s="2361">
        <v>78</v>
      </c>
    </row>
    <row r="42" spans="2:11" ht="15.75" thickBot="1">
      <c r="B42" s="2371" t="s">
        <v>986</v>
      </c>
      <c r="C42" s="2372"/>
      <c r="D42" s="2373">
        <v>52</v>
      </c>
      <c r="F42" s="2362" t="s">
        <v>976</v>
      </c>
      <c r="G42" s="2363"/>
      <c r="H42" s="2364">
        <v>4</v>
      </c>
    </row>
    <row r="43" spans="2:11" ht="15.75" thickBot="1"/>
    <row r="44" spans="2:11" ht="15.75" thickBot="1">
      <c r="B44" s="2352" t="s">
        <v>1014</v>
      </c>
      <c r="C44" s="707"/>
      <c r="D44" s="765"/>
      <c r="F44" s="2352" t="s">
        <v>1002</v>
      </c>
      <c r="G44" s="62"/>
      <c r="H44" s="63"/>
    </row>
    <row r="45" spans="2:11">
      <c r="B45" s="2355" t="s">
        <v>963</v>
      </c>
      <c r="C45" s="1132"/>
      <c r="D45" s="2374">
        <v>0</v>
      </c>
      <c r="F45" s="953" t="s">
        <v>994</v>
      </c>
      <c r="G45" s="2365"/>
      <c r="H45" s="2271">
        <v>0</v>
      </c>
    </row>
    <row r="46" spans="2:11" ht="16.5" customHeight="1" thickBot="1">
      <c r="B46" s="2353" t="s">
        <v>965</v>
      </c>
      <c r="C46" s="1000"/>
      <c r="D46" s="2375">
        <v>0</v>
      </c>
      <c r="F46" s="2276" t="s">
        <v>993</v>
      </c>
      <c r="G46" s="2366"/>
      <c r="H46" s="2277">
        <v>0</v>
      </c>
    </row>
    <row r="47" spans="2:11">
      <c r="B47" s="104"/>
      <c r="D47" s="381"/>
      <c r="F47" s="953" t="s">
        <v>992</v>
      </c>
      <c r="G47" s="2365"/>
      <c r="H47" s="2273">
        <f>H45+H46</f>
        <v>0</v>
      </c>
      <c r="I47" s="2394" t="str">
        <f>IF(H47&gt;SUM(D10:D15),"ERROR: Los leasing deben ser mayores que las inversiones en Activos NO Corrientes","")</f>
        <v/>
      </c>
    </row>
    <row r="48" spans="2:11">
      <c r="B48" s="2353" t="s">
        <v>981</v>
      </c>
      <c r="C48" s="1000"/>
      <c r="D48" s="2376" t="str">
        <f>IF(D45&gt;0,D25/D45*365,"")</f>
        <v/>
      </c>
      <c r="F48" s="952" t="s">
        <v>975</v>
      </c>
      <c r="G48" s="357"/>
      <c r="H48" s="2332">
        <v>0.12</v>
      </c>
    </row>
    <row r="49" spans="2:8" ht="15.75" thickBot="1">
      <c r="B49" s="2354" t="s">
        <v>982</v>
      </c>
      <c r="C49" s="1100"/>
      <c r="D49" s="2377" t="str">
        <f>IF(D46&gt;0,H28/D46*365,"")</f>
        <v/>
      </c>
      <c r="F49" s="952" t="s">
        <v>160</v>
      </c>
      <c r="G49" s="357"/>
      <c r="H49" s="2333">
        <v>0</v>
      </c>
    </row>
    <row r="50" spans="2:8">
      <c r="F50" s="952" t="s">
        <v>99</v>
      </c>
      <c r="G50" s="357"/>
      <c r="H50" s="2272">
        <v>60</v>
      </c>
    </row>
    <row r="51" spans="2:8" ht="15.75" thickBot="1">
      <c r="F51" s="2276" t="s">
        <v>976</v>
      </c>
      <c r="G51" s="2366"/>
      <c r="H51" s="2277">
        <v>12</v>
      </c>
    </row>
    <row r="52" spans="2:8" ht="15.75" thickBot="1">
      <c r="B52" s="2352"/>
      <c r="C52" s="707" t="s">
        <v>1000</v>
      </c>
      <c r="D52" s="63"/>
      <c r="F52" s="2357" t="s">
        <v>1004</v>
      </c>
      <c r="G52" s="367"/>
      <c r="H52" s="2356">
        <f>+Leasing!B12</f>
        <v>0</v>
      </c>
    </row>
    <row r="53" spans="2:8" ht="15.75" thickBot="1">
      <c r="B53" s="2355" t="s">
        <v>1003</v>
      </c>
      <c r="C53" s="2378"/>
      <c r="D53" s="2273">
        <f>D50+D51</f>
        <v>0</v>
      </c>
    </row>
    <row r="54" spans="2:8" ht="15.75" thickBot="1">
      <c r="B54" s="2353" t="s">
        <v>997</v>
      </c>
      <c r="C54" s="2379"/>
      <c r="D54" s="2275">
        <v>0.18</v>
      </c>
      <c r="F54" s="2278" t="s">
        <v>966</v>
      </c>
      <c r="G54" s="367"/>
      <c r="H54" s="2279">
        <v>0</v>
      </c>
    </row>
    <row r="55" spans="2:8" ht="15.75" thickBot="1">
      <c r="B55" s="2353" t="s">
        <v>998</v>
      </c>
      <c r="C55" s="2379"/>
      <c r="D55" s="2272">
        <v>60</v>
      </c>
      <c r="F55" s="2367" t="s">
        <v>967</v>
      </c>
      <c r="G55" s="2368"/>
      <c r="H55" s="2369"/>
    </row>
    <row r="56" spans="2:8" ht="15.75" thickBot="1">
      <c r="B56" s="2354" t="s">
        <v>999</v>
      </c>
      <c r="C56" s="2380"/>
      <c r="D56" s="2277">
        <v>12</v>
      </c>
      <c r="F56" s="953" t="s">
        <v>968</v>
      </c>
      <c r="G56" s="2365"/>
      <c r="H56" s="2271">
        <v>2500</v>
      </c>
    </row>
    <row r="57" spans="2:8" ht="15.75" thickBot="1">
      <c r="B57" s="2278" t="s">
        <v>968</v>
      </c>
      <c r="C57" s="367"/>
      <c r="D57" s="2356">
        <f>+Renting!B12</f>
        <v>0</v>
      </c>
      <c r="F57" s="2276" t="s">
        <v>83</v>
      </c>
      <c r="G57" s="2366"/>
      <c r="H57" s="2280">
        <f>NPER(H40/12,H56,-H39)</f>
        <v>0</v>
      </c>
    </row>
  </sheetData>
  <sheetProtection sheet="1" objects="1" scenarios="1"/>
  <dataValidations count="4">
    <dataValidation type="list" allowBlank="1" showInputMessage="1" showErrorMessage="1" sqref="H42 H51 D56" xr:uid="{00000000-0002-0000-0400-000000000000}">
      <formula1>"12,6,4,3,2,1"</formula1>
    </dataValidation>
    <dataValidation type="custom" allowBlank="1" showInputMessage="1" showErrorMessage="1" error="Con la forma jurídico-fiscal elegida no puede haber pagos a cuenta del IRPF" sqref="D27" xr:uid="{00000000-0002-0000-0400-000001000000}">
      <formula1>Isoc=0</formula1>
    </dataValidation>
    <dataValidation type="custom" allowBlank="1" showInputMessage="1" showErrorMessage="1" error="Con la forma jurídico-fiscal elegida no puede haber Impuesto de sociedades." sqref="D28" xr:uid="{00000000-0002-0000-0400-000002000000}">
      <formula1>Isoc&gt;0</formula1>
    </dataValidation>
    <dataValidation type="decimal" allowBlank="1" showInputMessage="1" showErrorMessage="1" error="La deuda de subvenciones no puede ser mayor que las subvenciones. COmpruebe la celda de subvenciones en el pasivo" sqref="D26" xr:uid="{00000000-0002-0000-0400-000003000000}">
      <formula1>0</formula1>
      <formula2>H14</formula2>
    </dataValidation>
  </dataValidations>
  <printOptions horizontalCentered="1"/>
  <pageMargins left="0.75" right="0.75" top="0.32" bottom="0.43" header="0" footer="0"/>
  <pageSetup paperSize="9" scale="61" orientation="landscape" horizontalDpi="300" r:id="rId1"/>
  <headerFooter alignWithMargins="0"/>
  <legacy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51">
    <tabColor indexed="61"/>
    <pageSetUpPr fitToPage="1"/>
  </sheetPr>
  <dimension ref="A1:S57"/>
  <sheetViews>
    <sheetView workbookViewId="0"/>
  </sheetViews>
  <sheetFormatPr baseColWidth="10" defaultColWidth="11" defaultRowHeight="12.75"/>
  <cols>
    <col min="1" max="1" width="24.75" style="279" customWidth="1"/>
    <col min="2" max="2" width="9.75" style="281" customWidth="1"/>
    <col min="3" max="4" width="10" style="87" customWidth="1"/>
    <col min="5" max="5" width="11.375" style="87" customWidth="1"/>
    <col min="6" max="14" width="10" style="87" customWidth="1"/>
    <col min="15" max="15" width="9.5" style="279" customWidth="1"/>
    <col min="16" max="16384" width="11" style="87"/>
  </cols>
  <sheetData>
    <row r="1" spans="1:15" ht="25.5">
      <c r="A1" s="956" t="str">
        <f>'Cobros y pagos 0'!A1</f>
        <v>Cobros y de Pagos de la Empresa</v>
      </c>
      <c r="B1" s="1071"/>
      <c r="E1" s="2711" t="str">
        <f>Parametros!E$77</f>
        <v>Año 3:  2029</v>
      </c>
      <c r="F1" s="296"/>
      <c r="M1" s="1072"/>
      <c r="O1" s="87"/>
    </row>
    <row r="2" spans="1:15" s="543" customFormat="1" ht="25.5">
      <c r="A2" s="164" t="str">
        <f>'Datos Básicos'!B9</f>
        <v>nombre empresa</v>
      </c>
      <c r="B2" s="1071"/>
      <c r="D2" s="1073"/>
      <c r="E2" s="161"/>
    </row>
    <row r="3" spans="1:15" ht="21" customHeight="1">
      <c r="A3" s="87"/>
      <c r="B3" s="1058"/>
      <c r="O3" s="87"/>
    </row>
    <row r="4" spans="1:15" ht="25.5">
      <c r="A4" s="164" t="str">
        <f>'Cobros y pagos 0'!A4</f>
        <v>Ventas (IVA incl.)</v>
      </c>
      <c r="B4" s="1058"/>
      <c r="E4" s="165"/>
      <c r="F4" s="165"/>
      <c r="O4" s="87"/>
    </row>
    <row r="5" spans="1:15" ht="5.25" customHeight="1" thickBot="1"/>
    <row r="6" spans="1:15" s="1054" customFormat="1" ht="16.149999999999999" customHeight="1" thickBot="1">
      <c r="A6" s="167" t="str">
        <f>'Cobros y pagos 0'!A6</f>
        <v>Ventas del periodo</v>
      </c>
      <c r="B6" s="2714" t="str">
        <f t="array" ref="B6:M6">meses</f>
        <v>enero</v>
      </c>
      <c r="C6" s="2715" t="str">
        <v>febrero</v>
      </c>
      <c r="D6" s="2715" t="str">
        <v>marzo</v>
      </c>
      <c r="E6" s="2715" t="str">
        <v>abril</v>
      </c>
      <c r="F6" s="2715" t="str">
        <v>mayo</v>
      </c>
      <c r="G6" s="2715" t="str">
        <v>junio</v>
      </c>
      <c r="H6" s="2715" t="str">
        <v>julio</v>
      </c>
      <c r="I6" s="2715" t="str">
        <v>agosto</v>
      </c>
      <c r="J6" s="2715" t="str">
        <v>septiembre</v>
      </c>
      <c r="K6" s="2715" t="str">
        <v>octubre</v>
      </c>
      <c r="L6" s="2715" t="str">
        <v>noviembre</v>
      </c>
      <c r="M6" s="2715" t="str">
        <v>diciembre</v>
      </c>
      <c r="N6" s="2715" t="s">
        <v>11</v>
      </c>
    </row>
    <row r="7" spans="1:15" s="550" customFormat="1" ht="16.149999999999999" customHeight="1">
      <c r="A7" s="2100" t="str">
        <f t="array" ref="A7:A14">productos</f>
        <v>producto o servicio</v>
      </c>
      <c r="B7" s="1055">
        <f t="array" aca="1" ref="B7:M14" ca="1">'Prev.Ventas 3'!B17:M24*(1+Parametros!$E24:$E31 - ret_irpf  )</f>
        <v>3594.3291999999997</v>
      </c>
      <c r="C7" s="1055">
        <f ca="1"/>
        <v>4492.9115000000002</v>
      </c>
      <c r="D7" s="1055">
        <f ca="1"/>
        <v>4942.2026500000002</v>
      </c>
      <c r="E7" s="1055">
        <f ca="1"/>
        <v>4717.5570749999997</v>
      </c>
      <c r="F7" s="1055">
        <f ca="1"/>
        <v>4043.6203500000001</v>
      </c>
      <c r="G7" s="1055">
        <f ca="1"/>
        <v>3818.9747749999997</v>
      </c>
      <c r="H7" s="1055">
        <f ca="1"/>
        <v>3594.3291999999997</v>
      </c>
      <c r="I7" s="1055">
        <f ca="1"/>
        <v>2695.7468999999996</v>
      </c>
      <c r="J7" s="1055">
        <f ca="1"/>
        <v>3594.3291999999997</v>
      </c>
      <c r="K7" s="1055">
        <f ca="1"/>
        <v>4268.2659250000006</v>
      </c>
      <c r="L7" s="1055">
        <f ca="1"/>
        <v>4492.9115000000002</v>
      </c>
      <c r="M7" s="1055">
        <f ca="1"/>
        <v>5391.4937999999993</v>
      </c>
      <c r="N7" s="2101">
        <f t="shared" ref="N7:N14" ca="1" si="0">SUM(B7:M7)</f>
        <v>49646.672074999995</v>
      </c>
    </row>
    <row r="8" spans="1:15" s="550" customFormat="1" ht="16.149999999999999" customHeight="1">
      <c r="A8" s="2102" t="str">
        <v/>
      </c>
      <c r="B8" s="1055">
        <f ca="1"/>
        <v>0</v>
      </c>
      <c r="C8" s="1055">
        <f ca="1"/>
        <v>0</v>
      </c>
      <c r="D8" s="1055">
        <f ca="1"/>
        <v>0</v>
      </c>
      <c r="E8" s="1055">
        <f ca="1"/>
        <v>0</v>
      </c>
      <c r="F8" s="1055">
        <f ca="1"/>
        <v>0</v>
      </c>
      <c r="G8" s="1055">
        <f ca="1"/>
        <v>0</v>
      </c>
      <c r="H8" s="1055">
        <f ca="1"/>
        <v>0</v>
      </c>
      <c r="I8" s="1055">
        <f ca="1"/>
        <v>0</v>
      </c>
      <c r="J8" s="1055">
        <f ca="1"/>
        <v>0</v>
      </c>
      <c r="K8" s="1055">
        <f ca="1"/>
        <v>0</v>
      </c>
      <c r="L8" s="1055">
        <f ca="1"/>
        <v>0</v>
      </c>
      <c r="M8" s="1055">
        <f ca="1"/>
        <v>0</v>
      </c>
      <c r="N8" s="2101">
        <f t="shared" ca="1" si="0"/>
        <v>0</v>
      </c>
    </row>
    <row r="9" spans="1:15" s="550" customFormat="1" ht="16.149999999999999" customHeight="1">
      <c r="A9" s="2102" t="str">
        <v/>
      </c>
      <c r="B9" s="1055">
        <f ca="1"/>
        <v>0</v>
      </c>
      <c r="C9" s="1055">
        <f ca="1"/>
        <v>0</v>
      </c>
      <c r="D9" s="1055">
        <f ca="1"/>
        <v>0</v>
      </c>
      <c r="E9" s="1055">
        <f ca="1"/>
        <v>0</v>
      </c>
      <c r="F9" s="1055">
        <f ca="1"/>
        <v>0</v>
      </c>
      <c r="G9" s="1055">
        <f ca="1"/>
        <v>0</v>
      </c>
      <c r="H9" s="1055">
        <f ca="1"/>
        <v>0</v>
      </c>
      <c r="I9" s="1055">
        <f ca="1"/>
        <v>0</v>
      </c>
      <c r="J9" s="1055">
        <f ca="1"/>
        <v>0</v>
      </c>
      <c r="K9" s="1055">
        <f ca="1"/>
        <v>0</v>
      </c>
      <c r="L9" s="1055">
        <f ca="1"/>
        <v>0</v>
      </c>
      <c r="M9" s="1055">
        <f ca="1"/>
        <v>0</v>
      </c>
      <c r="N9" s="2101">
        <f t="shared" ca="1" si="0"/>
        <v>0</v>
      </c>
    </row>
    <row r="10" spans="1:15" s="550" customFormat="1" ht="16.149999999999999" customHeight="1">
      <c r="A10" s="2102" t="str">
        <v/>
      </c>
      <c r="B10" s="1055">
        <f ca="1"/>
        <v>0</v>
      </c>
      <c r="C10" s="1055">
        <f ca="1"/>
        <v>0</v>
      </c>
      <c r="D10" s="1055">
        <f ca="1"/>
        <v>0</v>
      </c>
      <c r="E10" s="1055">
        <f ca="1"/>
        <v>0</v>
      </c>
      <c r="F10" s="1055">
        <f ca="1"/>
        <v>0</v>
      </c>
      <c r="G10" s="1055">
        <f ca="1"/>
        <v>0</v>
      </c>
      <c r="H10" s="1055">
        <f ca="1"/>
        <v>0</v>
      </c>
      <c r="I10" s="1055">
        <f ca="1"/>
        <v>0</v>
      </c>
      <c r="J10" s="1055">
        <f ca="1"/>
        <v>0</v>
      </c>
      <c r="K10" s="1055">
        <f ca="1"/>
        <v>0</v>
      </c>
      <c r="L10" s="1055">
        <f ca="1"/>
        <v>0</v>
      </c>
      <c r="M10" s="1055">
        <f ca="1"/>
        <v>0</v>
      </c>
      <c r="N10" s="2101">
        <f t="shared" ca="1" si="0"/>
        <v>0</v>
      </c>
    </row>
    <row r="11" spans="1:15" s="550" customFormat="1" ht="16.149999999999999" customHeight="1">
      <c r="A11" s="2102" t="str">
        <v/>
      </c>
      <c r="B11" s="1055">
        <f ca="1"/>
        <v>0</v>
      </c>
      <c r="C11" s="1055">
        <f ca="1"/>
        <v>0</v>
      </c>
      <c r="D11" s="1055">
        <f ca="1"/>
        <v>0</v>
      </c>
      <c r="E11" s="1055">
        <f ca="1"/>
        <v>0</v>
      </c>
      <c r="F11" s="1055">
        <f ca="1"/>
        <v>0</v>
      </c>
      <c r="G11" s="1055">
        <f ca="1"/>
        <v>0</v>
      </c>
      <c r="H11" s="1055">
        <f ca="1"/>
        <v>0</v>
      </c>
      <c r="I11" s="1055">
        <f ca="1"/>
        <v>0</v>
      </c>
      <c r="J11" s="1055">
        <f ca="1"/>
        <v>0</v>
      </c>
      <c r="K11" s="1055">
        <f ca="1"/>
        <v>0</v>
      </c>
      <c r="L11" s="1055">
        <f ca="1"/>
        <v>0</v>
      </c>
      <c r="M11" s="1055">
        <f ca="1"/>
        <v>0</v>
      </c>
      <c r="N11" s="2101">
        <f t="shared" ca="1" si="0"/>
        <v>0</v>
      </c>
    </row>
    <row r="12" spans="1:15" s="550" customFormat="1" ht="16.149999999999999" customHeight="1">
      <c r="A12" s="2102" t="str">
        <v/>
      </c>
      <c r="B12" s="1055">
        <f ca="1"/>
        <v>0</v>
      </c>
      <c r="C12" s="1055">
        <f ca="1"/>
        <v>0</v>
      </c>
      <c r="D12" s="1055">
        <f ca="1"/>
        <v>0</v>
      </c>
      <c r="E12" s="1055">
        <f ca="1"/>
        <v>0</v>
      </c>
      <c r="F12" s="1055">
        <f ca="1"/>
        <v>0</v>
      </c>
      <c r="G12" s="1055">
        <f ca="1"/>
        <v>0</v>
      </c>
      <c r="H12" s="1055">
        <f ca="1"/>
        <v>0</v>
      </c>
      <c r="I12" s="1055">
        <f ca="1"/>
        <v>0</v>
      </c>
      <c r="J12" s="1055">
        <f ca="1"/>
        <v>0</v>
      </c>
      <c r="K12" s="1055">
        <f ca="1"/>
        <v>0</v>
      </c>
      <c r="L12" s="1055">
        <f ca="1"/>
        <v>0</v>
      </c>
      <c r="M12" s="1055">
        <f ca="1"/>
        <v>0</v>
      </c>
      <c r="N12" s="2101">
        <f t="shared" ca="1" si="0"/>
        <v>0</v>
      </c>
    </row>
    <row r="13" spans="1:15" s="550" customFormat="1" ht="16.149999999999999" customHeight="1">
      <c r="A13" s="2102" t="str">
        <v/>
      </c>
      <c r="B13" s="1055">
        <f ca="1"/>
        <v>0</v>
      </c>
      <c r="C13" s="1055">
        <f ca="1"/>
        <v>0</v>
      </c>
      <c r="D13" s="1055">
        <f ca="1"/>
        <v>0</v>
      </c>
      <c r="E13" s="1055">
        <f ca="1"/>
        <v>0</v>
      </c>
      <c r="F13" s="1055">
        <f ca="1"/>
        <v>0</v>
      </c>
      <c r="G13" s="1055">
        <f ca="1"/>
        <v>0</v>
      </c>
      <c r="H13" s="1055">
        <f ca="1"/>
        <v>0</v>
      </c>
      <c r="I13" s="1055">
        <f ca="1"/>
        <v>0</v>
      </c>
      <c r="J13" s="1055">
        <f ca="1"/>
        <v>0</v>
      </c>
      <c r="K13" s="1055">
        <f ca="1"/>
        <v>0</v>
      </c>
      <c r="L13" s="1055">
        <f ca="1"/>
        <v>0</v>
      </c>
      <c r="M13" s="1055">
        <f ca="1"/>
        <v>0</v>
      </c>
      <c r="N13" s="2101">
        <f t="shared" ca="1" si="0"/>
        <v>0</v>
      </c>
    </row>
    <row r="14" spans="1:15" s="550" customFormat="1" ht="16.149999999999999" customHeight="1" thickBot="1">
      <c r="A14" s="2103" t="str">
        <v/>
      </c>
      <c r="B14" s="1056">
        <f ca="1"/>
        <v>0</v>
      </c>
      <c r="C14" s="1056">
        <f ca="1"/>
        <v>0</v>
      </c>
      <c r="D14" s="1056">
        <f ca="1"/>
        <v>0</v>
      </c>
      <c r="E14" s="1056">
        <f ca="1"/>
        <v>0</v>
      </c>
      <c r="F14" s="1056">
        <f ca="1"/>
        <v>0</v>
      </c>
      <c r="G14" s="1056">
        <f ca="1"/>
        <v>0</v>
      </c>
      <c r="H14" s="1056">
        <f ca="1"/>
        <v>0</v>
      </c>
      <c r="I14" s="1056">
        <f ca="1"/>
        <v>0</v>
      </c>
      <c r="J14" s="1056">
        <f ca="1"/>
        <v>0</v>
      </c>
      <c r="K14" s="1056">
        <f ca="1"/>
        <v>0</v>
      </c>
      <c r="L14" s="1056">
        <f ca="1"/>
        <v>0</v>
      </c>
      <c r="M14" s="1056">
        <f ca="1"/>
        <v>0</v>
      </c>
      <c r="N14" s="2101">
        <f t="shared" ca="1" si="0"/>
        <v>0</v>
      </c>
    </row>
    <row r="15" spans="1:15" s="550" customFormat="1" ht="16.149999999999999" customHeight="1" thickBot="1">
      <c r="A15" s="2104" t="s">
        <v>11</v>
      </c>
      <c r="B15" s="2105">
        <f t="shared" ref="B15:N15" ca="1" si="1">SUM(B7:B14)</f>
        <v>3594.3291999999997</v>
      </c>
      <c r="C15" s="2105">
        <f t="shared" ca="1" si="1"/>
        <v>4492.9115000000002</v>
      </c>
      <c r="D15" s="2105">
        <f t="shared" ca="1" si="1"/>
        <v>4942.2026500000002</v>
      </c>
      <c r="E15" s="2105">
        <f t="shared" ca="1" si="1"/>
        <v>4717.5570749999997</v>
      </c>
      <c r="F15" s="2105">
        <f t="shared" ca="1" si="1"/>
        <v>4043.6203500000001</v>
      </c>
      <c r="G15" s="2105">
        <f t="shared" ca="1" si="1"/>
        <v>3818.9747749999997</v>
      </c>
      <c r="H15" s="2105">
        <f t="shared" ca="1" si="1"/>
        <v>3594.3291999999997</v>
      </c>
      <c r="I15" s="2105">
        <f t="shared" ca="1" si="1"/>
        <v>2695.7468999999996</v>
      </c>
      <c r="J15" s="2105">
        <f t="shared" ca="1" si="1"/>
        <v>3594.3291999999997</v>
      </c>
      <c r="K15" s="2105">
        <f t="shared" ca="1" si="1"/>
        <v>4268.2659250000006</v>
      </c>
      <c r="L15" s="2105">
        <f t="shared" ca="1" si="1"/>
        <v>4492.9115000000002</v>
      </c>
      <c r="M15" s="2105">
        <f t="shared" ca="1" si="1"/>
        <v>5391.4937999999993</v>
      </c>
      <c r="N15" s="2105">
        <f t="shared" ca="1" si="1"/>
        <v>49646.672074999995</v>
      </c>
    </row>
    <row r="16" spans="1:15" s="550" customFormat="1" ht="16.149999999999999" customHeight="1">
      <c r="A16" s="24"/>
    </row>
    <row r="17" spans="1:19" s="326" customFormat="1" ht="22.5">
      <c r="A17" s="326" t="str">
        <f>'Cobros y pagos 0'!A17</f>
        <v>Cobros por Ventas del año</v>
      </c>
      <c r="B17" s="165"/>
      <c r="E17" s="165"/>
      <c r="F17" s="165"/>
    </row>
    <row r="18" spans="1:19" ht="16.5" customHeight="1" thickBot="1">
      <c r="A18" s="87"/>
      <c r="B18" s="87"/>
      <c r="O18" s="87"/>
      <c r="P18" s="1057" t="str">
        <f>'Cobros y pagos 0'!P18</f>
        <v>Pendiente para el año siguiente:</v>
      </c>
      <c r="Q18" s="1075" t="str">
        <f>Parametros!H65</f>
        <v>2030</v>
      </c>
    </row>
    <row r="19" spans="1:19" s="1054" customFormat="1" ht="28.5" customHeight="1" thickBot="1">
      <c r="A19" s="167" t="str">
        <f t="array" ref="A19:A27">'Cobros y pagos 0'!A19:A27</f>
        <v>Plazos de cobro</v>
      </c>
      <c r="B19" s="2716" t="str">
        <f t="array" ref="B19:M19">'Estimaciones Ventas'!B44:M44</f>
        <v>enero 
2029</v>
      </c>
      <c r="C19" s="2716" t="str">
        <v>febrero 
2029</v>
      </c>
      <c r="D19" s="2716" t="str">
        <v>marzo 
2029</v>
      </c>
      <c r="E19" s="2716" t="str">
        <v>abril 
2029</v>
      </c>
      <c r="F19" s="2716" t="str">
        <v>mayo 
2029</v>
      </c>
      <c r="G19" s="2716" t="str">
        <v>junio 
2029</v>
      </c>
      <c r="H19" s="2716" t="str">
        <v>julio 
2029</v>
      </c>
      <c r="I19" s="2716" t="str">
        <v>agosto 
2029</v>
      </c>
      <c r="J19" s="2716" t="str">
        <v>septiembre 
2029</v>
      </c>
      <c r="K19" s="2716" t="str">
        <v>octubre 
2029</v>
      </c>
      <c r="L19" s="2716" t="str">
        <v>noviembre 
2029</v>
      </c>
      <c r="M19" s="2716" t="str">
        <v>diciembre 
2029</v>
      </c>
      <c r="N19" s="2716" t="str">
        <f t="array" ref="N19:S19">'Cobros y pagos 4'!B19:G19</f>
        <v>enero 
2030</v>
      </c>
      <c r="O19" s="2716" t="str">
        <v>febrero 
2030</v>
      </c>
      <c r="P19" s="2716" t="str">
        <v>marzo 
2030</v>
      </c>
      <c r="Q19" s="2716" t="str">
        <v>abril 
2030</v>
      </c>
      <c r="R19" s="2716" t="str">
        <v>mayo 
2030</v>
      </c>
      <c r="S19" s="2716" t="str">
        <v>junio 
2030</v>
      </c>
    </row>
    <row r="20" spans="1:19" s="543" customFormat="1" ht="16.149999999999999" customHeight="1">
      <c r="A20" s="2097" t="str">
        <v>Contado</v>
      </c>
      <c r="B20" s="1059">
        <f t="array" aca="1" ref="B20" ca="1">SUM('Politicas Cobros y Pagos'!$B$39:$B$46*B7:B14)</f>
        <v>3594.3291999999997</v>
      </c>
      <c r="C20" s="1059">
        <f t="array" aca="1" ref="C20" ca="1">SUM('Politicas Cobros y Pagos'!$B$39:$B$46*C7:C14)</f>
        <v>4492.9115000000002</v>
      </c>
      <c r="D20" s="1059">
        <f t="array" aca="1" ref="D20" ca="1">SUM('Politicas Cobros y Pagos'!$B$39:$B$46*D7:D14)</f>
        <v>4942.2026500000002</v>
      </c>
      <c r="E20" s="1059">
        <f t="array" aca="1" ref="E20" ca="1">SUM('Politicas Cobros y Pagos'!$B$39:$B$46*E7:E14)</f>
        <v>4717.5570749999997</v>
      </c>
      <c r="F20" s="1059">
        <f t="array" aca="1" ref="F20" ca="1">SUM('Politicas Cobros y Pagos'!$B$39:$B$46*F7:F14)</f>
        <v>4043.6203500000001</v>
      </c>
      <c r="G20" s="1059">
        <f t="array" aca="1" ref="G20" ca="1">SUM('Politicas Cobros y Pagos'!$B$39:$B$46*G7:G14)</f>
        <v>3818.9747749999997</v>
      </c>
      <c r="H20" s="1059">
        <f t="array" aca="1" ref="H20" ca="1">SUM('Politicas Cobros y Pagos'!$B$39:$B$46*H7:H14)</f>
        <v>3594.3291999999997</v>
      </c>
      <c r="I20" s="1059">
        <f t="array" aca="1" ref="I20" ca="1">SUM('Politicas Cobros y Pagos'!$B$39:$B$46*I7:I14)</f>
        <v>2695.7468999999996</v>
      </c>
      <c r="J20" s="1059">
        <f t="array" aca="1" ref="J20" ca="1">SUM('Politicas Cobros y Pagos'!$B$39:$B$46*J7:J14)</f>
        <v>3594.3291999999997</v>
      </c>
      <c r="K20" s="1059">
        <f t="array" aca="1" ref="K20" ca="1">SUM('Politicas Cobros y Pagos'!$B$39:$B$46*K7:K14)</f>
        <v>4268.2659250000006</v>
      </c>
      <c r="L20" s="1059">
        <f t="array" aca="1" ref="L20" ca="1">SUM('Politicas Cobros y Pagos'!$B$39:$B$46*L7:L14)</f>
        <v>4492.9115000000002</v>
      </c>
      <c r="M20" s="1059">
        <f t="array" aca="1" ref="M20" ca="1">SUM('Politicas Cobros y Pagos'!$B$39:$B$46*M7:M14)</f>
        <v>5391.4937999999993</v>
      </c>
      <c r="N20" s="1059"/>
      <c r="O20" s="1059"/>
      <c r="P20" s="1059"/>
      <c r="Q20" s="1059"/>
      <c r="R20" s="1059"/>
      <c r="S20" s="1059"/>
    </row>
    <row r="21" spans="1:19" s="550" customFormat="1" ht="16.149999999999999" customHeight="1">
      <c r="A21" s="2098">
        <v>30</v>
      </c>
      <c r="B21" s="1060">
        <f t="array" aca="1" ref="B21:B26" ca="1">'Cobros y pagos 2'!N21:N26</f>
        <v>0</v>
      </c>
      <c r="C21" s="1059">
        <f t="array" aca="1" ref="C21" ca="1">SUM('Politicas Cobros y Pagos'!$C$39:$C$46*B$7:B$14)</f>
        <v>0</v>
      </c>
      <c r="D21" s="1059">
        <f t="array" aca="1" ref="D21" ca="1">SUM('Politicas Cobros y Pagos'!$C$39:$C$46*C$7:C$14)</f>
        <v>0</v>
      </c>
      <c r="E21" s="1059">
        <f t="array" aca="1" ref="E21" ca="1">SUM('Politicas Cobros y Pagos'!$C$39:$C$46*D$7:D$14)</f>
        <v>0</v>
      </c>
      <c r="F21" s="1059">
        <f t="array" aca="1" ref="F21" ca="1">SUM('Politicas Cobros y Pagos'!$C$39:$C$46*E$7:E$14)</f>
        <v>0</v>
      </c>
      <c r="G21" s="1059">
        <f t="array" aca="1" ref="G21" ca="1">SUM('Politicas Cobros y Pagos'!$C$39:$C$46*F$7:F$14)</f>
        <v>0</v>
      </c>
      <c r="H21" s="1059">
        <f t="array" aca="1" ref="H21" ca="1">SUM('Politicas Cobros y Pagos'!$C$39:$C$46*G$7:G$14)</f>
        <v>0</v>
      </c>
      <c r="I21" s="1059">
        <f t="array" aca="1" ref="I21" ca="1">SUM('Politicas Cobros y Pagos'!$C$39:$C$46*H$7:H$14)</f>
        <v>0</v>
      </c>
      <c r="J21" s="1059">
        <f t="array" aca="1" ref="J21" ca="1">SUM('Politicas Cobros y Pagos'!$C$39:$C$46*I$7:I$14)</f>
        <v>0</v>
      </c>
      <c r="K21" s="1059">
        <f t="array" aca="1" ref="K21" ca="1">SUM('Politicas Cobros y Pagos'!$C$39:$C$46*J$7:J$14)</f>
        <v>0</v>
      </c>
      <c r="L21" s="1059">
        <f t="array" aca="1" ref="L21" ca="1">SUM('Politicas Cobros y Pagos'!$C$39:$C$46*K$7:K$14)</f>
        <v>0</v>
      </c>
      <c r="M21" s="1059">
        <f t="array" aca="1" ref="M21" ca="1">SUM('Politicas Cobros y Pagos'!$C$39:$C$46*L$7:L$14)</f>
        <v>0</v>
      </c>
      <c r="N21" s="1059">
        <f t="array" aca="1" ref="N21" ca="1">SUM('Politicas Cobros y Pagos'!$C$39:$C$46*M$7:M$14)</f>
        <v>0</v>
      </c>
      <c r="O21" s="1059"/>
      <c r="P21" s="1059"/>
      <c r="Q21" s="1059"/>
      <c r="R21" s="1059"/>
      <c r="S21" s="1059"/>
    </row>
    <row r="22" spans="1:19" s="543" customFormat="1" ht="16.149999999999999" customHeight="1">
      <c r="A22" s="2098">
        <v>60</v>
      </c>
      <c r="B22" s="1060">
        <f ca="1"/>
        <v>0</v>
      </c>
      <c r="C22" s="1060">
        <f t="array" aca="1" ref="C22:C26" ca="1">'Cobros y pagos 2'!O22:O26</f>
        <v>0</v>
      </c>
      <c r="D22" s="1059">
        <f t="array" aca="1" ref="D22" ca="1">SUM('Politicas Cobros y Pagos'!$D$39:$D$46*B$7:B$14)</f>
        <v>0</v>
      </c>
      <c r="E22" s="1059">
        <f t="array" aca="1" ref="E22" ca="1">SUM('Politicas Cobros y Pagos'!$D$39:$D$46*C$7:C$14)</f>
        <v>0</v>
      </c>
      <c r="F22" s="1059">
        <f t="array" aca="1" ref="F22" ca="1">SUM('Politicas Cobros y Pagos'!$D$39:$D$46*D$7:D$14)</f>
        <v>0</v>
      </c>
      <c r="G22" s="1059">
        <f t="array" aca="1" ref="G22" ca="1">SUM('Politicas Cobros y Pagos'!$D$39:$D$46*E$7:E$14)</f>
        <v>0</v>
      </c>
      <c r="H22" s="1059">
        <f t="array" aca="1" ref="H22" ca="1">SUM('Politicas Cobros y Pagos'!$D$39:$D$46*F$7:F$14)</f>
        <v>0</v>
      </c>
      <c r="I22" s="1059">
        <f t="array" aca="1" ref="I22" ca="1">SUM('Politicas Cobros y Pagos'!$D$39:$D$46*G$7:G$14)</f>
        <v>0</v>
      </c>
      <c r="J22" s="1059">
        <f t="array" aca="1" ref="J22" ca="1">SUM('Politicas Cobros y Pagos'!$D$39:$D$46*H$7:H$14)</f>
        <v>0</v>
      </c>
      <c r="K22" s="1059">
        <f t="array" aca="1" ref="K22" ca="1">SUM('Politicas Cobros y Pagos'!$D$39:$D$46*I$7:I$14)</f>
        <v>0</v>
      </c>
      <c r="L22" s="1059">
        <f t="array" aca="1" ref="L22" ca="1">SUM('Politicas Cobros y Pagos'!$D$39:$D$46*J$7:J$14)</f>
        <v>0</v>
      </c>
      <c r="M22" s="1059">
        <f t="array" aca="1" ref="M22" ca="1">SUM('Politicas Cobros y Pagos'!$D$39:$D$46*K$7:K$14)</f>
        <v>0</v>
      </c>
      <c r="N22" s="1059">
        <f t="array" aca="1" ref="N22" ca="1">SUM('Politicas Cobros y Pagos'!$D$39:$D$46*L$7:L$14)</f>
        <v>0</v>
      </c>
      <c r="O22" s="1059">
        <f t="array" aca="1" ref="O22" ca="1">SUM('Politicas Cobros y Pagos'!$D$39:$D$46*M$7:M$14)</f>
        <v>0</v>
      </c>
      <c r="P22" s="1059"/>
      <c r="Q22" s="1059"/>
      <c r="R22" s="1059"/>
      <c r="S22" s="1059"/>
    </row>
    <row r="23" spans="1:19" s="543" customFormat="1" ht="16.149999999999999" customHeight="1">
      <c r="A23" s="2098">
        <v>90</v>
      </c>
      <c r="B23" s="1060">
        <f ca="1"/>
        <v>0</v>
      </c>
      <c r="C23" s="1060">
        <f ca="1"/>
        <v>0</v>
      </c>
      <c r="D23" s="1060">
        <f t="array" aca="1" ref="D23:D26" ca="1">'Cobros y pagos 2'!P23:P26</f>
        <v>0</v>
      </c>
      <c r="E23" s="1059">
        <f t="array" aca="1" ref="E23" ca="1">SUM('Politicas Cobros y Pagos'!$E$39:$E$46*B$7:B$14)</f>
        <v>0</v>
      </c>
      <c r="F23" s="1059">
        <f t="array" aca="1" ref="F23" ca="1">SUM('Politicas Cobros y Pagos'!$E$39:$E$46*C$7:C$14)</f>
        <v>0</v>
      </c>
      <c r="G23" s="1059">
        <f t="array" aca="1" ref="G23" ca="1">SUM('Politicas Cobros y Pagos'!$E$39:$E$46*D$7:D$14)</f>
        <v>0</v>
      </c>
      <c r="H23" s="1059">
        <f t="array" aca="1" ref="H23" ca="1">SUM('Politicas Cobros y Pagos'!$E$39:$E$46*E$7:E$14)</f>
        <v>0</v>
      </c>
      <c r="I23" s="1059">
        <f t="array" aca="1" ref="I23" ca="1">SUM('Politicas Cobros y Pagos'!$E$39:$E$46*F$7:F$14)</f>
        <v>0</v>
      </c>
      <c r="J23" s="1059">
        <f t="array" aca="1" ref="J23" ca="1">SUM('Politicas Cobros y Pagos'!$E$39:$E$46*G$7:G$14)</f>
        <v>0</v>
      </c>
      <c r="K23" s="1059">
        <f t="array" aca="1" ref="K23" ca="1">SUM('Politicas Cobros y Pagos'!$E$39:$E$46*H$7:H$14)</f>
        <v>0</v>
      </c>
      <c r="L23" s="1059">
        <f t="array" aca="1" ref="L23" ca="1">SUM('Politicas Cobros y Pagos'!$E$39:$E$46*I$7:I$14)</f>
        <v>0</v>
      </c>
      <c r="M23" s="1059">
        <f t="array" aca="1" ref="M23" ca="1">SUM('Politicas Cobros y Pagos'!$E$39:$E$46*J$7:J$14)</f>
        <v>0</v>
      </c>
      <c r="N23" s="1059">
        <f t="array" aca="1" ref="N23" ca="1">SUM('Politicas Cobros y Pagos'!$E$39:$E$46*K$7:K$14)</f>
        <v>0</v>
      </c>
      <c r="O23" s="1059">
        <f t="array" aca="1" ref="O23" ca="1">SUM('Politicas Cobros y Pagos'!$E$39:$E$46*L$7:L$14)</f>
        <v>0</v>
      </c>
      <c r="P23" s="1059">
        <f t="array" aca="1" ref="P23" ca="1">SUM('Politicas Cobros y Pagos'!$E$39:$E$46*M$7:M$14)</f>
        <v>0</v>
      </c>
      <c r="Q23" s="1059"/>
      <c r="R23" s="1059"/>
      <c r="S23" s="1059"/>
    </row>
    <row r="24" spans="1:19" s="543" customFormat="1" ht="16.149999999999999" customHeight="1">
      <c r="A24" s="2098">
        <v>120</v>
      </c>
      <c r="B24" s="1060">
        <f ca="1"/>
        <v>0</v>
      </c>
      <c r="C24" s="1060">
        <f ca="1"/>
        <v>0</v>
      </c>
      <c r="D24" s="1060">
        <f ca="1"/>
        <v>0</v>
      </c>
      <c r="E24" s="1060">
        <f t="array" aca="1" ref="E24:E26" ca="1">'Cobros y pagos 2'!Q24:Q26</f>
        <v>0</v>
      </c>
      <c r="F24" s="1059">
        <f t="array" aca="1" ref="F24" ca="1">SUM('Politicas Cobros y Pagos'!$F$39:$F$46*B$7:B$14)</f>
        <v>0</v>
      </c>
      <c r="G24" s="1059">
        <f t="array" aca="1" ref="G24" ca="1">SUM('Politicas Cobros y Pagos'!$F$39:$F$46*C$7:C$14)</f>
        <v>0</v>
      </c>
      <c r="H24" s="1059">
        <f t="array" aca="1" ref="H24" ca="1">SUM('Politicas Cobros y Pagos'!$F$39:$F$46*D$7:D$14)</f>
        <v>0</v>
      </c>
      <c r="I24" s="1059">
        <f t="array" aca="1" ref="I24" ca="1">SUM('Politicas Cobros y Pagos'!$F$39:$F$46*E$7:E$14)</f>
        <v>0</v>
      </c>
      <c r="J24" s="1059">
        <f t="array" aca="1" ref="J24" ca="1">SUM('Politicas Cobros y Pagos'!$F$39:$F$46*F$7:F$14)</f>
        <v>0</v>
      </c>
      <c r="K24" s="1059">
        <f t="array" aca="1" ref="K24" ca="1">SUM('Politicas Cobros y Pagos'!$F$39:$F$46*G$7:G$14)</f>
        <v>0</v>
      </c>
      <c r="L24" s="1059">
        <f t="array" aca="1" ref="L24" ca="1">SUM('Politicas Cobros y Pagos'!$F$39:$F$46*H$7:H$14)</f>
        <v>0</v>
      </c>
      <c r="M24" s="1059">
        <f t="array" aca="1" ref="M24" ca="1">SUM('Politicas Cobros y Pagos'!$F$39:$F$46*I$7:I$14)</f>
        <v>0</v>
      </c>
      <c r="N24" s="1059">
        <f t="array" aca="1" ref="N24" ca="1">SUM('Politicas Cobros y Pagos'!$F$39:$F$46*J$7:J$14)</f>
        <v>0</v>
      </c>
      <c r="O24" s="1059">
        <f t="array" aca="1" ref="O24" ca="1">SUM('Politicas Cobros y Pagos'!$F$39:$F$46*K$7:K$14)</f>
        <v>0</v>
      </c>
      <c r="P24" s="1059">
        <f t="array" aca="1" ref="P24" ca="1">SUM('Politicas Cobros y Pagos'!$F$39:$F$46*L$7:L$14)</f>
        <v>0</v>
      </c>
      <c r="Q24" s="1059">
        <f t="array" aca="1" ref="Q24" ca="1">SUM('Politicas Cobros y Pagos'!$F$39:$F$46*M$7:M$14)</f>
        <v>0</v>
      </c>
      <c r="R24" s="1059"/>
      <c r="S24" s="1059"/>
    </row>
    <row r="25" spans="1:19" s="543" customFormat="1" ht="16.149999999999999" customHeight="1">
      <c r="A25" s="2098">
        <v>150</v>
      </c>
      <c r="B25" s="1060">
        <f ca="1"/>
        <v>0</v>
      </c>
      <c r="C25" s="1060">
        <f ca="1"/>
        <v>0</v>
      </c>
      <c r="D25" s="1060">
        <f ca="1"/>
        <v>0</v>
      </c>
      <c r="E25" s="1060">
        <f ca="1"/>
        <v>0</v>
      </c>
      <c r="F25" s="1060">
        <f t="array" aca="1" ref="F25:F26" ca="1">'Cobros y pagos 2'!R25:R26</f>
        <v>0</v>
      </c>
      <c r="G25" s="1059">
        <f t="array" aca="1" ref="G25" ca="1">SUM('Politicas Cobros y Pagos'!$G$39:$G$46*B$7:B$14)</f>
        <v>0</v>
      </c>
      <c r="H25" s="1059">
        <f t="array" aca="1" ref="H25" ca="1">SUM('Politicas Cobros y Pagos'!$G$39:$G$46*C$7:C$14)</f>
        <v>0</v>
      </c>
      <c r="I25" s="1059">
        <f t="array" aca="1" ref="I25" ca="1">SUM('Politicas Cobros y Pagos'!$G$39:$G$46*D$7:D$14)</f>
        <v>0</v>
      </c>
      <c r="J25" s="1059">
        <f t="array" aca="1" ref="J25" ca="1">SUM('Politicas Cobros y Pagos'!$G$39:$G$46*E$7:E$14)</f>
        <v>0</v>
      </c>
      <c r="K25" s="1059">
        <f t="array" aca="1" ref="K25" ca="1">SUM('Politicas Cobros y Pagos'!$G$39:$G$46*F$7:F$14)</f>
        <v>0</v>
      </c>
      <c r="L25" s="1059">
        <f t="array" aca="1" ref="L25" ca="1">SUM('Politicas Cobros y Pagos'!$G$39:$G$46*G$7:G$14)</f>
        <v>0</v>
      </c>
      <c r="M25" s="1059">
        <f t="array" aca="1" ref="M25" ca="1">SUM('Politicas Cobros y Pagos'!$G$39:$G$46*H$7:H$14)</f>
        <v>0</v>
      </c>
      <c r="N25" s="1059">
        <f t="array" aca="1" ref="N25" ca="1">SUM('Politicas Cobros y Pagos'!$G$39:$G$46*I$7:I$14)</f>
        <v>0</v>
      </c>
      <c r="O25" s="1059">
        <f t="array" aca="1" ref="O25" ca="1">SUM('Politicas Cobros y Pagos'!$G$39:$G$46*J$7:J$14)</f>
        <v>0</v>
      </c>
      <c r="P25" s="1059">
        <f t="array" aca="1" ref="P25" ca="1">SUM('Politicas Cobros y Pagos'!$G$39:$G$46*K$7:K$14)</f>
        <v>0</v>
      </c>
      <c r="Q25" s="1059">
        <f t="array" aca="1" ref="Q25" ca="1">SUM('Politicas Cobros y Pagos'!$G$39:$G$46*L$7:L$14)</f>
        <v>0</v>
      </c>
      <c r="R25" s="1059">
        <f t="array" aca="1" ref="R25" ca="1">SUM('Politicas Cobros y Pagos'!$G$39:$G$46*M$7:M$14)</f>
        <v>0</v>
      </c>
      <c r="S25" s="1059"/>
    </row>
    <row r="26" spans="1:19" s="543" customFormat="1" ht="16.149999999999999" customHeight="1">
      <c r="A26" s="2098">
        <v>180</v>
      </c>
      <c r="B26" s="1060">
        <f ca="1"/>
        <v>0</v>
      </c>
      <c r="C26" s="1060">
        <f ca="1"/>
        <v>0</v>
      </c>
      <c r="D26" s="1060">
        <f ca="1"/>
        <v>0</v>
      </c>
      <c r="E26" s="1060">
        <f ca="1"/>
        <v>0</v>
      </c>
      <c r="F26" s="1060">
        <f ca="1"/>
        <v>0</v>
      </c>
      <c r="G26" s="1060">
        <f ca="1">'Cobros y pagos 2'!S26</f>
        <v>0</v>
      </c>
      <c r="H26" s="1059">
        <f t="array" aca="1" ref="H26" ca="1">SUM('Politicas Cobros y Pagos'!$H$39:$H$46*B$7:B$14)</f>
        <v>0</v>
      </c>
      <c r="I26" s="1059">
        <f t="array" aca="1" ref="I26" ca="1">SUM('Politicas Cobros y Pagos'!$H$39:$H$46*C$7:C$14)</f>
        <v>0</v>
      </c>
      <c r="J26" s="1059">
        <f t="array" aca="1" ref="J26" ca="1">SUM('Politicas Cobros y Pagos'!$H$39:$H$46*D$7:D$14)</f>
        <v>0</v>
      </c>
      <c r="K26" s="1059">
        <f t="array" aca="1" ref="K26" ca="1">SUM('Politicas Cobros y Pagos'!$H$39:$H$46*E$7:E$14)</f>
        <v>0</v>
      </c>
      <c r="L26" s="1059">
        <f t="array" aca="1" ref="L26" ca="1">SUM('Politicas Cobros y Pagos'!$H$39:$H$46*F$7:F$14)</f>
        <v>0</v>
      </c>
      <c r="M26" s="1059">
        <f t="array" aca="1" ref="M26" ca="1">SUM('Politicas Cobros y Pagos'!$H$39:$H$46*G$7:G$14)</f>
        <v>0</v>
      </c>
      <c r="N26" s="1059">
        <f t="array" aca="1" ref="N26" ca="1">SUM('Politicas Cobros y Pagos'!$H$39:$H$46*H$7:H$14)</f>
        <v>0</v>
      </c>
      <c r="O26" s="1059">
        <f t="array" aca="1" ref="O26" ca="1">SUM('Politicas Cobros y Pagos'!$H$39:$H$46*I$7:I$14)</f>
        <v>0</v>
      </c>
      <c r="P26" s="1059">
        <f t="array" aca="1" ref="P26" ca="1">SUM('Politicas Cobros y Pagos'!$H$39:$H$46*J$7:J$14)</f>
        <v>0</v>
      </c>
      <c r="Q26" s="1059">
        <f t="array" aca="1" ref="Q26" ca="1">SUM('Politicas Cobros y Pagos'!$H$39:$H$46*K$7:K$14)</f>
        <v>0</v>
      </c>
      <c r="R26" s="1059">
        <f t="array" aca="1" ref="R26" ca="1">SUM('Politicas Cobros y Pagos'!$H$39:$H$46*L$7:L$14)</f>
        <v>0</v>
      </c>
      <c r="S26" s="1059">
        <f t="array" aca="1" ref="S26" ca="1">SUM('Politicas Cobros y Pagos'!$H$39:$H$46*M$7:M$14)</f>
        <v>0</v>
      </c>
    </row>
    <row r="27" spans="1:19" s="543" customFormat="1" ht="16.149999999999999" customHeight="1">
      <c r="A27" s="2099" t="str">
        <v>Impagados</v>
      </c>
      <c r="B27" s="1074">
        <f t="shared" ref="B27:M27" ca="1" si="2">-morisidad*SUM(B20:B26)</f>
        <v>0</v>
      </c>
      <c r="C27" s="1074">
        <f t="shared" ca="1" si="2"/>
        <v>0</v>
      </c>
      <c r="D27" s="1074">
        <f t="shared" ca="1" si="2"/>
        <v>0</v>
      </c>
      <c r="E27" s="1074">
        <f t="shared" ca="1" si="2"/>
        <v>0</v>
      </c>
      <c r="F27" s="1074">
        <f t="shared" ca="1" si="2"/>
        <v>0</v>
      </c>
      <c r="G27" s="1074">
        <f t="shared" ca="1" si="2"/>
        <v>0</v>
      </c>
      <c r="H27" s="1074">
        <f t="shared" ca="1" si="2"/>
        <v>0</v>
      </c>
      <c r="I27" s="1074">
        <f t="shared" ca="1" si="2"/>
        <v>0</v>
      </c>
      <c r="J27" s="1074">
        <f t="shared" ca="1" si="2"/>
        <v>0</v>
      </c>
      <c r="K27" s="1074">
        <f t="shared" ca="1" si="2"/>
        <v>0</v>
      </c>
      <c r="L27" s="1074">
        <f t="shared" ca="1" si="2"/>
        <v>0</v>
      </c>
      <c r="M27" s="1074">
        <f t="shared" ca="1" si="2"/>
        <v>0</v>
      </c>
      <c r="N27" s="1061"/>
      <c r="O27" s="1061"/>
      <c r="P27" s="1061"/>
      <c r="Q27" s="1061"/>
      <c r="R27" s="1061"/>
      <c r="S27" s="1061"/>
    </row>
    <row r="28" spans="1:19" s="550" customFormat="1" ht="16.149999999999999" customHeight="1" thickBot="1">
      <c r="A28" s="2807" t="s">
        <v>11</v>
      </c>
      <c r="B28" s="2717">
        <f t="shared" ref="B28:S28" ca="1" si="3">SUM(B20:B27)</f>
        <v>3594.3291999999997</v>
      </c>
      <c r="C28" s="2717">
        <f t="shared" ca="1" si="3"/>
        <v>4492.9115000000002</v>
      </c>
      <c r="D28" s="2717">
        <f t="shared" ca="1" si="3"/>
        <v>4942.2026500000002</v>
      </c>
      <c r="E28" s="2717">
        <f t="shared" ca="1" si="3"/>
        <v>4717.5570749999997</v>
      </c>
      <c r="F28" s="2717">
        <f t="shared" ca="1" si="3"/>
        <v>4043.6203500000001</v>
      </c>
      <c r="G28" s="2717">
        <f t="shared" ca="1" si="3"/>
        <v>3818.9747749999997</v>
      </c>
      <c r="H28" s="2717">
        <f t="shared" ca="1" si="3"/>
        <v>3594.3291999999997</v>
      </c>
      <c r="I28" s="2717">
        <f t="shared" ca="1" si="3"/>
        <v>2695.7468999999996</v>
      </c>
      <c r="J28" s="2717">
        <f t="shared" ca="1" si="3"/>
        <v>3594.3291999999997</v>
      </c>
      <c r="K28" s="2717">
        <f t="shared" ca="1" si="3"/>
        <v>4268.2659250000006</v>
      </c>
      <c r="L28" s="2717">
        <f t="shared" ca="1" si="3"/>
        <v>4492.9115000000002</v>
      </c>
      <c r="M28" s="2717">
        <f t="shared" ca="1" si="3"/>
        <v>5391.4937999999993</v>
      </c>
      <c r="N28" s="2717">
        <f t="shared" ca="1" si="3"/>
        <v>0</v>
      </c>
      <c r="O28" s="2717">
        <f t="shared" ca="1" si="3"/>
        <v>0</v>
      </c>
      <c r="P28" s="2717">
        <f t="shared" ca="1" si="3"/>
        <v>0</v>
      </c>
      <c r="Q28" s="2717">
        <f t="shared" ca="1" si="3"/>
        <v>0</v>
      </c>
      <c r="R28" s="2717">
        <f t="shared" ca="1" si="3"/>
        <v>0</v>
      </c>
      <c r="S28" s="2717">
        <f t="shared" ca="1" si="3"/>
        <v>0</v>
      </c>
    </row>
    <row r="29" spans="1:19" s="550" customFormat="1" ht="13.5" customHeight="1" thickBot="1">
      <c r="B29" s="1062"/>
    </row>
    <row r="30" spans="1:19" s="543" customFormat="1" ht="16.149999999999999" customHeight="1" thickBot="1">
      <c r="A30" s="279"/>
      <c r="B30" s="1062"/>
      <c r="O30" s="1063"/>
      <c r="P30" s="1064"/>
      <c r="Q30" s="1064"/>
      <c r="R30" s="1076" t="str">
        <f>CONCATENATE("Cobros de ventas pendintes para el año ",Q18," (sin ",'Datos Básicos'!$A$28,")")</f>
        <v>Cobros de ventas pendintes para el año 2030 (sin IVA)</v>
      </c>
      <c r="S30" s="1065">
        <f ca="1">SUM(N28:S28)</f>
        <v>0</v>
      </c>
    </row>
    <row r="31" spans="1:19" s="543" customFormat="1" ht="16.149999999999999" customHeight="1" thickBot="1">
      <c r="A31" s="279"/>
      <c r="B31" s="1062"/>
      <c r="O31" s="1063"/>
      <c r="P31" s="1064"/>
      <c r="Q31" s="1064"/>
      <c r="R31" s="1077" t="str">
        <f>'Cobros y pagos 0'!R31</f>
        <v xml:space="preserve">Impagados producidos durante el año </v>
      </c>
      <c r="S31" s="1066">
        <f ca="1">-SUM(B27:M27)</f>
        <v>0</v>
      </c>
    </row>
    <row r="32" spans="1:19" s="326" customFormat="1" ht="22.5">
      <c r="A32" s="326" t="str">
        <f>'Cobros y pagos 0'!A32</f>
        <v>Compras y Costes variables (IVA incl.)</v>
      </c>
      <c r="B32" s="165"/>
      <c r="G32" s="165"/>
      <c r="H32" s="165"/>
    </row>
    <row r="33" spans="1:19" ht="7.5" customHeight="1" thickBot="1">
      <c r="P33" s="550"/>
    </row>
    <row r="34" spans="1:19" ht="15.75" thickBot="1">
      <c r="A34" s="167" t="str">
        <f>'Cobros y pagos 0'!A34</f>
        <v>Compras del periodo</v>
      </c>
      <c r="B34" s="2714" t="str">
        <f t="array" ref="B34:M34">meses</f>
        <v>enero</v>
      </c>
      <c r="C34" s="2714" t="str">
        <v>febrero</v>
      </c>
      <c r="D34" s="2714" t="str">
        <v>marzo</v>
      </c>
      <c r="E34" s="2714" t="str">
        <v>abril</v>
      </c>
      <c r="F34" s="2714" t="str">
        <v>mayo</v>
      </c>
      <c r="G34" s="2714" t="str">
        <v>junio</v>
      </c>
      <c r="H34" s="2714" t="str">
        <v>julio</v>
      </c>
      <c r="I34" s="2714" t="str">
        <v>agosto</v>
      </c>
      <c r="J34" s="2714" t="str">
        <v>septiembre</v>
      </c>
      <c r="K34" s="2714" t="str">
        <v>octubre</v>
      </c>
      <c r="L34" s="2714" t="str">
        <v>noviembre</v>
      </c>
      <c r="M34" s="2714" t="str">
        <v>diciembre</v>
      </c>
      <c r="N34" s="2715" t="s">
        <v>11</v>
      </c>
      <c r="O34" s="550"/>
    </row>
    <row r="35" spans="1:19" ht="14.25">
      <c r="A35" s="2100" t="str">
        <f t="array" ref="A35:A42">productos</f>
        <v>producto o servicio</v>
      </c>
      <c r="B35" s="1055">
        <f t="array" aca="1" ref="B35:M42" ca="1">'Distr CV 3'!B46:M53+'Distr CV 3'!B59:M66</f>
        <v>359.43292000000002</v>
      </c>
      <c r="C35" s="1055">
        <f ca="1"/>
        <v>449.29115000000007</v>
      </c>
      <c r="D35" s="1055">
        <f ca="1"/>
        <v>494.22026500000004</v>
      </c>
      <c r="E35" s="1055">
        <f ca="1"/>
        <v>471.75570750000003</v>
      </c>
      <c r="F35" s="1055">
        <f ca="1"/>
        <v>404.36203500000005</v>
      </c>
      <c r="G35" s="1055">
        <f ca="1"/>
        <v>381.89747749999998</v>
      </c>
      <c r="H35" s="1055">
        <f ca="1"/>
        <v>359.43292000000002</v>
      </c>
      <c r="I35" s="1055">
        <f ca="1"/>
        <v>269.57469000000003</v>
      </c>
      <c r="J35" s="1055">
        <f ca="1"/>
        <v>359.43292000000002</v>
      </c>
      <c r="K35" s="1055">
        <f ca="1"/>
        <v>426.8265925</v>
      </c>
      <c r="L35" s="1055">
        <f ca="1"/>
        <v>449.29115000000007</v>
      </c>
      <c r="M35" s="1055">
        <f ca="1"/>
        <v>539.14938000000006</v>
      </c>
      <c r="N35" s="2101">
        <f t="shared" ref="N35:N42" ca="1" si="4">SUM(B35:M35)</f>
        <v>4964.6672075000006</v>
      </c>
      <c r="O35" s="550"/>
    </row>
    <row r="36" spans="1:19" ht="14.25">
      <c r="A36" s="2102" t="str">
        <v/>
      </c>
      <c r="B36" s="1055">
        <f ca="1"/>
        <v>0</v>
      </c>
      <c r="C36" s="1055">
        <f ca="1"/>
        <v>0</v>
      </c>
      <c r="D36" s="1055">
        <f ca="1"/>
        <v>0</v>
      </c>
      <c r="E36" s="1055">
        <f ca="1"/>
        <v>0</v>
      </c>
      <c r="F36" s="1055">
        <f ca="1"/>
        <v>0</v>
      </c>
      <c r="G36" s="1055">
        <f ca="1"/>
        <v>0</v>
      </c>
      <c r="H36" s="1055">
        <f ca="1"/>
        <v>0</v>
      </c>
      <c r="I36" s="1055">
        <f ca="1"/>
        <v>0</v>
      </c>
      <c r="J36" s="1055">
        <f ca="1"/>
        <v>0</v>
      </c>
      <c r="K36" s="1055">
        <f ca="1"/>
        <v>0</v>
      </c>
      <c r="L36" s="1055">
        <f ca="1"/>
        <v>0</v>
      </c>
      <c r="M36" s="1055">
        <f ca="1"/>
        <v>0</v>
      </c>
      <c r="N36" s="2101">
        <f t="shared" ca="1" si="4"/>
        <v>0</v>
      </c>
      <c r="O36" s="550"/>
    </row>
    <row r="37" spans="1:19" ht="14.25">
      <c r="A37" s="2102" t="str">
        <v/>
      </c>
      <c r="B37" s="1055">
        <f ca="1"/>
        <v>0</v>
      </c>
      <c r="C37" s="1055">
        <f ca="1"/>
        <v>0</v>
      </c>
      <c r="D37" s="1055">
        <f ca="1"/>
        <v>0</v>
      </c>
      <c r="E37" s="1055">
        <f ca="1"/>
        <v>0</v>
      </c>
      <c r="F37" s="1055">
        <f ca="1"/>
        <v>0</v>
      </c>
      <c r="G37" s="1055">
        <f ca="1"/>
        <v>0</v>
      </c>
      <c r="H37" s="1055">
        <f ca="1"/>
        <v>0</v>
      </c>
      <c r="I37" s="1055">
        <f ca="1"/>
        <v>0</v>
      </c>
      <c r="J37" s="1055">
        <f ca="1"/>
        <v>0</v>
      </c>
      <c r="K37" s="1055">
        <f ca="1"/>
        <v>0</v>
      </c>
      <c r="L37" s="1055">
        <f ca="1"/>
        <v>0</v>
      </c>
      <c r="M37" s="1055">
        <f ca="1"/>
        <v>0</v>
      </c>
      <c r="N37" s="2101">
        <f t="shared" ca="1" si="4"/>
        <v>0</v>
      </c>
      <c r="O37" s="550"/>
    </row>
    <row r="38" spans="1:19" ht="14.25">
      <c r="A38" s="2102" t="str">
        <v/>
      </c>
      <c r="B38" s="1055">
        <f ca="1"/>
        <v>0</v>
      </c>
      <c r="C38" s="1055">
        <f ca="1"/>
        <v>0</v>
      </c>
      <c r="D38" s="1055">
        <f ca="1"/>
        <v>0</v>
      </c>
      <c r="E38" s="1055">
        <f ca="1"/>
        <v>0</v>
      </c>
      <c r="F38" s="1055">
        <f ca="1"/>
        <v>0</v>
      </c>
      <c r="G38" s="1055">
        <f ca="1"/>
        <v>0</v>
      </c>
      <c r="H38" s="1055">
        <f ca="1"/>
        <v>0</v>
      </c>
      <c r="I38" s="1055">
        <f ca="1"/>
        <v>0</v>
      </c>
      <c r="J38" s="1055">
        <f ca="1"/>
        <v>0</v>
      </c>
      <c r="K38" s="1055">
        <f ca="1"/>
        <v>0</v>
      </c>
      <c r="L38" s="1055">
        <f ca="1"/>
        <v>0</v>
      </c>
      <c r="M38" s="1055">
        <f ca="1"/>
        <v>0</v>
      </c>
      <c r="N38" s="2101">
        <f t="shared" ca="1" si="4"/>
        <v>0</v>
      </c>
      <c r="O38" s="550"/>
    </row>
    <row r="39" spans="1:19" ht="14.25">
      <c r="A39" s="2102" t="str">
        <v/>
      </c>
      <c r="B39" s="1055">
        <f ca="1"/>
        <v>0</v>
      </c>
      <c r="C39" s="1055">
        <f ca="1"/>
        <v>0</v>
      </c>
      <c r="D39" s="1055">
        <f ca="1"/>
        <v>0</v>
      </c>
      <c r="E39" s="1055">
        <f ca="1"/>
        <v>0</v>
      </c>
      <c r="F39" s="1055">
        <f ca="1"/>
        <v>0</v>
      </c>
      <c r="G39" s="1055">
        <f ca="1"/>
        <v>0</v>
      </c>
      <c r="H39" s="1055">
        <f ca="1"/>
        <v>0</v>
      </c>
      <c r="I39" s="1055">
        <f ca="1"/>
        <v>0</v>
      </c>
      <c r="J39" s="1055">
        <f ca="1"/>
        <v>0</v>
      </c>
      <c r="K39" s="1055">
        <f ca="1"/>
        <v>0</v>
      </c>
      <c r="L39" s="1055">
        <f ca="1"/>
        <v>0</v>
      </c>
      <c r="M39" s="1055">
        <f ca="1"/>
        <v>0</v>
      </c>
      <c r="N39" s="2101">
        <f t="shared" ca="1" si="4"/>
        <v>0</v>
      </c>
      <c r="O39" s="550"/>
    </row>
    <row r="40" spans="1:19" ht="14.25">
      <c r="A40" s="2102" t="str">
        <v/>
      </c>
      <c r="B40" s="1055">
        <f ca="1"/>
        <v>0</v>
      </c>
      <c r="C40" s="1055">
        <f ca="1"/>
        <v>0</v>
      </c>
      <c r="D40" s="1055">
        <f ca="1"/>
        <v>0</v>
      </c>
      <c r="E40" s="1055">
        <f ca="1"/>
        <v>0</v>
      </c>
      <c r="F40" s="1055">
        <f ca="1"/>
        <v>0</v>
      </c>
      <c r="G40" s="1055">
        <f ca="1"/>
        <v>0</v>
      </c>
      <c r="H40" s="1055">
        <f ca="1"/>
        <v>0</v>
      </c>
      <c r="I40" s="1055">
        <f ca="1"/>
        <v>0</v>
      </c>
      <c r="J40" s="1055">
        <f ca="1"/>
        <v>0</v>
      </c>
      <c r="K40" s="1055">
        <f ca="1"/>
        <v>0</v>
      </c>
      <c r="L40" s="1055">
        <f ca="1"/>
        <v>0</v>
      </c>
      <c r="M40" s="1055">
        <f ca="1"/>
        <v>0</v>
      </c>
      <c r="N40" s="2101">
        <f t="shared" ca="1" si="4"/>
        <v>0</v>
      </c>
      <c r="O40" s="550"/>
    </row>
    <row r="41" spans="1:19" ht="14.25">
      <c r="A41" s="2102" t="str">
        <v/>
      </c>
      <c r="B41" s="1055">
        <f ca="1"/>
        <v>0</v>
      </c>
      <c r="C41" s="1055">
        <f ca="1"/>
        <v>0</v>
      </c>
      <c r="D41" s="1055">
        <f ca="1"/>
        <v>0</v>
      </c>
      <c r="E41" s="1055">
        <f ca="1"/>
        <v>0</v>
      </c>
      <c r="F41" s="1055">
        <f ca="1"/>
        <v>0</v>
      </c>
      <c r="G41" s="1055">
        <f ca="1"/>
        <v>0</v>
      </c>
      <c r="H41" s="1055">
        <f ca="1"/>
        <v>0</v>
      </c>
      <c r="I41" s="1055">
        <f ca="1"/>
        <v>0</v>
      </c>
      <c r="J41" s="1055">
        <f ca="1"/>
        <v>0</v>
      </c>
      <c r="K41" s="1055">
        <f ca="1"/>
        <v>0</v>
      </c>
      <c r="L41" s="1055">
        <f ca="1"/>
        <v>0</v>
      </c>
      <c r="M41" s="1055">
        <f ca="1"/>
        <v>0</v>
      </c>
      <c r="N41" s="2101">
        <f t="shared" ca="1" si="4"/>
        <v>0</v>
      </c>
      <c r="O41" s="550"/>
    </row>
    <row r="42" spans="1:19" ht="15" thickBot="1">
      <c r="A42" s="2103" t="str">
        <v/>
      </c>
      <c r="B42" s="1056">
        <f ca="1"/>
        <v>0</v>
      </c>
      <c r="C42" s="1056">
        <f ca="1"/>
        <v>0</v>
      </c>
      <c r="D42" s="1056">
        <f ca="1"/>
        <v>0</v>
      </c>
      <c r="E42" s="1056">
        <f ca="1"/>
        <v>0</v>
      </c>
      <c r="F42" s="1056">
        <f ca="1"/>
        <v>0</v>
      </c>
      <c r="G42" s="1056">
        <f ca="1"/>
        <v>0</v>
      </c>
      <c r="H42" s="1056">
        <f ca="1"/>
        <v>0</v>
      </c>
      <c r="I42" s="1056">
        <f ca="1"/>
        <v>0</v>
      </c>
      <c r="J42" s="1056">
        <f ca="1"/>
        <v>0</v>
      </c>
      <c r="K42" s="1056">
        <f ca="1"/>
        <v>0</v>
      </c>
      <c r="L42" s="1056">
        <f ca="1"/>
        <v>0</v>
      </c>
      <c r="M42" s="1056">
        <f ca="1"/>
        <v>0</v>
      </c>
      <c r="N42" s="2101">
        <f t="shared" ca="1" si="4"/>
        <v>0</v>
      </c>
      <c r="O42" s="550"/>
    </row>
    <row r="43" spans="1:19" ht="15.75" thickBot="1">
      <c r="A43" s="167" t="s">
        <v>11</v>
      </c>
      <c r="B43" s="2718">
        <f t="shared" ref="B43:N43" ca="1" si="5">SUM(B35:B42)</f>
        <v>359.43292000000002</v>
      </c>
      <c r="C43" s="2718">
        <f t="shared" ca="1" si="5"/>
        <v>449.29115000000007</v>
      </c>
      <c r="D43" s="2718">
        <f t="shared" ca="1" si="5"/>
        <v>494.22026500000004</v>
      </c>
      <c r="E43" s="2718">
        <f t="shared" ca="1" si="5"/>
        <v>471.75570750000003</v>
      </c>
      <c r="F43" s="2718">
        <f t="shared" ca="1" si="5"/>
        <v>404.36203500000005</v>
      </c>
      <c r="G43" s="2718">
        <f t="shared" ca="1" si="5"/>
        <v>381.89747749999998</v>
      </c>
      <c r="H43" s="2718">
        <f t="shared" ca="1" si="5"/>
        <v>359.43292000000002</v>
      </c>
      <c r="I43" s="2718">
        <f t="shared" ca="1" si="5"/>
        <v>269.57469000000003</v>
      </c>
      <c r="J43" s="2718">
        <f t="shared" ca="1" si="5"/>
        <v>359.43292000000002</v>
      </c>
      <c r="K43" s="2718">
        <f t="shared" ca="1" si="5"/>
        <v>426.8265925</v>
      </c>
      <c r="L43" s="2718">
        <f t="shared" ca="1" si="5"/>
        <v>449.29115000000007</v>
      </c>
      <c r="M43" s="2718">
        <f t="shared" ca="1" si="5"/>
        <v>539.14938000000006</v>
      </c>
      <c r="N43" s="2718">
        <f t="shared" ca="1" si="5"/>
        <v>4964.6672075000006</v>
      </c>
      <c r="O43" s="550"/>
    </row>
    <row r="44" spans="1:19">
      <c r="C44" s="550"/>
      <c r="D44" s="550"/>
      <c r="E44" s="550"/>
      <c r="F44" s="550"/>
      <c r="G44" s="550"/>
      <c r="H44" s="550"/>
      <c r="I44" s="550"/>
      <c r="J44" s="550"/>
      <c r="K44" s="550"/>
      <c r="L44" s="550"/>
      <c r="M44" s="550"/>
      <c r="N44" s="550"/>
      <c r="O44" s="550"/>
      <c r="P44" s="550"/>
    </row>
    <row r="45" spans="1:19" s="326" customFormat="1" ht="22.5">
      <c r="A45" s="326" t="str">
        <f>'Cobros y pagos 0'!A45</f>
        <v>Pagos de compras y gastos variables (IVA incl.)</v>
      </c>
      <c r="B45" s="165"/>
      <c r="G45" s="165"/>
      <c r="H45" s="165"/>
    </row>
    <row r="46" spans="1:19" ht="15" thickBot="1">
      <c r="A46" s="550"/>
      <c r="B46" s="1054"/>
      <c r="C46" s="550"/>
      <c r="D46" s="550"/>
      <c r="E46" s="550"/>
      <c r="F46" s="550"/>
      <c r="G46" s="550"/>
      <c r="H46" s="550"/>
      <c r="I46" s="550"/>
      <c r="J46" s="550"/>
      <c r="K46" s="550"/>
      <c r="L46" s="550"/>
      <c r="M46" s="550"/>
      <c r="N46" s="550"/>
      <c r="O46" s="550"/>
      <c r="P46" s="1057" t="str">
        <f>'Cobros y pagos 0'!P46</f>
        <v>Pendiente para el año siguiente:</v>
      </c>
      <c r="Q46" s="1070" t="str">
        <f>Q18</f>
        <v>2030</v>
      </c>
    </row>
    <row r="47" spans="1:19" ht="27.75" customHeight="1" thickBot="1">
      <c r="A47" s="167" t="str">
        <f t="array" ref="A47:A54">'Cobros y pagos 0'!A47:A54</f>
        <v>Plazos de pago</v>
      </c>
      <c r="B47" s="2096" t="str">
        <f t="array" ref="B47:S47">B$19:S$19</f>
        <v>enero 
2029</v>
      </c>
      <c r="C47" s="2096" t="str">
        <v>febrero 
2029</v>
      </c>
      <c r="D47" s="2096" t="str">
        <v>marzo 
2029</v>
      </c>
      <c r="E47" s="2096" t="str">
        <v>abril 
2029</v>
      </c>
      <c r="F47" s="2096" t="str">
        <v>mayo 
2029</v>
      </c>
      <c r="G47" s="2096" t="str">
        <v>junio 
2029</v>
      </c>
      <c r="H47" s="2096" t="str">
        <v>julio 
2029</v>
      </c>
      <c r="I47" s="2096" t="str">
        <v>agosto 
2029</v>
      </c>
      <c r="J47" s="2096" t="str">
        <v>septiembre 
2029</v>
      </c>
      <c r="K47" s="2096" t="str">
        <v>octubre 
2029</v>
      </c>
      <c r="L47" s="2096" t="str">
        <v>noviembre 
2029</v>
      </c>
      <c r="M47" s="2096" t="str">
        <v>diciembre 
2029</v>
      </c>
      <c r="N47" s="2096" t="str">
        <v>enero 
2030</v>
      </c>
      <c r="O47" s="2096" t="str">
        <v>febrero 
2030</v>
      </c>
      <c r="P47" s="2096" t="str">
        <v>marzo 
2030</v>
      </c>
      <c r="Q47" s="2096" t="str">
        <v>abril 
2030</v>
      </c>
      <c r="R47" s="2096" t="str">
        <v>mayo 
2030</v>
      </c>
      <c r="S47" s="2096" t="str">
        <v>junio 
2030</v>
      </c>
    </row>
    <row r="48" spans="1:19" ht="14.25">
      <c r="A48" s="2097" t="str">
        <v>Contado</v>
      </c>
      <c r="B48" s="1055">
        <f t="array" aca="1" ref="B48" ca="1">SUM('Politicas Cobros y Pagos'!$B$88:$B$95*B$35:B$42)</f>
        <v>359.43292000000002</v>
      </c>
      <c r="C48" s="1055">
        <f t="array" aca="1" ref="C48" ca="1">SUM('Politicas Cobros y Pagos'!$B$88:$B$95*C$35:C$42)</f>
        <v>449.29115000000007</v>
      </c>
      <c r="D48" s="1055">
        <f t="array" aca="1" ref="D48" ca="1">SUM('Politicas Cobros y Pagos'!$B$88:$B$95*D$35:D$42)</f>
        <v>494.22026500000004</v>
      </c>
      <c r="E48" s="1055">
        <f t="array" aca="1" ref="E48" ca="1">SUM('Politicas Cobros y Pagos'!$B$88:$B$95*E$35:E$42)</f>
        <v>471.75570750000003</v>
      </c>
      <c r="F48" s="1055">
        <f t="array" aca="1" ref="F48" ca="1">SUM('Politicas Cobros y Pagos'!$B$88:$B$95*F$35:F$42)</f>
        <v>404.36203500000005</v>
      </c>
      <c r="G48" s="1055">
        <f t="array" aca="1" ref="G48" ca="1">SUM('Politicas Cobros y Pagos'!$B$88:$B$95*G$35:G$42)</f>
        <v>381.89747749999998</v>
      </c>
      <c r="H48" s="1055">
        <f t="array" aca="1" ref="H48" ca="1">SUM('Politicas Cobros y Pagos'!$B$88:$B$95*H$35:H$42)</f>
        <v>359.43292000000002</v>
      </c>
      <c r="I48" s="1055">
        <f t="array" aca="1" ref="I48" ca="1">SUM('Politicas Cobros y Pagos'!$B$88:$B$95*I$35:I$42)</f>
        <v>269.57469000000003</v>
      </c>
      <c r="J48" s="1055">
        <f t="array" aca="1" ref="J48" ca="1">SUM('Politicas Cobros y Pagos'!$B$88:$B$95*J$35:J$42)</f>
        <v>359.43292000000002</v>
      </c>
      <c r="K48" s="1055">
        <f t="array" aca="1" ref="K48" ca="1">SUM('Politicas Cobros y Pagos'!$B$88:$B$95*K$35:K$42)</f>
        <v>426.8265925</v>
      </c>
      <c r="L48" s="1055">
        <f t="array" aca="1" ref="L48" ca="1">SUM('Politicas Cobros y Pagos'!$B$88:$B$95*L$35:L$42)</f>
        <v>449.29115000000007</v>
      </c>
      <c r="M48" s="1055">
        <f t="array" aca="1" ref="M48" ca="1">SUM('Politicas Cobros y Pagos'!$B$88:$B$95*M$35:M$42)</f>
        <v>539.14938000000006</v>
      </c>
      <c r="N48" s="1055"/>
      <c r="O48" s="1055"/>
      <c r="P48" s="1055"/>
      <c r="Q48" s="1055"/>
      <c r="R48" s="1055"/>
      <c r="S48" s="1055"/>
    </row>
    <row r="49" spans="1:19" ht="14.25">
      <c r="A49" s="2098">
        <v>30</v>
      </c>
      <c r="B49" s="1067">
        <f t="array" aca="1" ref="B49:B54" ca="1">'Cobros y pagos 2'!N49:N54</f>
        <v>0</v>
      </c>
      <c r="C49" s="1055">
        <f t="array" aca="1" ref="C49" ca="1">SUM('Politicas Cobros y Pagos'!$C$88:$C$95*B$35:B$42)</f>
        <v>0</v>
      </c>
      <c r="D49" s="1055">
        <f t="array" aca="1" ref="D49" ca="1">SUM('Politicas Cobros y Pagos'!$C$88:$C$95*C$35:C$42)</f>
        <v>0</v>
      </c>
      <c r="E49" s="1055">
        <f t="array" aca="1" ref="E49" ca="1">SUM('Politicas Cobros y Pagos'!$C$88:$C$95*D$35:D$42)</f>
        <v>0</v>
      </c>
      <c r="F49" s="1055">
        <f t="array" aca="1" ref="F49" ca="1">SUM('Politicas Cobros y Pagos'!$C$88:$C$95*E$35:E$42)</f>
        <v>0</v>
      </c>
      <c r="G49" s="1055">
        <f t="array" aca="1" ref="G49" ca="1">SUM('Politicas Cobros y Pagos'!$C$88:$C$95*F$35:F$42)</f>
        <v>0</v>
      </c>
      <c r="H49" s="1055">
        <f t="array" aca="1" ref="H49" ca="1">SUM('Politicas Cobros y Pagos'!$C$88:$C$95*G$35:G$42)</f>
        <v>0</v>
      </c>
      <c r="I49" s="1055">
        <f t="array" aca="1" ref="I49" ca="1">SUM('Politicas Cobros y Pagos'!$C$88:$C$95*H$35:H$42)</f>
        <v>0</v>
      </c>
      <c r="J49" s="1055">
        <f t="array" aca="1" ref="J49" ca="1">SUM('Politicas Cobros y Pagos'!$C$88:$C$95*I$35:I$42)</f>
        <v>0</v>
      </c>
      <c r="K49" s="1055">
        <f t="array" aca="1" ref="K49" ca="1">SUM('Politicas Cobros y Pagos'!$C$88:$C$95*J$35:J$42)</f>
        <v>0</v>
      </c>
      <c r="L49" s="1055">
        <f t="array" aca="1" ref="L49" ca="1">SUM('Politicas Cobros y Pagos'!$C$88:$C$95*K$35:K$42)</f>
        <v>0</v>
      </c>
      <c r="M49" s="1055">
        <f t="array" aca="1" ref="M49" ca="1">SUM('Politicas Cobros y Pagos'!$C$88:$C$95*L$35:L$42)</f>
        <v>0</v>
      </c>
      <c r="N49" s="1055">
        <f t="array" aca="1" ref="N49" ca="1">SUM('Politicas Cobros y Pagos'!$C$88:$C$95*M$35:M$42)</f>
        <v>0</v>
      </c>
      <c r="O49" s="1055"/>
      <c r="P49" s="1055"/>
      <c r="Q49" s="1055"/>
      <c r="R49" s="1055"/>
      <c r="S49" s="1055"/>
    </row>
    <row r="50" spans="1:19" ht="14.25">
      <c r="A50" s="2098">
        <v>60</v>
      </c>
      <c r="B50" s="1067">
        <f ca="1"/>
        <v>0</v>
      </c>
      <c r="C50" s="1067">
        <f t="array" aca="1" ref="C50:C54" ca="1">'Cobros y pagos 2'!O50:O54</f>
        <v>0</v>
      </c>
      <c r="D50" s="1055">
        <f t="array" aca="1" ref="D50" ca="1">SUM('Politicas Cobros y Pagos'!$D$88:$D$95*B$35:B$42)</f>
        <v>0</v>
      </c>
      <c r="E50" s="1055">
        <f t="array" aca="1" ref="E50" ca="1">SUM('Politicas Cobros y Pagos'!$D$88:$D$95*C$35:C$42)</f>
        <v>0</v>
      </c>
      <c r="F50" s="1055">
        <f t="array" aca="1" ref="F50" ca="1">SUM('Politicas Cobros y Pagos'!$D$88:$D$95*D$35:D$42)</f>
        <v>0</v>
      </c>
      <c r="G50" s="1055">
        <f t="array" aca="1" ref="G50" ca="1">SUM('Politicas Cobros y Pagos'!$D$88:$D$95*E$35:E$42)</f>
        <v>0</v>
      </c>
      <c r="H50" s="1055">
        <f t="array" aca="1" ref="H50" ca="1">SUM('Politicas Cobros y Pagos'!$D$88:$D$95*F$35:F$42)</f>
        <v>0</v>
      </c>
      <c r="I50" s="1055">
        <f t="array" aca="1" ref="I50" ca="1">SUM('Politicas Cobros y Pagos'!$D$88:$D$95*G$35:G$42)</f>
        <v>0</v>
      </c>
      <c r="J50" s="1055">
        <f t="array" aca="1" ref="J50" ca="1">SUM('Politicas Cobros y Pagos'!$D$88:$D$95*H$35:H$42)</f>
        <v>0</v>
      </c>
      <c r="K50" s="1055">
        <f t="array" aca="1" ref="K50" ca="1">SUM('Politicas Cobros y Pagos'!$D$88:$D$95*I$35:I$42)</f>
        <v>0</v>
      </c>
      <c r="L50" s="1055">
        <f t="array" aca="1" ref="L50" ca="1">SUM('Politicas Cobros y Pagos'!$D$88:$D$95*J$35:J$42)</f>
        <v>0</v>
      </c>
      <c r="M50" s="1055">
        <f t="array" aca="1" ref="M50" ca="1">SUM('Politicas Cobros y Pagos'!$D$88:$D$95*K$35:K$42)</f>
        <v>0</v>
      </c>
      <c r="N50" s="1055">
        <f t="array" aca="1" ref="N50" ca="1">SUM('Politicas Cobros y Pagos'!$D$88:$D$95*L$35:L$42)</f>
        <v>0</v>
      </c>
      <c r="O50" s="1055">
        <f t="array" aca="1" ref="O50" ca="1">SUM('Politicas Cobros y Pagos'!$D$88:$D$95*M$35:M$42)</f>
        <v>0</v>
      </c>
      <c r="P50" s="1055"/>
      <c r="Q50" s="1055"/>
      <c r="R50" s="1055"/>
      <c r="S50" s="1055"/>
    </row>
    <row r="51" spans="1:19" ht="14.25">
      <c r="A51" s="2098">
        <v>90</v>
      </c>
      <c r="B51" s="1067">
        <f ca="1"/>
        <v>0</v>
      </c>
      <c r="C51" s="1067">
        <f ca="1"/>
        <v>0</v>
      </c>
      <c r="D51" s="1067">
        <f t="array" aca="1" ref="D51:D54" ca="1">'Cobros y pagos 2'!P51:P54</f>
        <v>0</v>
      </c>
      <c r="E51" s="1055">
        <f t="array" aca="1" ref="E51" ca="1">SUM('Politicas Cobros y Pagos'!$E$88:$E$95*B$35:B$42)</f>
        <v>0</v>
      </c>
      <c r="F51" s="1055">
        <f t="array" aca="1" ref="F51" ca="1">SUM('Politicas Cobros y Pagos'!$E$88:$E$95*C$35:C$42)</f>
        <v>0</v>
      </c>
      <c r="G51" s="1055">
        <f t="array" aca="1" ref="G51" ca="1">SUM('Politicas Cobros y Pagos'!$E$88:$E$95*D$35:D$42)</f>
        <v>0</v>
      </c>
      <c r="H51" s="1055">
        <f t="array" aca="1" ref="H51" ca="1">SUM('Politicas Cobros y Pagos'!$E$88:$E$95*E$35:E$42)</f>
        <v>0</v>
      </c>
      <c r="I51" s="1055">
        <f t="array" aca="1" ref="I51" ca="1">SUM('Politicas Cobros y Pagos'!$E$88:$E$95*F$35:F$42)</f>
        <v>0</v>
      </c>
      <c r="J51" s="1055">
        <f t="array" aca="1" ref="J51" ca="1">SUM('Politicas Cobros y Pagos'!$E$88:$E$95*G$35:G$42)</f>
        <v>0</v>
      </c>
      <c r="K51" s="1055">
        <f t="array" aca="1" ref="K51" ca="1">SUM('Politicas Cobros y Pagos'!$E$88:$E$95*H$35:H$42)</f>
        <v>0</v>
      </c>
      <c r="L51" s="1055">
        <f t="array" aca="1" ref="L51" ca="1">SUM('Politicas Cobros y Pagos'!$E$88:$E$95*I$35:I$42)</f>
        <v>0</v>
      </c>
      <c r="M51" s="1055">
        <f t="array" aca="1" ref="M51" ca="1">SUM('Politicas Cobros y Pagos'!$E$88:$E$95*J$35:J$42)</f>
        <v>0</v>
      </c>
      <c r="N51" s="1055">
        <f t="array" aca="1" ref="N51" ca="1">SUM('Politicas Cobros y Pagos'!$E$88:$E$95*K$35:K$42)</f>
        <v>0</v>
      </c>
      <c r="O51" s="1055">
        <f t="array" aca="1" ref="O51" ca="1">SUM('Politicas Cobros y Pagos'!$E$88:$E$95*L$35:L$42)</f>
        <v>0</v>
      </c>
      <c r="P51" s="1055">
        <f t="array" aca="1" ref="P51" ca="1">SUM('Politicas Cobros y Pagos'!$E$88:$E$95*M$35:M$42)</f>
        <v>0</v>
      </c>
      <c r="Q51" s="1055"/>
      <c r="R51" s="1055"/>
      <c r="S51" s="1055"/>
    </row>
    <row r="52" spans="1:19" ht="14.25">
      <c r="A52" s="2098">
        <v>120</v>
      </c>
      <c r="B52" s="1067">
        <f ca="1"/>
        <v>0</v>
      </c>
      <c r="C52" s="1067">
        <f ca="1"/>
        <v>0</v>
      </c>
      <c r="D52" s="1067">
        <f ca="1"/>
        <v>0</v>
      </c>
      <c r="E52" s="1067">
        <f t="array" aca="1" ref="E52:E54" ca="1">'Cobros y pagos 2'!Q52:Q54</f>
        <v>0</v>
      </c>
      <c r="F52" s="1055">
        <f t="array" aca="1" ref="F52" ca="1">SUM('Politicas Cobros y Pagos'!$F$88:$F$95*B$35:B$42)</f>
        <v>0</v>
      </c>
      <c r="G52" s="1055">
        <f t="array" aca="1" ref="G52" ca="1">SUM('Politicas Cobros y Pagos'!$F$88:$F$95*C$35:C$42)</f>
        <v>0</v>
      </c>
      <c r="H52" s="1055">
        <f t="array" aca="1" ref="H52" ca="1">SUM('Politicas Cobros y Pagos'!$F$88:$F$95*D$35:D$42)</f>
        <v>0</v>
      </c>
      <c r="I52" s="1055">
        <f t="array" aca="1" ref="I52" ca="1">SUM('Politicas Cobros y Pagos'!$F$88:$F$95*E$35:E$42)</f>
        <v>0</v>
      </c>
      <c r="J52" s="1055">
        <f t="array" aca="1" ref="J52" ca="1">SUM('Politicas Cobros y Pagos'!$F$88:$F$95*F$35:F$42)</f>
        <v>0</v>
      </c>
      <c r="K52" s="1055">
        <f t="array" aca="1" ref="K52" ca="1">SUM('Politicas Cobros y Pagos'!$F$88:$F$95*G$35:G$42)</f>
        <v>0</v>
      </c>
      <c r="L52" s="1055">
        <f t="array" aca="1" ref="L52" ca="1">SUM('Politicas Cobros y Pagos'!$F$88:$F$95*H$35:H$42)</f>
        <v>0</v>
      </c>
      <c r="M52" s="1055">
        <f t="array" aca="1" ref="M52" ca="1">SUM('Politicas Cobros y Pagos'!$F$88:$F$95*I$35:I$42)</f>
        <v>0</v>
      </c>
      <c r="N52" s="1055">
        <f t="array" aca="1" ref="N52" ca="1">SUM('Politicas Cobros y Pagos'!$F$88:$F$95*J$35:J$42)</f>
        <v>0</v>
      </c>
      <c r="O52" s="1055">
        <f t="array" aca="1" ref="O52" ca="1">SUM('Politicas Cobros y Pagos'!$F$88:$F$95*K$35:K$42)</f>
        <v>0</v>
      </c>
      <c r="P52" s="1055">
        <f t="array" aca="1" ref="P52" ca="1">SUM('Politicas Cobros y Pagos'!$F$88:$F$95*L$35:L$42)</f>
        <v>0</v>
      </c>
      <c r="Q52" s="1055">
        <f t="array" aca="1" ref="Q52" ca="1">SUM('Politicas Cobros y Pagos'!$F$88:$F$95*M$35:M$42)</f>
        <v>0</v>
      </c>
      <c r="R52" s="1055"/>
      <c r="S52" s="1055"/>
    </row>
    <row r="53" spans="1:19" ht="14.25">
      <c r="A53" s="2098">
        <v>150</v>
      </c>
      <c r="B53" s="1067">
        <f ca="1"/>
        <v>0</v>
      </c>
      <c r="C53" s="1067">
        <f ca="1"/>
        <v>0</v>
      </c>
      <c r="D53" s="1067">
        <f ca="1"/>
        <v>0</v>
      </c>
      <c r="E53" s="1067">
        <f ca="1"/>
        <v>0</v>
      </c>
      <c r="F53" s="1067">
        <f t="array" aca="1" ref="F53:F54" ca="1">'Cobros y pagos 2'!R53:R54</f>
        <v>0</v>
      </c>
      <c r="G53" s="1055">
        <f t="array" aca="1" ref="G53" ca="1">SUM('Politicas Cobros y Pagos'!$G$88:$G$95*B$35:B$42)</f>
        <v>0</v>
      </c>
      <c r="H53" s="1055">
        <f t="array" aca="1" ref="H53" ca="1">SUM('Politicas Cobros y Pagos'!$G$88:$G$95*C$35:C$42)</f>
        <v>0</v>
      </c>
      <c r="I53" s="1055">
        <f t="array" aca="1" ref="I53" ca="1">SUM('Politicas Cobros y Pagos'!$G$88:$G$95*D$35:D$42)</f>
        <v>0</v>
      </c>
      <c r="J53" s="1055">
        <f t="array" aca="1" ref="J53" ca="1">SUM('Politicas Cobros y Pagos'!$G$88:$G$95*E$35:E$42)</f>
        <v>0</v>
      </c>
      <c r="K53" s="1055">
        <f t="array" aca="1" ref="K53" ca="1">SUM('Politicas Cobros y Pagos'!$G$88:$G$95*F$35:F$42)</f>
        <v>0</v>
      </c>
      <c r="L53" s="1055">
        <f t="array" aca="1" ref="L53" ca="1">SUM('Politicas Cobros y Pagos'!$G$88:$G$95*G$35:G$42)</f>
        <v>0</v>
      </c>
      <c r="M53" s="1055">
        <f t="array" aca="1" ref="M53" ca="1">SUM('Politicas Cobros y Pagos'!$G$88:$G$95*H$35:H$42)</f>
        <v>0</v>
      </c>
      <c r="N53" s="1055">
        <f t="array" aca="1" ref="N53" ca="1">SUM('Politicas Cobros y Pagos'!$G$88:$G$95*I$35:I$42)</f>
        <v>0</v>
      </c>
      <c r="O53" s="1055">
        <f t="array" aca="1" ref="O53" ca="1">SUM('Politicas Cobros y Pagos'!$G$88:$G$95*J$35:J$42)</f>
        <v>0</v>
      </c>
      <c r="P53" s="1055">
        <f t="array" aca="1" ref="P53" ca="1">SUM('Politicas Cobros y Pagos'!$G$88:$G$95*K$35:K$42)</f>
        <v>0</v>
      </c>
      <c r="Q53" s="1055">
        <f t="array" aca="1" ref="Q53" ca="1">SUM('Politicas Cobros y Pagos'!$G$88:$G$95*L$35:L$42)</f>
        <v>0</v>
      </c>
      <c r="R53" s="1055">
        <f t="array" aca="1" ref="R53" ca="1">SUM('Politicas Cobros y Pagos'!$G$88:$G$95*M$35:M$42)</f>
        <v>0</v>
      </c>
      <c r="S53" s="1055"/>
    </row>
    <row r="54" spans="1:19" ht="14.25">
      <c r="A54" s="2098">
        <v>180</v>
      </c>
      <c r="B54" s="1067">
        <f ca="1"/>
        <v>0</v>
      </c>
      <c r="C54" s="1067">
        <f ca="1"/>
        <v>0</v>
      </c>
      <c r="D54" s="1067">
        <f ca="1"/>
        <v>0</v>
      </c>
      <c r="E54" s="1067">
        <f ca="1"/>
        <v>0</v>
      </c>
      <c r="F54" s="1067">
        <f ca="1"/>
        <v>0</v>
      </c>
      <c r="G54" s="1067">
        <f ca="1">'Cobros y pagos 2'!S54</f>
        <v>0</v>
      </c>
      <c r="H54" s="1055">
        <f t="array" aca="1" ref="H54" ca="1">SUM('Politicas Cobros y Pagos'!$H$88:$H$95*B$35:B$42)</f>
        <v>0</v>
      </c>
      <c r="I54" s="1055">
        <f t="array" aca="1" ref="I54" ca="1">SUM('Politicas Cobros y Pagos'!$H$88:$H$95*C$35:C$42)</f>
        <v>0</v>
      </c>
      <c r="J54" s="1055">
        <f t="array" aca="1" ref="J54" ca="1">SUM('Politicas Cobros y Pagos'!$H$88:$H$95*D$35:D$42)</f>
        <v>0</v>
      </c>
      <c r="K54" s="1055">
        <f t="array" aca="1" ref="K54" ca="1">SUM('Politicas Cobros y Pagos'!$H$88:$H$95*E$35:E$42)</f>
        <v>0</v>
      </c>
      <c r="L54" s="1055">
        <f t="array" aca="1" ref="L54" ca="1">SUM('Politicas Cobros y Pagos'!$H$88:$H$95*F$35:F$42)</f>
        <v>0</v>
      </c>
      <c r="M54" s="1055">
        <f t="array" aca="1" ref="M54" ca="1">SUM('Politicas Cobros y Pagos'!$H$88:$H$95*G$35:G$42)</f>
        <v>0</v>
      </c>
      <c r="N54" s="1055">
        <f t="array" aca="1" ref="N54" ca="1">SUM('Politicas Cobros y Pagos'!$H$88:$H$95*H$35:H$42)</f>
        <v>0</v>
      </c>
      <c r="O54" s="1055">
        <f t="array" aca="1" ref="O54" ca="1">SUM('Politicas Cobros y Pagos'!$H$88:$H$95*I$35:I$42)</f>
        <v>0</v>
      </c>
      <c r="P54" s="1055">
        <f t="array" aca="1" ref="P54" ca="1">SUM('Politicas Cobros y Pagos'!$H$88:$H$95*J$35:J$42)</f>
        <v>0</v>
      </c>
      <c r="Q54" s="1055">
        <f t="array" aca="1" ref="Q54" ca="1">SUM('Politicas Cobros y Pagos'!$H$88:$H$95*K$35:K$42)</f>
        <v>0</v>
      </c>
      <c r="R54" s="1055">
        <f t="array" aca="1" ref="R54" ca="1">SUM('Politicas Cobros y Pagos'!$H$88:$H$95*L$35:L$42)</f>
        <v>0</v>
      </c>
      <c r="S54" s="1055">
        <f t="array" aca="1" ref="S54" ca="1">SUM('Politicas Cobros y Pagos'!$H$88:$H$95*M$35:M$42)</f>
        <v>0</v>
      </c>
    </row>
    <row r="55" spans="1:19" ht="15" thickBot="1">
      <c r="A55" s="2806" t="s">
        <v>11</v>
      </c>
      <c r="B55" s="2719">
        <f t="shared" ref="B55:S55" ca="1" si="6">SUM(B48:B54)</f>
        <v>359.43292000000002</v>
      </c>
      <c r="C55" s="2719">
        <f t="shared" ca="1" si="6"/>
        <v>449.29115000000007</v>
      </c>
      <c r="D55" s="2719">
        <f t="shared" ca="1" si="6"/>
        <v>494.22026500000004</v>
      </c>
      <c r="E55" s="2719">
        <f t="shared" ca="1" si="6"/>
        <v>471.75570750000003</v>
      </c>
      <c r="F55" s="2719">
        <f t="shared" ca="1" si="6"/>
        <v>404.36203500000005</v>
      </c>
      <c r="G55" s="2719">
        <f t="shared" ca="1" si="6"/>
        <v>381.89747749999998</v>
      </c>
      <c r="H55" s="2719">
        <f t="shared" ca="1" si="6"/>
        <v>359.43292000000002</v>
      </c>
      <c r="I55" s="2719">
        <f t="shared" ca="1" si="6"/>
        <v>269.57469000000003</v>
      </c>
      <c r="J55" s="2719">
        <f t="shared" ca="1" si="6"/>
        <v>359.43292000000002</v>
      </c>
      <c r="K55" s="2719">
        <f t="shared" ca="1" si="6"/>
        <v>426.8265925</v>
      </c>
      <c r="L55" s="2719">
        <f t="shared" ca="1" si="6"/>
        <v>449.29115000000007</v>
      </c>
      <c r="M55" s="2719">
        <f t="shared" ca="1" si="6"/>
        <v>539.14938000000006</v>
      </c>
      <c r="N55" s="2719">
        <f t="shared" ca="1" si="6"/>
        <v>0</v>
      </c>
      <c r="O55" s="2719">
        <f t="shared" ca="1" si="6"/>
        <v>0</v>
      </c>
      <c r="P55" s="2719">
        <f t="shared" ca="1" si="6"/>
        <v>0</v>
      </c>
      <c r="Q55" s="2719">
        <f t="shared" ca="1" si="6"/>
        <v>0</v>
      </c>
      <c r="R55" s="2719">
        <f t="shared" ca="1" si="6"/>
        <v>0</v>
      </c>
      <c r="S55" s="2719">
        <f t="shared" ca="1" si="6"/>
        <v>0</v>
      </c>
    </row>
    <row r="56" spans="1:19" ht="13.5" thickBot="1">
      <c r="A56" s="550"/>
      <c r="B56" s="1054"/>
      <c r="C56" s="543"/>
      <c r="D56" s="543"/>
      <c r="E56" s="543"/>
      <c r="F56" s="543"/>
      <c r="G56" s="543"/>
      <c r="H56" s="543"/>
      <c r="I56" s="543"/>
      <c r="J56" s="543"/>
      <c r="K56" s="543"/>
      <c r="L56" s="543"/>
      <c r="M56" s="543"/>
      <c r="N56" s="543"/>
      <c r="O56" s="550"/>
      <c r="P56" s="543"/>
    </row>
    <row r="57" spans="1:19" ht="13.5" thickBot="1">
      <c r="N57" s="1068"/>
      <c r="O57" s="1069"/>
      <c r="P57" s="1069"/>
      <c r="Q57" s="1069"/>
      <c r="R57" s="1078" t="str">
        <f>CONCATENATE("Pagos de compras y CV pendintes para el año ",Q46," (sin ",'Datos Básicos'!A28,")")</f>
        <v>Pagos de compras y CV pendintes para el año 2030 (sin IVA)</v>
      </c>
      <c r="S57" s="1079">
        <f ca="1">SUM(N55:S55)</f>
        <v>0</v>
      </c>
    </row>
  </sheetData>
  <sheetProtection sheet="1" objects="1" scenarios="1"/>
  <phoneticPr fontId="6" type="noConversion"/>
  <printOptions horizontalCentered="1" verticalCentered="1"/>
  <pageMargins left="0.39370078740157483" right="0.39370078740157483" top="0.31" bottom="0.3" header="0.31496062992125984" footer="0.31496062992125984"/>
  <pageSetup paperSize="9" scale="60" orientation="landscape" horizontalDpi="300" verticalDpi="300" r:id="rId1"/>
  <headerFooter alignWithMargins="0">
    <oddFooter>&amp;C&amp;"Tahoma,Normal"&amp;10&amp;A</oddFooter>
  </headerFooter>
  <rowBreaks count="1" manualBreakCount="1">
    <brk id="16" max="14"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52">
    <tabColor indexed="61"/>
    <pageSetUpPr fitToPage="1"/>
  </sheetPr>
  <dimension ref="A1:S57"/>
  <sheetViews>
    <sheetView workbookViewId="0"/>
  </sheetViews>
  <sheetFormatPr baseColWidth="10" defaultColWidth="11" defaultRowHeight="12.75"/>
  <cols>
    <col min="1" max="1" width="24.75" style="279" customWidth="1"/>
    <col min="2" max="2" width="9.75" style="281" customWidth="1"/>
    <col min="3" max="4" width="10" style="87" customWidth="1"/>
    <col min="5" max="5" width="11.375" style="87" customWidth="1"/>
    <col min="6" max="14" width="10" style="87" customWidth="1"/>
    <col min="15" max="15" width="9.5" style="279" customWidth="1"/>
    <col min="16" max="16384" width="11" style="87"/>
  </cols>
  <sheetData>
    <row r="1" spans="1:15" ht="25.5">
      <c r="A1" s="956" t="str">
        <f>'Cobros y pagos 0'!A1</f>
        <v>Cobros y de Pagos de la Empresa</v>
      </c>
      <c r="B1" s="1071"/>
      <c r="E1" s="2711" t="str">
        <f>Parametros!F$77</f>
        <v>Año 4:  2030</v>
      </c>
      <c r="F1" s="296"/>
      <c r="M1" s="1072"/>
      <c r="O1" s="87"/>
    </row>
    <row r="2" spans="1:15" s="543" customFormat="1" ht="25.5">
      <c r="A2" s="164" t="str">
        <f>'Datos Básicos'!B9</f>
        <v>nombre empresa</v>
      </c>
      <c r="B2" s="1071"/>
      <c r="D2" s="1073"/>
      <c r="E2" s="161"/>
    </row>
    <row r="3" spans="1:15" ht="21" customHeight="1">
      <c r="A3" s="87"/>
      <c r="B3" s="1058"/>
      <c r="O3" s="87"/>
    </row>
    <row r="4" spans="1:15" ht="25.5">
      <c r="A4" s="164" t="str">
        <f>'Cobros y pagos 0'!A4</f>
        <v>Ventas (IVA incl.)</v>
      </c>
      <c r="B4" s="1058"/>
      <c r="E4" s="165"/>
      <c r="F4" s="165"/>
      <c r="O4" s="87"/>
    </row>
    <row r="5" spans="1:15" ht="5.25" customHeight="1" thickBot="1"/>
    <row r="6" spans="1:15" s="1054" customFormat="1" ht="16.149999999999999" customHeight="1" thickBot="1">
      <c r="A6" s="167" t="str">
        <f>'Cobros y pagos 0'!A6</f>
        <v>Ventas del periodo</v>
      </c>
      <c r="B6" s="2714" t="str">
        <f t="array" ref="B6:M6">meses</f>
        <v>enero</v>
      </c>
      <c r="C6" s="2715" t="str">
        <v>febrero</v>
      </c>
      <c r="D6" s="2715" t="str">
        <v>marzo</v>
      </c>
      <c r="E6" s="2715" t="str">
        <v>abril</v>
      </c>
      <c r="F6" s="2715" t="str">
        <v>mayo</v>
      </c>
      <c r="G6" s="2715" t="str">
        <v>junio</v>
      </c>
      <c r="H6" s="2715" t="str">
        <v>julio</v>
      </c>
      <c r="I6" s="2715" t="str">
        <v>agosto</v>
      </c>
      <c r="J6" s="2715" t="str">
        <v>septiembre</v>
      </c>
      <c r="K6" s="2715" t="str">
        <v>octubre</v>
      </c>
      <c r="L6" s="2715" t="str">
        <v>noviembre</v>
      </c>
      <c r="M6" s="2715" t="str">
        <v>diciembre</v>
      </c>
      <c r="N6" s="2715" t="s">
        <v>11</v>
      </c>
    </row>
    <row r="7" spans="1:15" s="550" customFormat="1" ht="16.149999999999999" customHeight="1">
      <c r="A7" s="2100" t="str">
        <f t="array" ref="A7:A14">productos</f>
        <v>producto o servicio</v>
      </c>
      <c r="B7" s="1055">
        <f t="array" aca="1" ref="B7:M14" ca="1">'Prev.Ventas 4'!B17:M24*(  1+Parametros!$E24:$E31-ret_irpf   )</f>
        <v>3702.1590759999999</v>
      </c>
      <c r="C7" s="1055">
        <f ca="1"/>
        <v>4627.6988450000008</v>
      </c>
      <c r="D7" s="1055">
        <f ca="1"/>
        <v>5090.4687295000003</v>
      </c>
      <c r="E7" s="1055">
        <f ca="1"/>
        <v>4859.0837872499997</v>
      </c>
      <c r="F7" s="1055">
        <f ca="1"/>
        <v>4164.9289605000004</v>
      </c>
      <c r="G7" s="1055">
        <f ca="1"/>
        <v>3933.5440182500001</v>
      </c>
      <c r="H7" s="1055">
        <f ca="1"/>
        <v>3702.1590759999999</v>
      </c>
      <c r="I7" s="1055">
        <f ca="1"/>
        <v>2776.6193069999999</v>
      </c>
      <c r="J7" s="1055">
        <f ca="1"/>
        <v>3702.1590759999999</v>
      </c>
      <c r="K7" s="1055">
        <f ca="1"/>
        <v>4396.3139027500001</v>
      </c>
      <c r="L7" s="1055">
        <f ca="1"/>
        <v>4627.6988450000008</v>
      </c>
      <c r="M7" s="1055">
        <f ca="1"/>
        <v>5553.2386139999999</v>
      </c>
      <c r="N7" s="2101">
        <f t="shared" ref="N7:N14" ca="1" si="0">SUM(B7:M7)</f>
        <v>51136.072237249995</v>
      </c>
    </row>
    <row r="8" spans="1:15" s="550" customFormat="1" ht="16.149999999999999" customHeight="1">
      <c r="A8" s="2102" t="str">
        <v/>
      </c>
      <c r="B8" s="1055">
        <f ca="1"/>
        <v>0</v>
      </c>
      <c r="C8" s="1055">
        <f ca="1"/>
        <v>0</v>
      </c>
      <c r="D8" s="1055">
        <f ca="1"/>
        <v>0</v>
      </c>
      <c r="E8" s="1055">
        <f ca="1"/>
        <v>0</v>
      </c>
      <c r="F8" s="1055">
        <f ca="1"/>
        <v>0</v>
      </c>
      <c r="G8" s="1055">
        <f ca="1"/>
        <v>0</v>
      </c>
      <c r="H8" s="1055">
        <f ca="1"/>
        <v>0</v>
      </c>
      <c r="I8" s="1055">
        <f ca="1"/>
        <v>0</v>
      </c>
      <c r="J8" s="1055">
        <f ca="1"/>
        <v>0</v>
      </c>
      <c r="K8" s="1055">
        <f ca="1"/>
        <v>0</v>
      </c>
      <c r="L8" s="1055">
        <f ca="1"/>
        <v>0</v>
      </c>
      <c r="M8" s="1055">
        <f ca="1"/>
        <v>0</v>
      </c>
      <c r="N8" s="2101">
        <f t="shared" ca="1" si="0"/>
        <v>0</v>
      </c>
    </row>
    <row r="9" spans="1:15" s="550" customFormat="1" ht="16.149999999999999" customHeight="1">
      <c r="A9" s="2102" t="str">
        <v/>
      </c>
      <c r="B9" s="1055">
        <f ca="1"/>
        <v>0</v>
      </c>
      <c r="C9" s="1055">
        <f ca="1"/>
        <v>0</v>
      </c>
      <c r="D9" s="1055">
        <f ca="1"/>
        <v>0</v>
      </c>
      <c r="E9" s="1055">
        <f ca="1"/>
        <v>0</v>
      </c>
      <c r="F9" s="1055">
        <f ca="1"/>
        <v>0</v>
      </c>
      <c r="G9" s="1055">
        <f ca="1"/>
        <v>0</v>
      </c>
      <c r="H9" s="1055">
        <f ca="1"/>
        <v>0</v>
      </c>
      <c r="I9" s="1055">
        <f ca="1"/>
        <v>0</v>
      </c>
      <c r="J9" s="1055">
        <f ca="1"/>
        <v>0</v>
      </c>
      <c r="K9" s="1055">
        <f ca="1"/>
        <v>0</v>
      </c>
      <c r="L9" s="1055">
        <f ca="1"/>
        <v>0</v>
      </c>
      <c r="M9" s="1055">
        <f ca="1"/>
        <v>0</v>
      </c>
      <c r="N9" s="2101">
        <f t="shared" ca="1" si="0"/>
        <v>0</v>
      </c>
    </row>
    <row r="10" spans="1:15" s="550" customFormat="1" ht="16.149999999999999" customHeight="1">
      <c r="A10" s="2102" t="str">
        <v/>
      </c>
      <c r="B10" s="1055">
        <f ca="1"/>
        <v>0</v>
      </c>
      <c r="C10" s="1055">
        <f ca="1"/>
        <v>0</v>
      </c>
      <c r="D10" s="1055">
        <f ca="1"/>
        <v>0</v>
      </c>
      <c r="E10" s="1055">
        <f ca="1"/>
        <v>0</v>
      </c>
      <c r="F10" s="1055">
        <f ca="1"/>
        <v>0</v>
      </c>
      <c r="G10" s="1055">
        <f ca="1"/>
        <v>0</v>
      </c>
      <c r="H10" s="1055">
        <f ca="1"/>
        <v>0</v>
      </c>
      <c r="I10" s="1055">
        <f ca="1"/>
        <v>0</v>
      </c>
      <c r="J10" s="1055">
        <f ca="1"/>
        <v>0</v>
      </c>
      <c r="K10" s="1055">
        <f ca="1"/>
        <v>0</v>
      </c>
      <c r="L10" s="1055">
        <f ca="1"/>
        <v>0</v>
      </c>
      <c r="M10" s="1055">
        <f ca="1"/>
        <v>0</v>
      </c>
      <c r="N10" s="2101">
        <f t="shared" ca="1" si="0"/>
        <v>0</v>
      </c>
    </row>
    <row r="11" spans="1:15" s="550" customFormat="1" ht="16.149999999999999" customHeight="1">
      <c r="A11" s="2102" t="str">
        <v/>
      </c>
      <c r="B11" s="1055">
        <f ca="1"/>
        <v>0</v>
      </c>
      <c r="C11" s="1055">
        <f ca="1"/>
        <v>0</v>
      </c>
      <c r="D11" s="1055">
        <f ca="1"/>
        <v>0</v>
      </c>
      <c r="E11" s="1055">
        <f ca="1"/>
        <v>0</v>
      </c>
      <c r="F11" s="1055">
        <f ca="1"/>
        <v>0</v>
      </c>
      <c r="G11" s="1055">
        <f ca="1"/>
        <v>0</v>
      </c>
      <c r="H11" s="1055">
        <f ca="1"/>
        <v>0</v>
      </c>
      <c r="I11" s="1055">
        <f ca="1"/>
        <v>0</v>
      </c>
      <c r="J11" s="1055">
        <f ca="1"/>
        <v>0</v>
      </c>
      <c r="K11" s="1055">
        <f ca="1"/>
        <v>0</v>
      </c>
      <c r="L11" s="1055">
        <f ca="1"/>
        <v>0</v>
      </c>
      <c r="M11" s="1055">
        <f ca="1"/>
        <v>0</v>
      </c>
      <c r="N11" s="2101">
        <f t="shared" ca="1" si="0"/>
        <v>0</v>
      </c>
    </row>
    <row r="12" spans="1:15" s="550" customFormat="1" ht="16.149999999999999" customHeight="1">
      <c r="A12" s="2102" t="str">
        <v/>
      </c>
      <c r="B12" s="1055">
        <f ca="1"/>
        <v>0</v>
      </c>
      <c r="C12" s="1055">
        <f ca="1"/>
        <v>0</v>
      </c>
      <c r="D12" s="1055">
        <f ca="1"/>
        <v>0</v>
      </c>
      <c r="E12" s="1055">
        <f ca="1"/>
        <v>0</v>
      </c>
      <c r="F12" s="1055">
        <f ca="1"/>
        <v>0</v>
      </c>
      <c r="G12" s="1055">
        <f ca="1"/>
        <v>0</v>
      </c>
      <c r="H12" s="1055">
        <f ca="1"/>
        <v>0</v>
      </c>
      <c r="I12" s="1055">
        <f ca="1"/>
        <v>0</v>
      </c>
      <c r="J12" s="1055">
        <f ca="1"/>
        <v>0</v>
      </c>
      <c r="K12" s="1055">
        <f ca="1"/>
        <v>0</v>
      </c>
      <c r="L12" s="1055">
        <f ca="1"/>
        <v>0</v>
      </c>
      <c r="M12" s="1055">
        <f ca="1"/>
        <v>0</v>
      </c>
      <c r="N12" s="2101">
        <f t="shared" ca="1" si="0"/>
        <v>0</v>
      </c>
    </row>
    <row r="13" spans="1:15" s="550" customFormat="1" ht="16.149999999999999" customHeight="1">
      <c r="A13" s="2102" t="str">
        <v/>
      </c>
      <c r="B13" s="1055">
        <f ca="1"/>
        <v>0</v>
      </c>
      <c r="C13" s="1055">
        <f ca="1"/>
        <v>0</v>
      </c>
      <c r="D13" s="1055">
        <f ca="1"/>
        <v>0</v>
      </c>
      <c r="E13" s="1055">
        <f ca="1"/>
        <v>0</v>
      </c>
      <c r="F13" s="1055">
        <f ca="1"/>
        <v>0</v>
      </c>
      <c r="G13" s="1055">
        <f ca="1"/>
        <v>0</v>
      </c>
      <c r="H13" s="1055">
        <f ca="1"/>
        <v>0</v>
      </c>
      <c r="I13" s="1055">
        <f ca="1"/>
        <v>0</v>
      </c>
      <c r="J13" s="1055">
        <f ca="1"/>
        <v>0</v>
      </c>
      <c r="K13" s="1055">
        <f ca="1"/>
        <v>0</v>
      </c>
      <c r="L13" s="1055">
        <f ca="1"/>
        <v>0</v>
      </c>
      <c r="M13" s="1055">
        <f ca="1"/>
        <v>0</v>
      </c>
      <c r="N13" s="2101">
        <f t="shared" ca="1" si="0"/>
        <v>0</v>
      </c>
    </row>
    <row r="14" spans="1:15" s="550" customFormat="1" ht="16.149999999999999" customHeight="1" thickBot="1">
      <c r="A14" s="2103" t="str">
        <v/>
      </c>
      <c r="B14" s="1056">
        <f ca="1"/>
        <v>0</v>
      </c>
      <c r="C14" s="1056">
        <f ca="1"/>
        <v>0</v>
      </c>
      <c r="D14" s="1056">
        <f ca="1"/>
        <v>0</v>
      </c>
      <c r="E14" s="1056">
        <f ca="1"/>
        <v>0</v>
      </c>
      <c r="F14" s="1056">
        <f ca="1"/>
        <v>0</v>
      </c>
      <c r="G14" s="1056">
        <f ca="1"/>
        <v>0</v>
      </c>
      <c r="H14" s="1056">
        <f ca="1"/>
        <v>0</v>
      </c>
      <c r="I14" s="1056">
        <f ca="1"/>
        <v>0</v>
      </c>
      <c r="J14" s="1056">
        <f ca="1"/>
        <v>0</v>
      </c>
      <c r="K14" s="1056">
        <f ca="1"/>
        <v>0</v>
      </c>
      <c r="L14" s="1056">
        <f ca="1"/>
        <v>0</v>
      </c>
      <c r="M14" s="1056">
        <f ca="1"/>
        <v>0</v>
      </c>
      <c r="N14" s="2101">
        <f t="shared" ca="1" si="0"/>
        <v>0</v>
      </c>
    </row>
    <row r="15" spans="1:15" s="550" customFormat="1" ht="16.149999999999999" customHeight="1" thickBot="1">
      <c r="A15" s="2104" t="s">
        <v>11</v>
      </c>
      <c r="B15" s="2105">
        <f t="shared" ref="B15:N15" ca="1" si="1">SUM(B7:B14)</f>
        <v>3702.1590759999999</v>
      </c>
      <c r="C15" s="2105">
        <f t="shared" ca="1" si="1"/>
        <v>4627.6988450000008</v>
      </c>
      <c r="D15" s="2105">
        <f t="shared" ca="1" si="1"/>
        <v>5090.4687295000003</v>
      </c>
      <c r="E15" s="2105">
        <f t="shared" ca="1" si="1"/>
        <v>4859.0837872499997</v>
      </c>
      <c r="F15" s="2105">
        <f t="shared" ca="1" si="1"/>
        <v>4164.9289605000004</v>
      </c>
      <c r="G15" s="2105">
        <f t="shared" ca="1" si="1"/>
        <v>3933.5440182500001</v>
      </c>
      <c r="H15" s="2105">
        <f t="shared" ca="1" si="1"/>
        <v>3702.1590759999999</v>
      </c>
      <c r="I15" s="2105">
        <f t="shared" ca="1" si="1"/>
        <v>2776.6193069999999</v>
      </c>
      <c r="J15" s="2105">
        <f t="shared" ca="1" si="1"/>
        <v>3702.1590759999999</v>
      </c>
      <c r="K15" s="2105">
        <f t="shared" ca="1" si="1"/>
        <v>4396.3139027500001</v>
      </c>
      <c r="L15" s="2105">
        <f t="shared" ca="1" si="1"/>
        <v>4627.6988450000008</v>
      </c>
      <c r="M15" s="2105">
        <f t="shared" ca="1" si="1"/>
        <v>5553.2386139999999</v>
      </c>
      <c r="N15" s="2105">
        <f t="shared" ca="1" si="1"/>
        <v>51136.072237249995</v>
      </c>
    </row>
    <row r="16" spans="1:15" s="550" customFormat="1" ht="16.149999999999999" customHeight="1">
      <c r="A16" s="24"/>
    </row>
    <row r="17" spans="1:19" s="326" customFormat="1" ht="22.5">
      <c r="A17" s="326" t="str">
        <f>'Cobros y pagos 0'!A17</f>
        <v>Cobros por Ventas del año</v>
      </c>
      <c r="B17" s="165"/>
      <c r="E17" s="165"/>
      <c r="F17" s="165"/>
    </row>
    <row r="18" spans="1:19" ht="16.5" customHeight="1" thickBot="1">
      <c r="A18" s="87"/>
      <c r="B18" s="87"/>
      <c r="O18" s="87"/>
      <c r="P18" s="1057" t="str">
        <f>'Cobros y pagos 0'!P18</f>
        <v>Pendiente para el año siguiente:</v>
      </c>
      <c r="Q18" s="1075" t="str">
        <f>Parametros!I65</f>
        <v>2031</v>
      </c>
    </row>
    <row r="19" spans="1:19" s="1054" customFormat="1" ht="28.5" customHeight="1" thickBot="1">
      <c r="A19" s="167" t="str">
        <f t="array" ref="A19:A27">'Cobros y pagos 0'!A19:A27</f>
        <v>Plazos de cobro</v>
      </c>
      <c r="B19" s="2716" t="str">
        <f t="array" ref="B19:M19">'Estimaciones Ventas'!B57:M57</f>
        <v>enero 
2030</v>
      </c>
      <c r="C19" s="2716" t="str">
        <v>febrero 
2030</v>
      </c>
      <c r="D19" s="2716" t="str">
        <v>marzo 
2030</v>
      </c>
      <c r="E19" s="2716" t="str">
        <v>abril 
2030</v>
      </c>
      <c r="F19" s="2716" t="str">
        <v>mayo 
2030</v>
      </c>
      <c r="G19" s="2716" t="str">
        <v>junio 
2030</v>
      </c>
      <c r="H19" s="2716" t="str">
        <v>julio 
2030</v>
      </c>
      <c r="I19" s="2716" t="str">
        <v>agosto 
2030</v>
      </c>
      <c r="J19" s="2716" t="str">
        <v>septiembre 
2030</v>
      </c>
      <c r="K19" s="2716" t="str">
        <v>octubre 
2030</v>
      </c>
      <c r="L19" s="2716" t="str">
        <v>noviembre 
2030</v>
      </c>
      <c r="M19" s="2716" t="str">
        <v>diciembre 
2030</v>
      </c>
      <c r="N19" s="2716" t="str">
        <f t="array" ref="N19:S19">'Estimaciones Ventas'!B70:G70</f>
        <v>enero 
2031</v>
      </c>
      <c r="O19" s="2716" t="str">
        <v>febrero 
2031</v>
      </c>
      <c r="P19" s="2716" t="str">
        <v>marzo 
2031</v>
      </c>
      <c r="Q19" s="2716" t="str">
        <v>abril 
2031</v>
      </c>
      <c r="R19" s="2716" t="str">
        <v>mayo 
2031</v>
      </c>
      <c r="S19" s="2716" t="str">
        <v>junio 
2031</v>
      </c>
    </row>
    <row r="20" spans="1:19" s="543" customFormat="1" ht="16.149999999999999" customHeight="1">
      <c r="A20" s="2097" t="str">
        <v>Contado</v>
      </c>
      <c r="B20" s="1059">
        <f t="array" aca="1" ref="B20" ca="1">SUM('Politicas Cobros y Pagos'!$B$39:$B$46*B7:B14)</f>
        <v>3702.1590759999999</v>
      </c>
      <c r="C20" s="1059">
        <f t="array" aca="1" ref="C20" ca="1">SUM('Politicas Cobros y Pagos'!$B$39:$B$46*C7:C14)</f>
        <v>4627.6988450000008</v>
      </c>
      <c r="D20" s="1059">
        <f t="array" aca="1" ref="D20" ca="1">SUM('Politicas Cobros y Pagos'!$B$39:$B$46*D7:D14)</f>
        <v>5090.4687295000003</v>
      </c>
      <c r="E20" s="1059">
        <f t="array" aca="1" ref="E20" ca="1">SUM('Politicas Cobros y Pagos'!$B$39:$B$46*E7:E14)</f>
        <v>4859.0837872499997</v>
      </c>
      <c r="F20" s="1059">
        <f t="array" aca="1" ref="F20" ca="1">SUM('Politicas Cobros y Pagos'!$B$39:$B$46*F7:F14)</f>
        <v>4164.9289605000004</v>
      </c>
      <c r="G20" s="1059">
        <f t="array" aca="1" ref="G20" ca="1">SUM('Politicas Cobros y Pagos'!$B$39:$B$46*G7:G14)</f>
        <v>3933.5440182500001</v>
      </c>
      <c r="H20" s="1059">
        <f t="array" aca="1" ref="H20" ca="1">SUM('Politicas Cobros y Pagos'!$B$39:$B$46*H7:H14)</f>
        <v>3702.1590759999999</v>
      </c>
      <c r="I20" s="1059">
        <f t="array" aca="1" ref="I20" ca="1">SUM('Politicas Cobros y Pagos'!$B$39:$B$46*I7:I14)</f>
        <v>2776.6193069999999</v>
      </c>
      <c r="J20" s="1059">
        <f t="array" aca="1" ref="J20" ca="1">SUM('Politicas Cobros y Pagos'!$B$39:$B$46*J7:J14)</f>
        <v>3702.1590759999999</v>
      </c>
      <c r="K20" s="1059">
        <f t="array" aca="1" ref="K20" ca="1">SUM('Politicas Cobros y Pagos'!$B$39:$B$46*K7:K14)</f>
        <v>4396.3139027500001</v>
      </c>
      <c r="L20" s="1059">
        <f t="array" aca="1" ref="L20" ca="1">SUM('Politicas Cobros y Pagos'!$B$39:$B$46*L7:L14)</f>
        <v>4627.6988450000008</v>
      </c>
      <c r="M20" s="1059">
        <f t="array" aca="1" ref="M20" ca="1">SUM('Politicas Cobros y Pagos'!$B$39:$B$46*M7:M14)</f>
        <v>5553.2386139999999</v>
      </c>
      <c r="N20" s="1059"/>
      <c r="O20" s="1059"/>
      <c r="P20" s="1059"/>
      <c r="Q20" s="1059"/>
      <c r="R20" s="1059"/>
      <c r="S20" s="1059"/>
    </row>
    <row r="21" spans="1:19" s="550" customFormat="1" ht="16.149999999999999" customHeight="1">
      <c r="A21" s="2098">
        <v>30</v>
      </c>
      <c r="B21" s="1060">
        <f t="array" aca="1" ref="B21:B26" ca="1">'Cobros y pagos 3'!N21:N26</f>
        <v>0</v>
      </c>
      <c r="C21" s="1059">
        <f t="array" aca="1" ref="C21" ca="1">SUM('Politicas Cobros y Pagos'!$C$39:$C$46*B$7:B$14)</f>
        <v>0</v>
      </c>
      <c r="D21" s="1059">
        <f t="array" aca="1" ref="D21" ca="1">SUM('Politicas Cobros y Pagos'!$C$39:$C$46*C$7:C$14)</f>
        <v>0</v>
      </c>
      <c r="E21" s="1059">
        <f t="array" aca="1" ref="E21" ca="1">SUM('Politicas Cobros y Pagos'!$C$39:$C$46*D$7:D$14)</f>
        <v>0</v>
      </c>
      <c r="F21" s="1059">
        <f t="array" aca="1" ref="F21" ca="1">SUM('Politicas Cobros y Pagos'!$C$39:$C$46*E$7:E$14)</f>
        <v>0</v>
      </c>
      <c r="G21" s="1059">
        <f t="array" aca="1" ref="G21" ca="1">SUM('Politicas Cobros y Pagos'!$C$39:$C$46*F$7:F$14)</f>
        <v>0</v>
      </c>
      <c r="H21" s="1059">
        <f t="array" aca="1" ref="H21" ca="1">SUM('Politicas Cobros y Pagos'!$C$39:$C$46*G$7:G$14)</f>
        <v>0</v>
      </c>
      <c r="I21" s="1059">
        <f t="array" aca="1" ref="I21" ca="1">SUM('Politicas Cobros y Pagos'!$C$39:$C$46*H$7:H$14)</f>
        <v>0</v>
      </c>
      <c r="J21" s="1059">
        <f t="array" aca="1" ref="J21" ca="1">SUM('Politicas Cobros y Pagos'!$C$39:$C$46*I$7:I$14)</f>
        <v>0</v>
      </c>
      <c r="K21" s="1059">
        <f t="array" aca="1" ref="K21" ca="1">SUM('Politicas Cobros y Pagos'!$C$39:$C$46*J$7:J$14)</f>
        <v>0</v>
      </c>
      <c r="L21" s="1059">
        <f t="array" aca="1" ref="L21" ca="1">SUM('Politicas Cobros y Pagos'!$C$39:$C$46*K$7:K$14)</f>
        <v>0</v>
      </c>
      <c r="M21" s="1059">
        <f t="array" aca="1" ref="M21" ca="1">SUM('Politicas Cobros y Pagos'!$C$39:$C$46*L$7:L$14)</f>
        <v>0</v>
      </c>
      <c r="N21" s="1059">
        <f t="array" aca="1" ref="N21" ca="1">SUM('Politicas Cobros y Pagos'!$C$39:$C$46*M$7:M$14)</f>
        <v>0</v>
      </c>
      <c r="O21" s="1059"/>
      <c r="P21" s="1059"/>
      <c r="Q21" s="1059"/>
      <c r="R21" s="1059"/>
      <c r="S21" s="1059"/>
    </row>
    <row r="22" spans="1:19" s="543" customFormat="1" ht="16.149999999999999" customHeight="1">
      <c r="A22" s="2098">
        <v>60</v>
      </c>
      <c r="B22" s="1060">
        <f ca="1"/>
        <v>0</v>
      </c>
      <c r="C22" s="1060">
        <f t="array" aca="1" ref="C22:C26" ca="1">'Cobros y pagos 3'!O22:O26</f>
        <v>0</v>
      </c>
      <c r="D22" s="1059">
        <f t="array" aca="1" ref="D22" ca="1">SUM('Politicas Cobros y Pagos'!$D$39:$D$46*B$7:B$14)</f>
        <v>0</v>
      </c>
      <c r="E22" s="1059">
        <f t="array" aca="1" ref="E22" ca="1">SUM('Politicas Cobros y Pagos'!$D$39:$D$46*C$7:C$14)</f>
        <v>0</v>
      </c>
      <c r="F22" s="1059">
        <f t="array" aca="1" ref="F22" ca="1">SUM('Politicas Cobros y Pagos'!$D$39:$D$46*D$7:D$14)</f>
        <v>0</v>
      </c>
      <c r="G22" s="1059">
        <f t="array" aca="1" ref="G22" ca="1">SUM('Politicas Cobros y Pagos'!$D$39:$D$46*E$7:E$14)</f>
        <v>0</v>
      </c>
      <c r="H22" s="1059">
        <f t="array" aca="1" ref="H22" ca="1">SUM('Politicas Cobros y Pagos'!$D$39:$D$46*F$7:F$14)</f>
        <v>0</v>
      </c>
      <c r="I22" s="1059">
        <f t="array" aca="1" ref="I22" ca="1">SUM('Politicas Cobros y Pagos'!$D$39:$D$46*G$7:G$14)</f>
        <v>0</v>
      </c>
      <c r="J22" s="1059">
        <f t="array" aca="1" ref="J22" ca="1">SUM('Politicas Cobros y Pagos'!$D$39:$D$46*H$7:H$14)</f>
        <v>0</v>
      </c>
      <c r="K22" s="1059">
        <f t="array" aca="1" ref="K22" ca="1">SUM('Politicas Cobros y Pagos'!$D$39:$D$46*I$7:I$14)</f>
        <v>0</v>
      </c>
      <c r="L22" s="1059">
        <f t="array" aca="1" ref="L22" ca="1">SUM('Politicas Cobros y Pagos'!$D$39:$D$46*J$7:J$14)</f>
        <v>0</v>
      </c>
      <c r="M22" s="1059">
        <f t="array" aca="1" ref="M22" ca="1">SUM('Politicas Cobros y Pagos'!$D$39:$D$46*K$7:K$14)</f>
        <v>0</v>
      </c>
      <c r="N22" s="1059">
        <f t="array" aca="1" ref="N22" ca="1">SUM('Politicas Cobros y Pagos'!$D$39:$D$46*L$7:L$14)</f>
        <v>0</v>
      </c>
      <c r="O22" s="1059">
        <f t="array" aca="1" ref="O22" ca="1">SUM('Politicas Cobros y Pagos'!$D$39:$D$46*M$7:M$14)</f>
        <v>0</v>
      </c>
      <c r="P22" s="1059"/>
      <c r="Q22" s="1059"/>
      <c r="R22" s="1059"/>
      <c r="S22" s="1059"/>
    </row>
    <row r="23" spans="1:19" s="543" customFormat="1" ht="16.149999999999999" customHeight="1">
      <c r="A23" s="2098">
        <v>90</v>
      </c>
      <c r="B23" s="1060">
        <f ca="1"/>
        <v>0</v>
      </c>
      <c r="C23" s="1060">
        <f ca="1"/>
        <v>0</v>
      </c>
      <c r="D23" s="1060">
        <f t="array" aca="1" ref="D23:D26" ca="1">'Cobros y pagos 3'!P23:P26</f>
        <v>0</v>
      </c>
      <c r="E23" s="1059">
        <f t="array" aca="1" ref="E23" ca="1">SUM('Politicas Cobros y Pagos'!$E$39:$E$46*B$7:B$14)</f>
        <v>0</v>
      </c>
      <c r="F23" s="1059">
        <f t="array" aca="1" ref="F23" ca="1">SUM('Politicas Cobros y Pagos'!$E$39:$E$46*C$7:C$14)</f>
        <v>0</v>
      </c>
      <c r="G23" s="1059">
        <f t="array" aca="1" ref="G23" ca="1">SUM('Politicas Cobros y Pagos'!$E$39:$E$46*D$7:D$14)</f>
        <v>0</v>
      </c>
      <c r="H23" s="1059">
        <f t="array" aca="1" ref="H23" ca="1">SUM('Politicas Cobros y Pagos'!$E$39:$E$46*E$7:E$14)</f>
        <v>0</v>
      </c>
      <c r="I23" s="1059">
        <f t="array" aca="1" ref="I23" ca="1">SUM('Politicas Cobros y Pagos'!$E$39:$E$46*F$7:F$14)</f>
        <v>0</v>
      </c>
      <c r="J23" s="1059">
        <f t="array" aca="1" ref="J23" ca="1">SUM('Politicas Cobros y Pagos'!$E$39:$E$46*G$7:G$14)</f>
        <v>0</v>
      </c>
      <c r="K23" s="1059">
        <f t="array" aca="1" ref="K23" ca="1">SUM('Politicas Cobros y Pagos'!$E$39:$E$46*H$7:H$14)</f>
        <v>0</v>
      </c>
      <c r="L23" s="1059">
        <f t="array" aca="1" ref="L23" ca="1">SUM('Politicas Cobros y Pagos'!$E$39:$E$46*I$7:I$14)</f>
        <v>0</v>
      </c>
      <c r="M23" s="1059">
        <f t="array" aca="1" ref="M23" ca="1">SUM('Politicas Cobros y Pagos'!$E$39:$E$46*J$7:J$14)</f>
        <v>0</v>
      </c>
      <c r="N23" s="1059">
        <f t="array" aca="1" ref="N23" ca="1">SUM('Politicas Cobros y Pagos'!$E$39:$E$46*K$7:K$14)</f>
        <v>0</v>
      </c>
      <c r="O23" s="1059">
        <f t="array" aca="1" ref="O23" ca="1">SUM('Politicas Cobros y Pagos'!$E$39:$E$46*L$7:L$14)</f>
        <v>0</v>
      </c>
      <c r="P23" s="1059">
        <f t="array" aca="1" ref="P23" ca="1">SUM('Politicas Cobros y Pagos'!$E$39:$E$46*M$7:M$14)</f>
        <v>0</v>
      </c>
      <c r="Q23" s="1059"/>
      <c r="R23" s="1059"/>
      <c r="S23" s="1059"/>
    </row>
    <row r="24" spans="1:19" s="543" customFormat="1" ht="16.149999999999999" customHeight="1">
      <c r="A24" s="2098">
        <v>120</v>
      </c>
      <c r="B24" s="1060">
        <f ca="1"/>
        <v>0</v>
      </c>
      <c r="C24" s="1060">
        <f ca="1"/>
        <v>0</v>
      </c>
      <c r="D24" s="1060">
        <f ca="1"/>
        <v>0</v>
      </c>
      <c r="E24" s="1060">
        <f t="array" aca="1" ref="E24:E26" ca="1">'Cobros y pagos 3'!Q24:Q26</f>
        <v>0</v>
      </c>
      <c r="F24" s="1059">
        <f t="array" aca="1" ref="F24" ca="1">SUM('Politicas Cobros y Pagos'!$F$39:$F$46*B$7:B$14)</f>
        <v>0</v>
      </c>
      <c r="G24" s="1059">
        <f t="array" aca="1" ref="G24" ca="1">SUM('Politicas Cobros y Pagos'!$F$39:$F$46*C$7:C$14)</f>
        <v>0</v>
      </c>
      <c r="H24" s="1059">
        <f t="array" aca="1" ref="H24" ca="1">SUM('Politicas Cobros y Pagos'!$F$39:$F$46*D$7:D$14)</f>
        <v>0</v>
      </c>
      <c r="I24" s="1059">
        <f t="array" aca="1" ref="I24" ca="1">SUM('Politicas Cobros y Pagos'!$F$39:$F$46*E$7:E$14)</f>
        <v>0</v>
      </c>
      <c r="J24" s="1059">
        <f t="array" aca="1" ref="J24" ca="1">SUM('Politicas Cobros y Pagos'!$F$39:$F$46*F$7:F$14)</f>
        <v>0</v>
      </c>
      <c r="K24" s="1059">
        <f t="array" aca="1" ref="K24" ca="1">SUM('Politicas Cobros y Pagos'!$F$39:$F$46*G$7:G$14)</f>
        <v>0</v>
      </c>
      <c r="L24" s="1059">
        <f t="array" aca="1" ref="L24" ca="1">SUM('Politicas Cobros y Pagos'!$F$39:$F$46*H$7:H$14)</f>
        <v>0</v>
      </c>
      <c r="M24" s="1059">
        <f t="array" aca="1" ref="M24" ca="1">SUM('Politicas Cobros y Pagos'!$F$39:$F$46*I$7:I$14)</f>
        <v>0</v>
      </c>
      <c r="N24" s="1059">
        <f t="array" aca="1" ref="N24" ca="1">SUM('Politicas Cobros y Pagos'!$F$39:$F$46*J$7:J$14)</f>
        <v>0</v>
      </c>
      <c r="O24" s="1059">
        <f t="array" aca="1" ref="O24" ca="1">SUM('Politicas Cobros y Pagos'!$F$39:$F$46*K$7:K$14)</f>
        <v>0</v>
      </c>
      <c r="P24" s="1059">
        <f t="array" aca="1" ref="P24" ca="1">SUM('Politicas Cobros y Pagos'!$F$39:$F$46*L$7:L$14)</f>
        <v>0</v>
      </c>
      <c r="Q24" s="1059">
        <f t="array" aca="1" ref="Q24" ca="1">SUM('Politicas Cobros y Pagos'!$F$39:$F$46*M$7:M$14)</f>
        <v>0</v>
      </c>
      <c r="R24" s="1059"/>
      <c r="S24" s="1059"/>
    </row>
    <row r="25" spans="1:19" s="543" customFormat="1" ht="16.149999999999999" customHeight="1">
      <c r="A25" s="2098">
        <v>150</v>
      </c>
      <c r="B25" s="1060">
        <f ca="1"/>
        <v>0</v>
      </c>
      <c r="C25" s="1060">
        <f ca="1"/>
        <v>0</v>
      </c>
      <c r="D25" s="1060">
        <f ca="1"/>
        <v>0</v>
      </c>
      <c r="E25" s="1060">
        <f ca="1"/>
        <v>0</v>
      </c>
      <c r="F25" s="1060">
        <f t="array" aca="1" ref="F25:F26" ca="1">'Cobros y pagos 3'!R25:R26</f>
        <v>0</v>
      </c>
      <c r="G25" s="1059">
        <f t="array" aca="1" ref="G25" ca="1">SUM('Politicas Cobros y Pagos'!$G$39:$G$46*B$7:B$14)</f>
        <v>0</v>
      </c>
      <c r="H25" s="1059">
        <f t="array" aca="1" ref="H25" ca="1">SUM('Politicas Cobros y Pagos'!$G$39:$G$46*C$7:C$14)</f>
        <v>0</v>
      </c>
      <c r="I25" s="1059">
        <f t="array" aca="1" ref="I25" ca="1">SUM('Politicas Cobros y Pagos'!$G$39:$G$46*D$7:D$14)</f>
        <v>0</v>
      </c>
      <c r="J25" s="1059">
        <f t="array" aca="1" ref="J25" ca="1">SUM('Politicas Cobros y Pagos'!$G$39:$G$46*E$7:E$14)</f>
        <v>0</v>
      </c>
      <c r="K25" s="1059">
        <f t="array" aca="1" ref="K25" ca="1">SUM('Politicas Cobros y Pagos'!$G$39:$G$46*F$7:F$14)</f>
        <v>0</v>
      </c>
      <c r="L25" s="1059">
        <f t="array" aca="1" ref="L25" ca="1">SUM('Politicas Cobros y Pagos'!$G$39:$G$46*G$7:G$14)</f>
        <v>0</v>
      </c>
      <c r="M25" s="1059">
        <f t="array" aca="1" ref="M25" ca="1">SUM('Politicas Cobros y Pagos'!$G$39:$G$46*H$7:H$14)</f>
        <v>0</v>
      </c>
      <c r="N25" s="1059">
        <f t="array" aca="1" ref="N25" ca="1">SUM('Politicas Cobros y Pagos'!$G$39:$G$46*I$7:I$14)</f>
        <v>0</v>
      </c>
      <c r="O25" s="1059">
        <f t="array" aca="1" ref="O25" ca="1">SUM('Politicas Cobros y Pagos'!$G$39:$G$46*J$7:J$14)</f>
        <v>0</v>
      </c>
      <c r="P25" s="1059">
        <f t="array" aca="1" ref="P25" ca="1">SUM('Politicas Cobros y Pagos'!$G$39:$G$46*K$7:K$14)</f>
        <v>0</v>
      </c>
      <c r="Q25" s="1059">
        <f t="array" aca="1" ref="Q25" ca="1">SUM('Politicas Cobros y Pagos'!$G$39:$G$46*L$7:L$14)</f>
        <v>0</v>
      </c>
      <c r="R25" s="1059">
        <f t="array" aca="1" ref="R25" ca="1">SUM('Politicas Cobros y Pagos'!$G$39:$G$46*M$7:M$14)</f>
        <v>0</v>
      </c>
      <c r="S25" s="1059"/>
    </row>
    <row r="26" spans="1:19" s="543" customFormat="1" ht="16.149999999999999" customHeight="1">
      <c r="A26" s="2098">
        <v>180</v>
      </c>
      <c r="B26" s="1060">
        <f ca="1"/>
        <v>0</v>
      </c>
      <c r="C26" s="1060">
        <f ca="1"/>
        <v>0</v>
      </c>
      <c r="D26" s="1060">
        <f ca="1"/>
        <v>0</v>
      </c>
      <c r="E26" s="1060">
        <f ca="1"/>
        <v>0</v>
      </c>
      <c r="F26" s="1060">
        <f ca="1"/>
        <v>0</v>
      </c>
      <c r="G26" s="1060">
        <f ca="1">'Cobros y pagos 3'!S26</f>
        <v>0</v>
      </c>
      <c r="H26" s="1059">
        <f t="array" aca="1" ref="H26" ca="1">SUM('Politicas Cobros y Pagos'!$H$39:$H$46*B$7:B$14)</f>
        <v>0</v>
      </c>
      <c r="I26" s="1059">
        <f t="array" aca="1" ref="I26" ca="1">SUM('Politicas Cobros y Pagos'!$H$39:$H$46*C$7:C$14)</f>
        <v>0</v>
      </c>
      <c r="J26" s="1059">
        <f t="array" aca="1" ref="J26" ca="1">SUM('Politicas Cobros y Pagos'!$H$39:$H$46*D$7:D$14)</f>
        <v>0</v>
      </c>
      <c r="K26" s="1059">
        <f t="array" aca="1" ref="K26" ca="1">SUM('Politicas Cobros y Pagos'!$H$39:$H$46*E$7:E$14)</f>
        <v>0</v>
      </c>
      <c r="L26" s="1059">
        <f t="array" aca="1" ref="L26" ca="1">SUM('Politicas Cobros y Pagos'!$H$39:$H$46*F$7:F$14)</f>
        <v>0</v>
      </c>
      <c r="M26" s="1059">
        <f t="array" aca="1" ref="M26" ca="1">SUM('Politicas Cobros y Pagos'!$H$39:$H$46*G$7:G$14)</f>
        <v>0</v>
      </c>
      <c r="N26" s="1059">
        <f t="array" aca="1" ref="N26" ca="1">SUM('Politicas Cobros y Pagos'!$H$39:$H$46*H$7:H$14)</f>
        <v>0</v>
      </c>
      <c r="O26" s="1059">
        <f t="array" aca="1" ref="O26" ca="1">SUM('Politicas Cobros y Pagos'!$H$39:$H$46*I$7:I$14)</f>
        <v>0</v>
      </c>
      <c r="P26" s="1059">
        <f t="array" aca="1" ref="P26" ca="1">SUM('Politicas Cobros y Pagos'!$H$39:$H$46*J$7:J$14)</f>
        <v>0</v>
      </c>
      <c r="Q26" s="1059">
        <f t="array" aca="1" ref="Q26" ca="1">SUM('Politicas Cobros y Pagos'!$H$39:$H$46*K$7:K$14)</f>
        <v>0</v>
      </c>
      <c r="R26" s="1059">
        <f t="array" aca="1" ref="R26" ca="1">SUM('Politicas Cobros y Pagos'!$H$39:$H$46*L$7:L$14)</f>
        <v>0</v>
      </c>
      <c r="S26" s="1059">
        <f t="array" aca="1" ref="S26" ca="1">SUM('Politicas Cobros y Pagos'!$H$39:$H$46*M$7:M$14)</f>
        <v>0</v>
      </c>
    </row>
    <row r="27" spans="1:19" s="543" customFormat="1" ht="16.149999999999999" customHeight="1">
      <c r="A27" s="2099" t="str">
        <v>Impagados</v>
      </c>
      <c r="B27" s="1074">
        <f t="shared" ref="B27:M27" ca="1" si="2">-morisidad*SUM(B20:B26)</f>
        <v>0</v>
      </c>
      <c r="C27" s="1074">
        <f t="shared" ca="1" si="2"/>
        <v>0</v>
      </c>
      <c r="D27" s="1074">
        <f t="shared" ca="1" si="2"/>
        <v>0</v>
      </c>
      <c r="E27" s="1074">
        <f t="shared" ca="1" si="2"/>
        <v>0</v>
      </c>
      <c r="F27" s="1074">
        <f t="shared" ca="1" si="2"/>
        <v>0</v>
      </c>
      <c r="G27" s="1074">
        <f t="shared" ca="1" si="2"/>
        <v>0</v>
      </c>
      <c r="H27" s="1074">
        <f t="shared" ca="1" si="2"/>
        <v>0</v>
      </c>
      <c r="I27" s="1074">
        <f t="shared" ca="1" si="2"/>
        <v>0</v>
      </c>
      <c r="J27" s="1074">
        <f t="shared" ca="1" si="2"/>
        <v>0</v>
      </c>
      <c r="K27" s="1074">
        <f t="shared" ca="1" si="2"/>
        <v>0</v>
      </c>
      <c r="L27" s="1074">
        <f t="shared" ca="1" si="2"/>
        <v>0</v>
      </c>
      <c r="M27" s="1074">
        <f t="shared" ca="1" si="2"/>
        <v>0</v>
      </c>
      <c r="N27" s="1061"/>
      <c r="O27" s="1061"/>
      <c r="P27" s="1061"/>
      <c r="Q27" s="1061"/>
      <c r="R27" s="1061"/>
      <c r="S27" s="1061"/>
    </row>
    <row r="28" spans="1:19" s="550" customFormat="1" ht="16.149999999999999" customHeight="1" thickBot="1">
      <c r="A28" s="2807" t="s">
        <v>11</v>
      </c>
      <c r="B28" s="2717">
        <f t="shared" ref="B28:S28" ca="1" si="3">SUM(B20:B27)</f>
        <v>3702.1590759999999</v>
      </c>
      <c r="C28" s="2717">
        <f t="shared" ca="1" si="3"/>
        <v>4627.6988450000008</v>
      </c>
      <c r="D28" s="2717">
        <f t="shared" ca="1" si="3"/>
        <v>5090.4687295000003</v>
      </c>
      <c r="E28" s="2717">
        <f t="shared" ca="1" si="3"/>
        <v>4859.0837872499997</v>
      </c>
      <c r="F28" s="2717">
        <f t="shared" ca="1" si="3"/>
        <v>4164.9289605000004</v>
      </c>
      <c r="G28" s="2717">
        <f t="shared" ca="1" si="3"/>
        <v>3933.5440182500001</v>
      </c>
      <c r="H28" s="2717">
        <f t="shared" ca="1" si="3"/>
        <v>3702.1590759999999</v>
      </c>
      <c r="I28" s="2717">
        <f t="shared" ca="1" si="3"/>
        <v>2776.6193069999999</v>
      </c>
      <c r="J28" s="2717">
        <f t="shared" ca="1" si="3"/>
        <v>3702.1590759999999</v>
      </c>
      <c r="K28" s="2717">
        <f t="shared" ca="1" si="3"/>
        <v>4396.3139027500001</v>
      </c>
      <c r="L28" s="2717">
        <f t="shared" ca="1" si="3"/>
        <v>4627.6988450000008</v>
      </c>
      <c r="M28" s="2717">
        <f t="shared" ca="1" si="3"/>
        <v>5553.2386139999999</v>
      </c>
      <c r="N28" s="2717">
        <f t="shared" ca="1" si="3"/>
        <v>0</v>
      </c>
      <c r="O28" s="2717">
        <f t="shared" ca="1" si="3"/>
        <v>0</v>
      </c>
      <c r="P28" s="2717">
        <f t="shared" ca="1" si="3"/>
        <v>0</v>
      </c>
      <c r="Q28" s="2717">
        <f t="shared" ca="1" si="3"/>
        <v>0</v>
      </c>
      <c r="R28" s="2717">
        <f t="shared" ca="1" si="3"/>
        <v>0</v>
      </c>
      <c r="S28" s="2717">
        <f t="shared" ca="1" si="3"/>
        <v>0</v>
      </c>
    </row>
    <row r="29" spans="1:19" s="550" customFormat="1" ht="13.5" customHeight="1" thickBot="1">
      <c r="B29" s="1062"/>
    </row>
    <row r="30" spans="1:19" s="543" customFormat="1" ht="16.149999999999999" customHeight="1" thickBot="1">
      <c r="A30" s="279"/>
      <c r="B30" s="1062"/>
      <c r="O30" s="1063"/>
      <c r="P30" s="1064"/>
      <c r="Q30" s="1064"/>
      <c r="R30" s="1076" t="str">
        <f>CONCATENATE("Cobros de ventas pendintes para el año ",Q18," (sin ",'Datos Básicos'!$A$28,")")</f>
        <v>Cobros de ventas pendintes para el año 2031 (sin IVA)</v>
      </c>
      <c r="S30" s="1065">
        <f ca="1">SUM(N28:S28)</f>
        <v>0</v>
      </c>
    </row>
    <row r="31" spans="1:19" s="543" customFormat="1" ht="16.149999999999999" customHeight="1" thickBot="1">
      <c r="A31" s="279"/>
      <c r="B31" s="1062"/>
      <c r="O31" s="1063"/>
      <c r="P31" s="1064"/>
      <c r="Q31" s="1064"/>
      <c r="R31" s="1077" t="str">
        <f>'Cobros y pagos 0'!R31</f>
        <v xml:space="preserve">Impagados producidos durante el año </v>
      </c>
      <c r="S31" s="1066">
        <f ca="1">-SUM(B27:M27)</f>
        <v>0</v>
      </c>
    </row>
    <row r="32" spans="1:19" s="326" customFormat="1" ht="22.5">
      <c r="A32" s="326" t="str">
        <f>'Cobros y pagos 0'!A32</f>
        <v>Compras y Costes variables (IVA incl.)</v>
      </c>
      <c r="B32" s="165"/>
      <c r="G32" s="165"/>
      <c r="H32" s="165"/>
    </row>
    <row r="33" spans="1:19" ht="7.5" customHeight="1" thickBot="1">
      <c r="P33" s="550"/>
    </row>
    <row r="34" spans="1:19" ht="15.75" thickBot="1">
      <c r="A34" s="167" t="str">
        <f>'Cobros y pagos 0'!A34</f>
        <v>Compras del periodo</v>
      </c>
      <c r="B34" s="2714" t="str">
        <f t="array" ref="B34:M34">meses</f>
        <v>enero</v>
      </c>
      <c r="C34" s="2714" t="str">
        <v>febrero</v>
      </c>
      <c r="D34" s="2714" t="str">
        <v>marzo</v>
      </c>
      <c r="E34" s="2714" t="str">
        <v>abril</v>
      </c>
      <c r="F34" s="2714" t="str">
        <v>mayo</v>
      </c>
      <c r="G34" s="2714" t="str">
        <v>junio</v>
      </c>
      <c r="H34" s="2714" t="str">
        <v>julio</v>
      </c>
      <c r="I34" s="2714" t="str">
        <v>agosto</v>
      </c>
      <c r="J34" s="2714" t="str">
        <v>septiembre</v>
      </c>
      <c r="K34" s="2714" t="str">
        <v>octubre</v>
      </c>
      <c r="L34" s="2714" t="str">
        <v>noviembre</v>
      </c>
      <c r="M34" s="2714" t="str">
        <v>diciembre</v>
      </c>
      <c r="N34" s="2715" t="s">
        <v>11</v>
      </c>
      <c r="O34" s="550"/>
    </row>
    <row r="35" spans="1:19" ht="14.25">
      <c r="A35" s="2100" t="str">
        <f t="array" ref="A35:A42">productos</f>
        <v>producto o servicio</v>
      </c>
      <c r="B35" s="1055">
        <f t="array" aca="1" ref="B35:M42" ca="1">'Distr CV 4'!B46:M53+'Distr CV 4'!B59:M66</f>
        <v>370.21590760000004</v>
      </c>
      <c r="C35" s="1055">
        <f ca="1"/>
        <v>462.7698845000001</v>
      </c>
      <c r="D35" s="1055">
        <f ca="1"/>
        <v>509.04687295000008</v>
      </c>
      <c r="E35" s="1055">
        <f ca="1"/>
        <v>485.90837872499992</v>
      </c>
      <c r="F35" s="1055">
        <f ca="1"/>
        <v>416.49289605000007</v>
      </c>
      <c r="G35" s="1055">
        <f ca="1"/>
        <v>393.35440182500002</v>
      </c>
      <c r="H35" s="1055">
        <f ca="1"/>
        <v>370.21590760000004</v>
      </c>
      <c r="I35" s="1055">
        <f ca="1"/>
        <v>277.66193070000003</v>
      </c>
      <c r="J35" s="1055">
        <f ca="1"/>
        <v>370.21590760000004</v>
      </c>
      <c r="K35" s="1055">
        <f ca="1"/>
        <v>439.63139027500006</v>
      </c>
      <c r="L35" s="1055">
        <f ca="1"/>
        <v>462.7698845000001</v>
      </c>
      <c r="M35" s="1055">
        <f ca="1"/>
        <v>555.32386140000006</v>
      </c>
      <c r="N35" s="2101">
        <f t="shared" ref="N35:N42" ca="1" si="4">SUM(B35:M35)</f>
        <v>5113.607223725</v>
      </c>
      <c r="O35" s="550"/>
    </row>
    <row r="36" spans="1:19" ht="14.25">
      <c r="A36" s="2102" t="str">
        <v/>
      </c>
      <c r="B36" s="1055">
        <f ca="1"/>
        <v>0</v>
      </c>
      <c r="C36" s="1055">
        <f ca="1"/>
        <v>0</v>
      </c>
      <c r="D36" s="1055">
        <f ca="1"/>
        <v>0</v>
      </c>
      <c r="E36" s="1055">
        <f ca="1"/>
        <v>0</v>
      </c>
      <c r="F36" s="1055">
        <f ca="1"/>
        <v>0</v>
      </c>
      <c r="G36" s="1055">
        <f ca="1"/>
        <v>0</v>
      </c>
      <c r="H36" s="1055">
        <f ca="1"/>
        <v>0</v>
      </c>
      <c r="I36" s="1055">
        <f ca="1"/>
        <v>0</v>
      </c>
      <c r="J36" s="1055">
        <f ca="1"/>
        <v>0</v>
      </c>
      <c r="K36" s="1055">
        <f ca="1"/>
        <v>0</v>
      </c>
      <c r="L36" s="1055">
        <f ca="1"/>
        <v>0</v>
      </c>
      <c r="M36" s="1055">
        <f ca="1"/>
        <v>0</v>
      </c>
      <c r="N36" s="2101">
        <f t="shared" ca="1" si="4"/>
        <v>0</v>
      </c>
      <c r="O36" s="550"/>
    </row>
    <row r="37" spans="1:19" ht="14.25">
      <c r="A37" s="2102" t="str">
        <v/>
      </c>
      <c r="B37" s="1055">
        <f ca="1"/>
        <v>0</v>
      </c>
      <c r="C37" s="1055">
        <f ca="1"/>
        <v>0</v>
      </c>
      <c r="D37" s="1055">
        <f ca="1"/>
        <v>0</v>
      </c>
      <c r="E37" s="1055">
        <f ca="1"/>
        <v>0</v>
      </c>
      <c r="F37" s="1055">
        <f ca="1"/>
        <v>0</v>
      </c>
      <c r="G37" s="1055">
        <f ca="1"/>
        <v>0</v>
      </c>
      <c r="H37" s="1055">
        <f ca="1"/>
        <v>0</v>
      </c>
      <c r="I37" s="1055">
        <f ca="1"/>
        <v>0</v>
      </c>
      <c r="J37" s="1055">
        <f ca="1"/>
        <v>0</v>
      </c>
      <c r="K37" s="1055">
        <f ca="1"/>
        <v>0</v>
      </c>
      <c r="L37" s="1055">
        <f ca="1"/>
        <v>0</v>
      </c>
      <c r="M37" s="1055">
        <f ca="1"/>
        <v>0</v>
      </c>
      <c r="N37" s="2101">
        <f t="shared" ca="1" si="4"/>
        <v>0</v>
      </c>
      <c r="O37" s="550"/>
    </row>
    <row r="38" spans="1:19" ht="14.25">
      <c r="A38" s="2102" t="str">
        <v/>
      </c>
      <c r="B38" s="1055">
        <f ca="1"/>
        <v>0</v>
      </c>
      <c r="C38" s="1055">
        <f ca="1"/>
        <v>0</v>
      </c>
      <c r="D38" s="1055">
        <f ca="1"/>
        <v>0</v>
      </c>
      <c r="E38" s="1055">
        <f ca="1"/>
        <v>0</v>
      </c>
      <c r="F38" s="1055">
        <f ca="1"/>
        <v>0</v>
      </c>
      <c r="G38" s="1055">
        <f ca="1"/>
        <v>0</v>
      </c>
      <c r="H38" s="1055">
        <f ca="1"/>
        <v>0</v>
      </c>
      <c r="I38" s="1055">
        <f ca="1"/>
        <v>0</v>
      </c>
      <c r="J38" s="1055">
        <f ca="1"/>
        <v>0</v>
      </c>
      <c r="K38" s="1055">
        <f ca="1"/>
        <v>0</v>
      </c>
      <c r="L38" s="1055">
        <f ca="1"/>
        <v>0</v>
      </c>
      <c r="M38" s="1055">
        <f ca="1"/>
        <v>0</v>
      </c>
      <c r="N38" s="2101">
        <f t="shared" ca="1" si="4"/>
        <v>0</v>
      </c>
      <c r="O38" s="550"/>
    </row>
    <row r="39" spans="1:19" ht="14.25">
      <c r="A39" s="2102" t="str">
        <v/>
      </c>
      <c r="B39" s="1055">
        <f ca="1"/>
        <v>0</v>
      </c>
      <c r="C39" s="1055">
        <f ca="1"/>
        <v>0</v>
      </c>
      <c r="D39" s="1055">
        <f ca="1"/>
        <v>0</v>
      </c>
      <c r="E39" s="1055">
        <f ca="1"/>
        <v>0</v>
      </c>
      <c r="F39" s="1055">
        <f ca="1"/>
        <v>0</v>
      </c>
      <c r="G39" s="1055">
        <f ca="1"/>
        <v>0</v>
      </c>
      <c r="H39" s="1055">
        <f ca="1"/>
        <v>0</v>
      </c>
      <c r="I39" s="1055">
        <f ca="1"/>
        <v>0</v>
      </c>
      <c r="J39" s="1055">
        <f ca="1"/>
        <v>0</v>
      </c>
      <c r="K39" s="1055">
        <f ca="1"/>
        <v>0</v>
      </c>
      <c r="L39" s="1055">
        <f ca="1"/>
        <v>0</v>
      </c>
      <c r="M39" s="1055">
        <f ca="1"/>
        <v>0</v>
      </c>
      <c r="N39" s="2101">
        <f t="shared" ca="1" si="4"/>
        <v>0</v>
      </c>
      <c r="O39" s="550"/>
    </row>
    <row r="40" spans="1:19" ht="14.25">
      <c r="A40" s="2102" t="str">
        <v/>
      </c>
      <c r="B40" s="1055">
        <f ca="1"/>
        <v>0</v>
      </c>
      <c r="C40" s="1055">
        <f ca="1"/>
        <v>0</v>
      </c>
      <c r="D40" s="1055">
        <f ca="1"/>
        <v>0</v>
      </c>
      <c r="E40" s="1055">
        <f ca="1"/>
        <v>0</v>
      </c>
      <c r="F40" s="1055">
        <f ca="1"/>
        <v>0</v>
      </c>
      <c r="G40" s="1055">
        <f ca="1"/>
        <v>0</v>
      </c>
      <c r="H40" s="1055">
        <f ca="1"/>
        <v>0</v>
      </c>
      <c r="I40" s="1055">
        <f ca="1"/>
        <v>0</v>
      </c>
      <c r="J40" s="1055">
        <f ca="1"/>
        <v>0</v>
      </c>
      <c r="K40" s="1055">
        <f ca="1"/>
        <v>0</v>
      </c>
      <c r="L40" s="1055">
        <f ca="1"/>
        <v>0</v>
      </c>
      <c r="M40" s="1055">
        <f ca="1"/>
        <v>0</v>
      </c>
      <c r="N40" s="2101">
        <f t="shared" ca="1" si="4"/>
        <v>0</v>
      </c>
      <c r="O40" s="550"/>
    </row>
    <row r="41" spans="1:19" ht="14.25">
      <c r="A41" s="2102" t="str">
        <v/>
      </c>
      <c r="B41" s="1055">
        <f ca="1"/>
        <v>0</v>
      </c>
      <c r="C41" s="1055">
        <f ca="1"/>
        <v>0</v>
      </c>
      <c r="D41" s="1055">
        <f ca="1"/>
        <v>0</v>
      </c>
      <c r="E41" s="1055">
        <f ca="1"/>
        <v>0</v>
      </c>
      <c r="F41" s="1055">
        <f ca="1"/>
        <v>0</v>
      </c>
      <c r="G41" s="1055">
        <f ca="1"/>
        <v>0</v>
      </c>
      <c r="H41" s="1055">
        <f ca="1"/>
        <v>0</v>
      </c>
      <c r="I41" s="1055">
        <f ca="1"/>
        <v>0</v>
      </c>
      <c r="J41" s="1055">
        <f ca="1"/>
        <v>0</v>
      </c>
      <c r="K41" s="1055">
        <f ca="1"/>
        <v>0</v>
      </c>
      <c r="L41" s="1055">
        <f ca="1"/>
        <v>0</v>
      </c>
      <c r="M41" s="1055">
        <f ca="1"/>
        <v>0</v>
      </c>
      <c r="N41" s="2101">
        <f t="shared" ca="1" si="4"/>
        <v>0</v>
      </c>
      <c r="O41" s="550"/>
    </row>
    <row r="42" spans="1:19" ht="15" thickBot="1">
      <c r="A42" s="2103" t="str">
        <v/>
      </c>
      <c r="B42" s="1056">
        <f ca="1"/>
        <v>0</v>
      </c>
      <c r="C42" s="1056">
        <f ca="1"/>
        <v>0</v>
      </c>
      <c r="D42" s="1056">
        <f ca="1"/>
        <v>0</v>
      </c>
      <c r="E42" s="1056">
        <f ca="1"/>
        <v>0</v>
      </c>
      <c r="F42" s="1056">
        <f ca="1"/>
        <v>0</v>
      </c>
      <c r="G42" s="1056">
        <f ca="1"/>
        <v>0</v>
      </c>
      <c r="H42" s="1056">
        <f ca="1"/>
        <v>0</v>
      </c>
      <c r="I42" s="1056">
        <f ca="1"/>
        <v>0</v>
      </c>
      <c r="J42" s="1056">
        <f ca="1"/>
        <v>0</v>
      </c>
      <c r="K42" s="1056">
        <f ca="1"/>
        <v>0</v>
      </c>
      <c r="L42" s="1056">
        <f ca="1"/>
        <v>0</v>
      </c>
      <c r="M42" s="1056">
        <f ca="1"/>
        <v>0</v>
      </c>
      <c r="N42" s="2101">
        <f t="shared" ca="1" si="4"/>
        <v>0</v>
      </c>
      <c r="O42" s="550"/>
    </row>
    <row r="43" spans="1:19" ht="15.75" thickBot="1">
      <c r="A43" s="167" t="s">
        <v>11</v>
      </c>
      <c r="B43" s="2718">
        <f t="shared" ref="B43:N43" ca="1" si="5">SUM(B35:B42)</f>
        <v>370.21590760000004</v>
      </c>
      <c r="C43" s="2718">
        <f t="shared" ca="1" si="5"/>
        <v>462.7698845000001</v>
      </c>
      <c r="D43" s="2718">
        <f t="shared" ca="1" si="5"/>
        <v>509.04687295000008</v>
      </c>
      <c r="E43" s="2718">
        <f t="shared" ca="1" si="5"/>
        <v>485.90837872499992</v>
      </c>
      <c r="F43" s="2718">
        <f t="shared" ca="1" si="5"/>
        <v>416.49289605000007</v>
      </c>
      <c r="G43" s="2718">
        <f t="shared" ca="1" si="5"/>
        <v>393.35440182500002</v>
      </c>
      <c r="H43" s="2718">
        <f t="shared" ca="1" si="5"/>
        <v>370.21590760000004</v>
      </c>
      <c r="I43" s="2718">
        <f t="shared" ca="1" si="5"/>
        <v>277.66193070000003</v>
      </c>
      <c r="J43" s="2718">
        <f t="shared" ca="1" si="5"/>
        <v>370.21590760000004</v>
      </c>
      <c r="K43" s="2718">
        <f t="shared" ca="1" si="5"/>
        <v>439.63139027500006</v>
      </c>
      <c r="L43" s="2718">
        <f t="shared" ca="1" si="5"/>
        <v>462.7698845000001</v>
      </c>
      <c r="M43" s="2718">
        <f t="shared" ca="1" si="5"/>
        <v>555.32386140000006</v>
      </c>
      <c r="N43" s="2718">
        <f t="shared" ca="1" si="5"/>
        <v>5113.607223725</v>
      </c>
      <c r="O43" s="550"/>
    </row>
    <row r="44" spans="1:19">
      <c r="C44" s="550"/>
      <c r="D44" s="550"/>
      <c r="E44" s="550"/>
      <c r="F44" s="550"/>
      <c r="G44" s="550"/>
      <c r="H44" s="550"/>
      <c r="I44" s="550"/>
      <c r="J44" s="550"/>
      <c r="K44" s="550"/>
      <c r="L44" s="550"/>
      <c r="M44" s="550"/>
      <c r="N44" s="550"/>
      <c r="O44" s="550"/>
      <c r="P44" s="550"/>
    </row>
    <row r="45" spans="1:19" s="326" customFormat="1" ht="22.5">
      <c r="A45" s="326" t="str">
        <f>'Cobros y pagos 0'!A45</f>
        <v>Pagos de compras y gastos variables (IVA incl.)</v>
      </c>
      <c r="B45" s="165"/>
      <c r="G45" s="165"/>
      <c r="H45" s="165"/>
    </row>
    <row r="46" spans="1:19" ht="15" thickBot="1">
      <c r="A46" s="550"/>
      <c r="B46" s="1054"/>
      <c r="C46" s="550"/>
      <c r="D46" s="550"/>
      <c r="E46" s="550"/>
      <c r="F46" s="550"/>
      <c r="G46" s="550"/>
      <c r="H46" s="550"/>
      <c r="I46" s="550"/>
      <c r="J46" s="550"/>
      <c r="K46" s="550"/>
      <c r="L46" s="550"/>
      <c r="M46" s="550"/>
      <c r="N46" s="550"/>
      <c r="O46" s="550"/>
      <c r="P46" s="1057" t="str">
        <f>'Cobros y pagos 0'!P46</f>
        <v>Pendiente para el año siguiente:</v>
      </c>
      <c r="Q46" s="1058" t="str">
        <f>Q18</f>
        <v>2031</v>
      </c>
    </row>
    <row r="47" spans="1:19" ht="27.75" customHeight="1" thickBot="1">
      <c r="A47" s="167" t="str">
        <f t="array" ref="A47:A54">'Cobros y pagos 0'!A47:A54</f>
        <v>Plazos de pago</v>
      </c>
      <c r="B47" s="2096" t="str">
        <f t="array" ref="B47:S47">B$19:S$19</f>
        <v>enero 
2030</v>
      </c>
      <c r="C47" s="2096" t="str">
        <v>febrero 
2030</v>
      </c>
      <c r="D47" s="2096" t="str">
        <v>marzo 
2030</v>
      </c>
      <c r="E47" s="2096" t="str">
        <v>abril 
2030</v>
      </c>
      <c r="F47" s="2096" t="str">
        <v>mayo 
2030</v>
      </c>
      <c r="G47" s="2096" t="str">
        <v>junio 
2030</v>
      </c>
      <c r="H47" s="2096" t="str">
        <v>julio 
2030</v>
      </c>
      <c r="I47" s="2096" t="str">
        <v>agosto 
2030</v>
      </c>
      <c r="J47" s="2096" t="str">
        <v>septiembre 
2030</v>
      </c>
      <c r="K47" s="2096" t="str">
        <v>octubre 
2030</v>
      </c>
      <c r="L47" s="2096" t="str">
        <v>noviembre 
2030</v>
      </c>
      <c r="M47" s="2096" t="str">
        <v>diciembre 
2030</v>
      </c>
      <c r="N47" s="2096" t="str">
        <v>enero 
2031</v>
      </c>
      <c r="O47" s="2096" t="str">
        <v>febrero 
2031</v>
      </c>
      <c r="P47" s="2096" t="str">
        <v>marzo 
2031</v>
      </c>
      <c r="Q47" s="2096" t="str">
        <v>abril 
2031</v>
      </c>
      <c r="R47" s="2096" t="str">
        <v>mayo 
2031</v>
      </c>
      <c r="S47" s="2096" t="str">
        <v>junio 
2031</v>
      </c>
    </row>
    <row r="48" spans="1:19" ht="14.25">
      <c r="A48" s="2097" t="str">
        <v>Contado</v>
      </c>
      <c r="B48" s="1055">
        <f t="array" aca="1" ref="B48" ca="1">SUM('Politicas Cobros y Pagos'!$B$88:$B$95*B$35:B$42)</f>
        <v>370.21590760000004</v>
      </c>
      <c r="C48" s="1055">
        <f t="array" aca="1" ref="C48" ca="1">SUM('Politicas Cobros y Pagos'!$B$88:$B$95*C$35:C$42)</f>
        <v>462.7698845000001</v>
      </c>
      <c r="D48" s="1055">
        <f t="array" aca="1" ref="D48" ca="1">SUM('Politicas Cobros y Pagos'!$B$88:$B$95*D$35:D$42)</f>
        <v>509.04687295000008</v>
      </c>
      <c r="E48" s="1055">
        <f t="array" aca="1" ref="E48" ca="1">SUM('Politicas Cobros y Pagos'!$B$88:$B$95*E$35:E$42)</f>
        <v>485.90837872499992</v>
      </c>
      <c r="F48" s="1055">
        <f t="array" aca="1" ref="F48" ca="1">SUM('Politicas Cobros y Pagos'!$B$88:$B$95*F$35:F$42)</f>
        <v>416.49289605000007</v>
      </c>
      <c r="G48" s="1055">
        <f t="array" aca="1" ref="G48" ca="1">SUM('Politicas Cobros y Pagos'!$B$88:$B$95*G$35:G$42)</f>
        <v>393.35440182500002</v>
      </c>
      <c r="H48" s="1055">
        <f t="array" aca="1" ref="H48" ca="1">SUM('Politicas Cobros y Pagos'!$B$88:$B$95*H$35:H$42)</f>
        <v>370.21590760000004</v>
      </c>
      <c r="I48" s="1055">
        <f t="array" aca="1" ref="I48" ca="1">SUM('Politicas Cobros y Pagos'!$B$88:$B$95*I$35:I$42)</f>
        <v>277.66193070000003</v>
      </c>
      <c r="J48" s="1055">
        <f t="array" aca="1" ref="J48" ca="1">SUM('Politicas Cobros y Pagos'!$B$88:$B$95*J$35:J$42)</f>
        <v>370.21590760000004</v>
      </c>
      <c r="K48" s="1055">
        <f t="array" aca="1" ref="K48" ca="1">SUM('Politicas Cobros y Pagos'!$B$88:$B$95*K$35:K$42)</f>
        <v>439.63139027500006</v>
      </c>
      <c r="L48" s="1055">
        <f t="array" aca="1" ref="L48" ca="1">SUM('Politicas Cobros y Pagos'!$B$88:$B$95*L$35:L$42)</f>
        <v>462.7698845000001</v>
      </c>
      <c r="M48" s="1055">
        <f t="array" aca="1" ref="M48" ca="1">SUM('Politicas Cobros y Pagos'!$B$88:$B$95*M$35:M$42)</f>
        <v>555.32386140000006</v>
      </c>
      <c r="N48" s="1055"/>
      <c r="O48" s="1055"/>
      <c r="P48" s="1055"/>
      <c r="Q48" s="1055"/>
      <c r="R48" s="1055"/>
      <c r="S48" s="1055"/>
    </row>
    <row r="49" spans="1:19" ht="14.25">
      <c r="A49" s="2098">
        <v>30</v>
      </c>
      <c r="B49" s="1067">
        <f t="array" aca="1" ref="B49:B54" ca="1">'Cobros y pagos 3'!N49:N54</f>
        <v>0</v>
      </c>
      <c r="C49" s="1055">
        <f t="array" aca="1" ref="C49" ca="1">SUM('Politicas Cobros y Pagos'!$C$88:$C$95*B$35:B$42)</f>
        <v>0</v>
      </c>
      <c r="D49" s="1055">
        <f t="array" aca="1" ref="D49" ca="1">SUM('Politicas Cobros y Pagos'!$C$88:$C$95*C$35:C$42)</f>
        <v>0</v>
      </c>
      <c r="E49" s="1055">
        <f t="array" aca="1" ref="E49" ca="1">SUM('Politicas Cobros y Pagos'!$C$88:$C$95*D$35:D$42)</f>
        <v>0</v>
      </c>
      <c r="F49" s="1055">
        <f t="array" aca="1" ref="F49" ca="1">SUM('Politicas Cobros y Pagos'!$C$88:$C$95*E$35:E$42)</f>
        <v>0</v>
      </c>
      <c r="G49" s="1055">
        <f t="array" aca="1" ref="G49" ca="1">SUM('Politicas Cobros y Pagos'!$C$88:$C$95*F$35:F$42)</f>
        <v>0</v>
      </c>
      <c r="H49" s="1055">
        <f t="array" aca="1" ref="H49" ca="1">SUM('Politicas Cobros y Pagos'!$C$88:$C$95*G$35:G$42)</f>
        <v>0</v>
      </c>
      <c r="I49" s="1055">
        <f t="array" aca="1" ref="I49" ca="1">SUM('Politicas Cobros y Pagos'!$C$88:$C$95*H$35:H$42)</f>
        <v>0</v>
      </c>
      <c r="J49" s="1055">
        <f t="array" aca="1" ref="J49" ca="1">SUM('Politicas Cobros y Pagos'!$C$88:$C$95*I$35:I$42)</f>
        <v>0</v>
      </c>
      <c r="K49" s="1055">
        <f t="array" aca="1" ref="K49" ca="1">SUM('Politicas Cobros y Pagos'!$C$88:$C$95*J$35:J$42)</f>
        <v>0</v>
      </c>
      <c r="L49" s="1055">
        <f t="array" aca="1" ref="L49" ca="1">SUM('Politicas Cobros y Pagos'!$C$88:$C$95*K$35:K$42)</f>
        <v>0</v>
      </c>
      <c r="M49" s="1055">
        <f t="array" aca="1" ref="M49" ca="1">SUM('Politicas Cobros y Pagos'!$C$88:$C$95*L$35:L$42)</f>
        <v>0</v>
      </c>
      <c r="N49" s="1055">
        <f t="array" aca="1" ref="N49" ca="1">SUM('Politicas Cobros y Pagos'!$C$88:$C$95*M$35:M$42)</f>
        <v>0</v>
      </c>
      <c r="O49" s="1055"/>
      <c r="P49" s="1055"/>
      <c r="Q49" s="1055"/>
      <c r="R49" s="1055"/>
      <c r="S49" s="1055"/>
    </row>
    <row r="50" spans="1:19" ht="14.25">
      <c r="A50" s="2098">
        <v>60</v>
      </c>
      <c r="B50" s="1067">
        <f ca="1"/>
        <v>0</v>
      </c>
      <c r="C50" s="1067">
        <f t="array" aca="1" ref="C50:C54" ca="1">'Cobros y pagos 3'!O50:O54</f>
        <v>0</v>
      </c>
      <c r="D50" s="1055">
        <f t="array" aca="1" ref="D50" ca="1">SUM('Politicas Cobros y Pagos'!$D$88:$D$95*B$35:B$42)</f>
        <v>0</v>
      </c>
      <c r="E50" s="1055">
        <f t="array" aca="1" ref="E50" ca="1">SUM('Politicas Cobros y Pagos'!$D$88:$D$95*C$35:C$42)</f>
        <v>0</v>
      </c>
      <c r="F50" s="1055">
        <f t="array" aca="1" ref="F50" ca="1">SUM('Politicas Cobros y Pagos'!$D$88:$D$95*D$35:D$42)</f>
        <v>0</v>
      </c>
      <c r="G50" s="1055">
        <f t="array" aca="1" ref="G50" ca="1">SUM('Politicas Cobros y Pagos'!$D$88:$D$95*E$35:E$42)</f>
        <v>0</v>
      </c>
      <c r="H50" s="1055">
        <f t="array" aca="1" ref="H50" ca="1">SUM('Politicas Cobros y Pagos'!$D$88:$D$95*F$35:F$42)</f>
        <v>0</v>
      </c>
      <c r="I50" s="1055">
        <f t="array" aca="1" ref="I50" ca="1">SUM('Politicas Cobros y Pagos'!$D$88:$D$95*G$35:G$42)</f>
        <v>0</v>
      </c>
      <c r="J50" s="1055">
        <f t="array" aca="1" ref="J50" ca="1">SUM('Politicas Cobros y Pagos'!$D$88:$D$95*H$35:H$42)</f>
        <v>0</v>
      </c>
      <c r="K50" s="1055">
        <f t="array" aca="1" ref="K50" ca="1">SUM('Politicas Cobros y Pagos'!$D$88:$D$95*I$35:I$42)</f>
        <v>0</v>
      </c>
      <c r="L50" s="1055">
        <f t="array" aca="1" ref="L50" ca="1">SUM('Politicas Cobros y Pagos'!$D$88:$D$95*J$35:J$42)</f>
        <v>0</v>
      </c>
      <c r="M50" s="1055">
        <f t="array" aca="1" ref="M50" ca="1">SUM('Politicas Cobros y Pagos'!$D$88:$D$95*K$35:K$42)</f>
        <v>0</v>
      </c>
      <c r="N50" s="1055">
        <f t="array" aca="1" ref="N50" ca="1">SUM('Politicas Cobros y Pagos'!$D$88:$D$95*L$35:L$42)</f>
        <v>0</v>
      </c>
      <c r="O50" s="1055">
        <f t="array" aca="1" ref="O50" ca="1">SUM('Politicas Cobros y Pagos'!$D$88:$D$95*M$35:M$42)</f>
        <v>0</v>
      </c>
      <c r="P50" s="1055"/>
      <c r="Q50" s="1055"/>
      <c r="R50" s="1055"/>
      <c r="S50" s="1055"/>
    </row>
    <row r="51" spans="1:19" ht="14.25">
      <c r="A51" s="2098">
        <v>90</v>
      </c>
      <c r="B51" s="1067">
        <f ca="1"/>
        <v>0</v>
      </c>
      <c r="C51" s="1067">
        <f ca="1"/>
        <v>0</v>
      </c>
      <c r="D51" s="1067">
        <f t="array" aca="1" ref="D51:D54" ca="1">'Cobros y pagos 3'!P51:P54</f>
        <v>0</v>
      </c>
      <c r="E51" s="1055">
        <f t="array" aca="1" ref="E51" ca="1">SUM('Politicas Cobros y Pagos'!$E$88:$E$95*B$35:B$42)</f>
        <v>0</v>
      </c>
      <c r="F51" s="1055">
        <f t="array" aca="1" ref="F51" ca="1">SUM('Politicas Cobros y Pagos'!$E$88:$E$95*C$35:C$42)</f>
        <v>0</v>
      </c>
      <c r="G51" s="1055">
        <f t="array" aca="1" ref="G51" ca="1">SUM('Politicas Cobros y Pagos'!$E$88:$E$95*D$35:D$42)</f>
        <v>0</v>
      </c>
      <c r="H51" s="1055">
        <f t="array" aca="1" ref="H51" ca="1">SUM('Politicas Cobros y Pagos'!$E$88:$E$95*E$35:E$42)</f>
        <v>0</v>
      </c>
      <c r="I51" s="1055">
        <f t="array" aca="1" ref="I51" ca="1">SUM('Politicas Cobros y Pagos'!$E$88:$E$95*F$35:F$42)</f>
        <v>0</v>
      </c>
      <c r="J51" s="1055">
        <f t="array" aca="1" ref="J51" ca="1">SUM('Politicas Cobros y Pagos'!$E$88:$E$95*G$35:G$42)</f>
        <v>0</v>
      </c>
      <c r="K51" s="1055">
        <f t="array" aca="1" ref="K51" ca="1">SUM('Politicas Cobros y Pagos'!$E$88:$E$95*H$35:H$42)</f>
        <v>0</v>
      </c>
      <c r="L51" s="1055">
        <f t="array" aca="1" ref="L51" ca="1">SUM('Politicas Cobros y Pagos'!$E$88:$E$95*I$35:I$42)</f>
        <v>0</v>
      </c>
      <c r="M51" s="1055">
        <f t="array" aca="1" ref="M51" ca="1">SUM('Politicas Cobros y Pagos'!$E$88:$E$95*J$35:J$42)</f>
        <v>0</v>
      </c>
      <c r="N51" s="1055">
        <f t="array" aca="1" ref="N51" ca="1">SUM('Politicas Cobros y Pagos'!$E$88:$E$95*K$35:K$42)</f>
        <v>0</v>
      </c>
      <c r="O51" s="1055">
        <f t="array" aca="1" ref="O51" ca="1">SUM('Politicas Cobros y Pagos'!$E$88:$E$95*L$35:L$42)</f>
        <v>0</v>
      </c>
      <c r="P51" s="1055">
        <f t="array" aca="1" ref="P51" ca="1">SUM('Politicas Cobros y Pagos'!$E$88:$E$95*M$35:M$42)</f>
        <v>0</v>
      </c>
      <c r="Q51" s="1055"/>
      <c r="R51" s="1055"/>
      <c r="S51" s="1055"/>
    </row>
    <row r="52" spans="1:19" ht="14.25">
      <c r="A52" s="2098">
        <v>120</v>
      </c>
      <c r="B52" s="1067">
        <f ca="1"/>
        <v>0</v>
      </c>
      <c r="C52" s="1067">
        <f ca="1"/>
        <v>0</v>
      </c>
      <c r="D52" s="1067">
        <f ca="1"/>
        <v>0</v>
      </c>
      <c r="E52" s="1067">
        <f t="array" aca="1" ref="E52:E54" ca="1">'Cobros y pagos 3'!Q52:Q54</f>
        <v>0</v>
      </c>
      <c r="F52" s="1055">
        <f t="array" aca="1" ref="F52" ca="1">SUM('Politicas Cobros y Pagos'!$F$88:$F$95*B$35:B$42)</f>
        <v>0</v>
      </c>
      <c r="G52" s="1055">
        <f t="array" aca="1" ref="G52" ca="1">SUM('Politicas Cobros y Pagos'!$F$88:$F$95*C$35:C$42)</f>
        <v>0</v>
      </c>
      <c r="H52" s="1055">
        <f t="array" aca="1" ref="H52" ca="1">SUM('Politicas Cobros y Pagos'!$F$88:$F$95*D$35:D$42)</f>
        <v>0</v>
      </c>
      <c r="I52" s="1055">
        <f t="array" aca="1" ref="I52" ca="1">SUM('Politicas Cobros y Pagos'!$F$88:$F$95*E$35:E$42)</f>
        <v>0</v>
      </c>
      <c r="J52" s="1055">
        <f t="array" aca="1" ref="J52" ca="1">SUM('Politicas Cobros y Pagos'!$F$88:$F$95*F$35:F$42)</f>
        <v>0</v>
      </c>
      <c r="K52" s="1055">
        <f t="array" aca="1" ref="K52" ca="1">SUM('Politicas Cobros y Pagos'!$F$88:$F$95*G$35:G$42)</f>
        <v>0</v>
      </c>
      <c r="L52" s="1055">
        <f t="array" aca="1" ref="L52" ca="1">SUM('Politicas Cobros y Pagos'!$F$88:$F$95*H$35:H$42)</f>
        <v>0</v>
      </c>
      <c r="M52" s="1055">
        <f t="array" aca="1" ref="M52" ca="1">SUM('Politicas Cobros y Pagos'!$F$88:$F$95*I$35:I$42)</f>
        <v>0</v>
      </c>
      <c r="N52" s="1055">
        <f t="array" aca="1" ref="N52" ca="1">SUM('Politicas Cobros y Pagos'!$F$88:$F$95*J$35:J$42)</f>
        <v>0</v>
      </c>
      <c r="O52" s="1055">
        <f t="array" aca="1" ref="O52" ca="1">SUM('Politicas Cobros y Pagos'!$F$88:$F$95*K$35:K$42)</f>
        <v>0</v>
      </c>
      <c r="P52" s="1055">
        <f t="array" aca="1" ref="P52" ca="1">SUM('Politicas Cobros y Pagos'!$F$88:$F$95*L$35:L$42)</f>
        <v>0</v>
      </c>
      <c r="Q52" s="1055">
        <f t="array" aca="1" ref="Q52" ca="1">SUM('Politicas Cobros y Pagos'!$F$88:$F$95*M$35:M$42)</f>
        <v>0</v>
      </c>
      <c r="R52" s="1055"/>
      <c r="S52" s="1055"/>
    </row>
    <row r="53" spans="1:19" ht="14.25">
      <c r="A53" s="2098">
        <v>150</v>
      </c>
      <c r="B53" s="1067">
        <f ca="1"/>
        <v>0</v>
      </c>
      <c r="C53" s="1067">
        <f ca="1"/>
        <v>0</v>
      </c>
      <c r="D53" s="1067">
        <f ca="1"/>
        <v>0</v>
      </c>
      <c r="E53" s="1067">
        <f ca="1"/>
        <v>0</v>
      </c>
      <c r="F53" s="1067">
        <f t="array" aca="1" ref="F53:F54" ca="1">'Cobros y pagos 3'!R53:R54</f>
        <v>0</v>
      </c>
      <c r="G53" s="1055">
        <f t="array" aca="1" ref="G53" ca="1">SUM('Politicas Cobros y Pagos'!$G$88:$G$95*B$35:B$42)</f>
        <v>0</v>
      </c>
      <c r="H53" s="1055">
        <f t="array" aca="1" ref="H53" ca="1">SUM('Politicas Cobros y Pagos'!$G$88:$G$95*C$35:C$42)</f>
        <v>0</v>
      </c>
      <c r="I53" s="1055">
        <f t="array" aca="1" ref="I53" ca="1">SUM('Politicas Cobros y Pagos'!$G$88:$G$95*D$35:D$42)</f>
        <v>0</v>
      </c>
      <c r="J53" s="1055">
        <f t="array" aca="1" ref="J53" ca="1">SUM('Politicas Cobros y Pagos'!$G$88:$G$95*E$35:E$42)</f>
        <v>0</v>
      </c>
      <c r="K53" s="1055">
        <f t="array" aca="1" ref="K53" ca="1">SUM('Politicas Cobros y Pagos'!$G$88:$G$95*F$35:F$42)</f>
        <v>0</v>
      </c>
      <c r="L53" s="1055">
        <f t="array" aca="1" ref="L53" ca="1">SUM('Politicas Cobros y Pagos'!$G$88:$G$95*G$35:G$42)</f>
        <v>0</v>
      </c>
      <c r="M53" s="1055">
        <f t="array" aca="1" ref="M53" ca="1">SUM('Politicas Cobros y Pagos'!$G$88:$G$95*H$35:H$42)</f>
        <v>0</v>
      </c>
      <c r="N53" s="1055">
        <f t="array" aca="1" ref="N53" ca="1">SUM('Politicas Cobros y Pagos'!$G$88:$G$95*I$35:I$42)</f>
        <v>0</v>
      </c>
      <c r="O53" s="1055">
        <f t="array" aca="1" ref="O53" ca="1">SUM('Politicas Cobros y Pagos'!$G$88:$G$95*J$35:J$42)</f>
        <v>0</v>
      </c>
      <c r="P53" s="1055">
        <f t="array" aca="1" ref="P53" ca="1">SUM('Politicas Cobros y Pagos'!$G$88:$G$95*K$35:K$42)</f>
        <v>0</v>
      </c>
      <c r="Q53" s="1055">
        <f t="array" aca="1" ref="Q53" ca="1">SUM('Politicas Cobros y Pagos'!$G$88:$G$95*L$35:L$42)</f>
        <v>0</v>
      </c>
      <c r="R53" s="1055">
        <f t="array" aca="1" ref="R53" ca="1">SUM('Politicas Cobros y Pagos'!$G$88:$G$95*M$35:M$42)</f>
        <v>0</v>
      </c>
      <c r="S53" s="1055"/>
    </row>
    <row r="54" spans="1:19" ht="14.25">
      <c r="A54" s="2098">
        <v>180</v>
      </c>
      <c r="B54" s="1067">
        <f ca="1"/>
        <v>0</v>
      </c>
      <c r="C54" s="1067">
        <f ca="1"/>
        <v>0</v>
      </c>
      <c r="D54" s="1067">
        <f ca="1"/>
        <v>0</v>
      </c>
      <c r="E54" s="1067">
        <f ca="1"/>
        <v>0</v>
      </c>
      <c r="F54" s="1067">
        <f ca="1"/>
        <v>0</v>
      </c>
      <c r="G54" s="1067">
        <f ca="1">'Cobros y pagos 3'!S54</f>
        <v>0</v>
      </c>
      <c r="H54" s="1055">
        <f t="array" aca="1" ref="H54" ca="1">SUM('Politicas Cobros y Pagos'!$H$88:$H$95*B$35:B$42)</f>
        <v>0</v>
      </c>
      <c r="I54" s="1055">
        <f t="array" aca="1" ref="I54" ca="1">SUM('Politicas Cobros y Pagos'!$H$88:$H$95*C$35:C$42)</f>
        <v>0</v>
      </c>
      <c r="J54" s="1055">
        <f t="array" aca="1" ref="J54" ca="1">SUM('Politicas Cobros y Pagos'!$H$88:$H$95*D$35:D$42)</f>
        <v>0</v>
      </c>
      <c r="K54" s="1055">
        <f t="array" aca="1" ref="K54" ca="1">SUM('Politicas Cobros y Pagos'!$H$88:$H$95*E$35:E$42)</f>
        <v>0</v>
      </c>
      <c r="L54" s="1055">
        <f t="array" aca="1" ref="L54" ca="1">SUM('Politicas Cobros y Pagos'!$H$88:$H$95*F$35:F$42)</f>
        <v>0</v>
      </c>
      <c r="M54" s="1055">
        <f t="array" aca="1" ref="M54" ca="1">SUM('Politicas Cobros y Pagos'!$H$88:$H$95*G$35:G$42)</f>
        <v>0</v>
      </c>
      <c r="N54" s="1055">
        <f t="array" aca="1" ref="N54" ca="1">SUM('Politicas Cobros y Pagos'!$H$88:$H$95*H$35:H$42)</f>
        <v>0</v>
      </c>
      <c r="O54" s="1055">
        <f t="array" aca="1" ref="O54" ca="1">SUM('Politicas Cobros y Pagos'!$H$88:$H$95*I$35:I$42)</f>
        <v>0</v>
      </c>
      <c r="P54" s="1055">
        <f t="array" aca="1" ref="P54" ca="1">SUM('Politicas Cobros y Pagos'!$H$88:$H$95*J$35:J$42)</f>
        <v>0</v>
      </c>
      <c r="Q54" s="1055">
        <f t="array" aca="1" ref="Q54" ca="1">SUM('Politicas Cobros y Pagos'!$H$88:$H$95*K$35:K$42)</f>
        <v>0</v>
      </c>
      <c r="R54" s="1055">
        <f t="array" aca="1" ref="R54" ca="1">SUM('Politicas Cobros y Pagos'!$H$88:$H$95*L$35:L$42)</f>
        <v>0</v>
      </c>
      <c r="S54" s="1055">
        <f t="array" aca="1" ref="S54" ca="1">SUM('Politicas Cobros y Pagos'!$H$88:$H$95*M$35:M$42)</f>
        <v>0</v>
      </c>
    </row>
    <row r="55" spans="1:19" ht="15" thickBot="1">
      <c r="A55" s="2806" t="s">
        <v>11</v>
      </c>
      <c r="B55" s="2719">
        <f t="shared" ref="B55:S55" ca="1" si="6">SUM(B48:B54)</f>
        <v>370.21590760000004</v>
      </c>
      <c r="C55" s="2719">
        <f t="shared" ca="1" si="6"/>
        <v>462.7698845000001</v>
      </c>
      <c r="D55" s="2719">
        <f t="shared" ca="1" si="6"/>
        <v>509.04687295000008</v>
      </c>
      <c r="E55" s="2719">
        <f t="shared" ca="1" si="6"/>
        <v>485.90837872499992</v>
      </c>
      <c r="F55" s="2719">
        <f t="shared" ca="1" si="6"/>
        <v>416.49289605000007</v>
      </c>
      <c r="G55" s="2719">
        <f t="shared" ca="1" si="6"/>
        <v>393.35440182500002</v>
      </c>
      <c r="H55" s="2719">
        <f t="shared" ca="1" si="6"/>
        <v>370.21590760000004</v>
      </c>
      <c r="I55" s="2719">
        <f t="shared" ca="1" si="6"/>
        <v>277.66193070000003</v>
      </c>
      <c r="J55" s="2719">
        <f t="shared" ca="1" si="6"/>
        <v>370.21590760000004</v>
      </c>
      <c r="K55" s="2719">
        <f t="shared" ca="1" si="6"/>
        <v>439.63139027500006</v>
      </c>
      <c r="L55" s="2719">
        <f t="shared" ca="1" si="6"/>
        <v>462.7698845000001</v>
      </c>
      <c r="M55" s="2719">
        <f t="shared" ca="1" si="6"/>
        <v>555.32386140000006</v>
      </c>
      <c r="N55" s="2719">
        <f t="shared" ca="1" si="6"/>
        <v>0</v>
      </c>
      <c r="O55" s="2719">
        <f t="shared" ca="1" si="6"/>
        <v>0</v>
      </c>
      <c r="P55" s="2719">
        <f t="shared" ca="1" si="6"/>
        <v>0</v>
      </c>
      <c r="Q55" s="2719">
        <f t="shared" ca="1" si="6"/>
        <v>0</v>
      </c>
      <c r="R55" s="2719">
        <f t="shared" ca="1" si="6"/>
        <v>0</v>
      </c>
      <c r="S55" s="2719">
        <f t="shared" ca="1" si="6"/>
        <v>0</v>
      </c>
    </row>
    <row r="56" spans="1:19" ht="13.5" thickBot="1">
      <c r="A56" s="550"/>
      <c r="B56" s="1054"/>
      <c r="C56" s="543"/>
      <c r="D56" s="543"/>
      <c r="E56" s="543"/>
      <c r="F56" s="543"/>
      <c r="G56" s="543"/>
      <c r="H56" s="543"/>
      <c r="I56" s="543"/>
      <c r="J56" s="543"/>
      <c r="K56" s="543"/>
      <c r="L56" s="543"/>
      <c r="M56" s="543"/>
      <c r="N56" s="543"/>
      <c r="O56" s="550"/>
      <c r="P56" s="543"/>
    </row>
    <row r="57" spans="1:19" ht="13.5" thickBot="1">
      <c r="N57" s="1068"/>
      <c r="O57" s="1069"/>
      <c r="P57" s="1069"/>
      <c r="Q57" s="1069"/>
      <c r="R57" s="1078" t="str">
        <f>CONCATENATE("Pagos de compras y CV pendintes para el año ",Q46," (sin ",'Datos Básicos'!A28,")")</f>
        <v>Pagos de compras y CV pendintes para el año 2031 (sin IVA)</v>
      </c>
      <c r="S57" s="1079">
        <f ca="1">SUM(N55:S55)</f>
        <v>0</v>
      </c>
    </row>
  </sheetData>
  <sheetProtection sheet="1" objects="1" scenarios="1"/>
  <phoneticPr fontId="6" type="noConversion"/>
  <printOptions horizontalCentered="1" verticalCentered="1"/>
  <pageMargins left="0.39370078740157483" right="0.39370078740157483" top="0.31" bottom="0.3" header="0.31496062992125984" footer="0.31496062992125984"/>
  <pageSetup paperSize="9" scale="60" orientation="landscape" horizontalDpi="300" verticalDpi="300" r:id="rId1"/>
  <headerFooter alignWithMargins="0">
    <oddFooter>&amp;C&amp;"Tahoma,Normal"&amp;10&amp;A</oddFooter>
  </headerFooter>
  <rowBreaks count="1" manualBreakCount="1">
    <brk id="16" max="14" man="1"/>
  </rowBreaks>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282">
    <tabColor indexed="43"/>
    <pageSetUpPr fitToPage="1"/>
  </sheetPr>
  <dimension ref="A1:O49"/>
  <sheetViews>
    <sheetView workbookViewId="0"/>
  </sheetViews>
  <sheetFormatPr baseColWidth="10" defaultColWidth="11" defaultRowHeight="15"/>
  <cols>
    <col min="1" max="1" width="30.875" style="35" customWidth="1"/>
    <col min="2" max="2" width="13.5" style="35" customWidth="1"/>
    <col min="3" max="4" width="11" style="35"/>
    <col min="5" max="5" width="12.625" style="35" customWidth="1"/>
    <col min="6" max="6" width="14.125" style="35" bestFit="1" customWidth="1"/>
    <col min="7" max="7" width="11" style="35"/>
    <col min="8" max="8" width="12" style="35" customWidth="1"/>
    <col min="9" max="10" width="11" style="35"/>
    <col min="11" max="11" width="12" style="35" customWidth="1"/>
    <col min="12" max="13" width="11" style="35"/>
    <col min="14" max="14" width="11.75" style="35" bestFit="1" customWidth="1"/>
    <col min="15" max="16" width="8.625" style="35" customWidth="1"/>
    <col min="17" max="17" width="9.875" style="35" customWidth="1"/>
    <col min="18" max="19" width="8.625" style="35" customWidth="1"/>
    <col min="20" max="16384" width="11" style="35"/>
  </cols>
  <sheetData>
    <row r="1" spans="1:14" s="98" customFormat="1" ht="22.5">
      <c r="A1" s="67" t="s">
        <v>186</v>
      </c>
      <c r="H1" s="1093" t="str">
        <f>IF(irpf=0,CONCATENATE("Forma Jurídica: ",'Datos Básicos'!B24),"")</f>
        <v/>
      </c>
    </row>
    <row r="2" spans="1:14" s="67" customFormat="1" ht="22.5">
      <c r="A2" s="67" t="str">
        <f>CONCATENATE("Previsiones de retenciones y pagos a cuenta del I.R.P.F  (",Parametros!$H$11,")")</f>
        <v>Previsiones de retenciones y pagos a cuenta del I.R.P.F  (€)</v>
      </c>
      <c r="H2" s="1093" t="str">
        <f>IF($H$1="","","No sujeto I.R.P.F.")</f>
        <v/>
      </c>
    </row>
    <row r="3" spans="1:14" s="67" customFormat="1" ht="22.5">
      <c r="A3" s="67" t="str">
        <f>'Prev.Ventas 0'!A2</f>
        <v>nombre empresa</v>
      </c>
      <c r="H3" s="1093" t="str">
        <f>IF(H1="","","TRIBUTACIÓN EN Sociedades")</f>
        <v/>
      </c>
    </row>
    <row r="4" spans="1:14" s="98" customFormat="1" ht="22.5"/>
    <row r="5" spans="1:14" s="98" customFormat="1" ht="22.5">
      <c r="A5" s="1546" t="str">
        <f>IF(B5=0,"",'Datos Básicos'!F28)</f>
        <v>% cuota IRPF (Ing-Gastos)</v>
      </c>
      <c r="B5" s="1572">
        <f>irpf</f>
        <v>0.2</v>
      </c>
      <c r="C5" s="1573"/>
      <c r="D5" s="1574" t="str">
        <f>IF(ret_irpf=0,"",CONCATENATE(TEXT('Datos Básicos'!I29,"#%")," de retención sobre el ",TEXT('Datos Básicos'!I30,"#%")," de la facturación."))</f>
        <v/>
      </c>
      <c r="E5" s="1573"/>
    </row>
    <row r="6" spans="1:14" s="98" customFormat="1" ht="22.5">
      <c r="A6" s="48"/>
    </row>
    <row r="7" spans="1:14" s="98" customFormat="1" ht="23.25" thickBot="1">
      <c r="A7" s="67" t="s">
        <v>566</v>
      </c>
      <c r="E7" s="521" t="str">
        <f>Parametros!B$77</f>
        <v>Año 0:  2026</v>
      </c>
      <c r="F7" s="234"/>
    </row>
    <row r="8" spans="1:14">
      <c r="A8" s="1570"/>
      <c r="B8" s="1095" t="str">
        <f t="array" ref="B8:M8">meses</f>
        <v>enero</v>
      </c>
      <c r="C8" s="1095" t="str">
        <v>febrero</v>
      </c>
      <c r="D8" s="1095" t="str">
        <v>marzo</v>
      </c>
      <c r="E8" s="1095" t="str">
        <v>abril</v>
      </c>
      <c r="F8" s="1095" t="str">
        <v>mayo</v>
      </c>
      <c r="G8" s="1095" t="str">
        <v>junio</v>
      </c>
      <c r="H8" s="1095" t="str">
        <v>julio</v>
      </c>
      <c r="I8" s="1095" t="str">
        <v>agosto</v>
      </c>
      <c r="J8" s="1095" t="str">
        <v>septiembre</v>
      </c>
      <c r="K8" s="1095" t="str">
        <v>octubre</v>
      </c>
      <c r="L8" s="1095" t="str">
        <v>noviembre</v>
      </c>
      <c r="M8" s="1095" t="str">
        <v>diciembre</v>
      </c>
      <c r="N8" s="1096" t="s">
        <v>15</v>
      </c>
    </row>
    <row r="9" spans="1:14" ht="16.5" customHeight="1">
      <c r="A9" s="2157" t="s">
        <v>189</v>
      </c>
      <c r="B9" s="81">
        <f ca="1">'Prev.Ventas 0'!B25*ret_irpf+'Inversiones AC'!G21</f>
        <v>0</v>
      </c>
      <c r="C9" s="81">
        <f ca="1">'Prev.Ventas 0'!C25*ret_irpf</f>
        <v>0</v>
      </c>
      <c r="D9" s="81">
        <f ca="1">'Prev.Ventas 0'!D25*ret_irpf</f>
        <v>0</v>
      </c>
      <c r="E9" s="81">
        <f ca="1">'Prev.Ventas 0'!E25*ret_irpf</f>
        <v>0</v>
      </c>
      <c r="F9" s="81">
        <f ca="1">'Prev.Ventas 0'!F25*ret_irpf</f>
        <v>0</v>
      </c>
      <c r="G9" s="81">
        <f ca="1">'Prev.Ventas 0'!G25*ret_irpf</f>
        <v>0</v>
      </c>
      <c r="H9" s="81">
        <f ca="1">'Prev.Ventas 0'!H25*ret_irpf</f>
        <v>0</v>
      </c>
      <c r="I9" s="81">
        <f ca="1">'Prev.Ventas 0'!I25*ret_irpf</f>
        <v>0</v>
      </c>
      <c r="J9" s="81">
        <f ca="1">'Prev.Ventas 0'!J25*ret_irpf</f>
        <v>0</v>
      </c>
      <c r="K9" s="81">
        <f ca="1">'Prev.Ventas 0'!K25*ret_irpf</f>
        <v>0</v>
      </c>
      <c r="L9" s="81">
        <f ca="1">'Prev.Ventas 0'!L25*ret_irpf</f>
        <v>0</v>
      </c>
      <c r="M9" s="81">
        <f ca="1">'Prev.Ventas 0'!M25*ret_irpf</f>
        <v>0</v>
      </c>
      <c r="N9" s="1097">
        <f ca="1">SUM(B9:M9)</f>
        <v>0</v>
      </c>
    </row>
    <row r="10" spans="1:14" ht="16.5" customHeight="1">
      <c r="A10" s="2157" t="s">
        <v>190</v>
      </c>
      <c r="B10" s="81">
        <f ca="1">IF($B$5=0,0,'Distr CV 0'!B28+'G.F. 0'!B58-'G.F. 0'!B7+'Gastos Financieros'!C19-'Gastos Financieros'!C87+'PyG 0'!B22)</f>
        <v>467.64583333333326</v>
      </c>
      <c r="C10" s="81">
        <f ca="1">IF($B$5=0,0,'Distr CV 0'!C28+'G.F. 0'!C58-'G.F. 0'!C7+'Gastos Financieros'!D19-'Gastos Financieros'!D87+'PyG 0'!C22)</f>
        <v>487.00918560606056</v>
      </c>
      <c r="D10" s="81">
        <f ca="1">IF($B$5=0,0,'Distr CV 0'!D28+'G.F. 0'!D58-'G.F. 0'!D7+'Gastos Financieros'!E19-'Gastos Financieros'!E87+'PyG 0'!D22)</f>
        <v>516.58617424242425</v>
      </c>
      <c r="E10" s="81">
        <f ca="1">IF($B$5=0,0,'Distr CV 0'!E28+'G.F. 0'!E58-'G.F. 0'!E7+'Gastos Financieros'!F19-'Gastos Financieros'!F87+'PyG 0'!E22)</f>
        <v>533.39611742424222</v>
      </c>
      <c r="F10" s="81">
        <f ca="1">IF($B$5=0,0,'Distr CV 0'!F28+'G.F. 0'!F58-'G.F. 0'!F7+'Gastos Financieros'!G19-'Gastos Financieros'!G87+'PyG 0'!F22)</f>
        <v>524.67196969696954</v>
      </c>
      <c r="G10" s="81">
        <f ca="1">IF($B$5=0,0,'Distr CV 0'!G28+'G.F. 0'!G58-'G.F. 0'!G7+'Gastos Financieros'!H19-'Gastos Financieros'!H87+'PyG 0'!G22)</f>
        <v>526.16145833333314</v>
      </c>
      <c r="H10" s="81">
        <f ca="1">IF($B$5=0,0,'Distr CV 0'!H28+'G.F. 0'!H58-'G.F. 0'!H7+'Gastos Financieros'!I19-'Gastos Financieros'!I87+'PyG 0'!H22)</f>
        <v>522.54412878787878</v>
      </c>
      <c r="I10" s="81">
        <f ca="1">IF($B$5=0,0,'Distr CV 0'!I28+'G.F. 0'!I58-'G.F. 0'!I7+'Gastos Financieros'!J19-'Gastos Financieros'!J87+'PyG 0'!I22)</f>
        <v>460.19839015151507</v>
      </c>
      <c r="J10" s="81">
        <f ca="1">IF($B$5=0,0,'Distr CV 0'!J28+'G.F. 0'!J58-'G.F. 0'!J7+'Gastos Financieros'!K19-'Gastos Financieros'!K87+'PyG 0'!J22)</f>
        <v>540.84356060606069</v>
      </c>
      <c r="K10" s="81">
        <f ca="1">IF($B$5=0,0,'Distr CV 0'!K28+'G.F. 0'!K58-'G.F. 0'!K7+'Gastos Financieros'!L19-'Gastos Financieros'!L87+'PyG 0'!K22)</f>
        <v>618.93532196969704</v>
      </c>
      <c r="L10" s="81">
        <f ca="1">IF($B$5=0,0,'Distr CV 0'!L28+'G.F. 0'!L58-'G.F. 0'!L7+'Gastos Financieros'!M19-'Gastos Financieros'!M87+'PyG 0'!L22)</f>
        <v>661.27935606060578</v>
      </c>
      <c r="M10" s="81">
        <f ca="1">IF($B$5=0,0,'Distr CV 0'!M28+'G.F. 0'!M58-'G.F. 0'!M7+'Gastos Financieros'!N19-'Gastos Financieros'!N87+'PyG 0'!M22)</f>
        <v>792.99270833333321</v>
      </c>
      <c r="N10" s="1097">
        <f ca="1">SUM(B10:M10)</f>
        <v>6652.264204545454</v>
      </c>
    </row>
    <row r="11" spans="1:14" ht="18.75" customHeight="1">
      <c r="A11" s="2157" t="s">
        <v>191</v>
      </c>
      <c r="B11" s="1090">
        <v>0</v>
      </c>
      <c r="C11" s="1090">
        <v>0</v>
      </c>
      <c r="D11" s="1090">
        <v>0</v>
      </c>
      <c r="E11" s="1090">
        <f ca="1">$B$5*(SUM('Prev.Ventas 0'!B25:D25)-SUM(B10:D10))</f>
        <v>840.86539772727292</v>
      </c>
      <c r="F11" s="1090">
        <v>0</v>
      </c>
      <c r="G11" s="1090">
        <v>0</v>
      </c>
      <c r="H11" s="1090">
        <f ca="1">$B$5*(SUM('Prev.Ventas 0'!$B25:G25)-SUM($B10:G10))</f>
        <v>1799.9285795454548</v>
      </c>
      <c r="I11" s="1090">
        <v>0</v>
      </c>
      <c r="J11" s="1090">
        <v>0</v>
      </c>
      <c r="K11" s="1090">
        <f ca="1">$B$5*(SUM('Prev.Ventas 0'!$B25:J25)-SUM($B10:J10))</f>
        <v>2695.5522727272728</v>
      </c>
      <c r="L11" s="1090">
        <v>0</v>
      </c>
      <c r="M11" s="1090">
        <v>0</v>
      </c>
      <c r="N11" s="1097">
        <f ca="1">$B$5*(SUM('Prev.Ventas 0'!$B25:M25)-SUM($B10:M10))</f>
        <v>4166.1380681818182</v>
      </c>
    </row>
    <row r="12" spans="1:14">
      <c r="A12" s="1571"/>
      <c r="B12" s="1091"/>
      <c r="C12" s="1091"/>
      <c r="D12" s="1091"/>
      <c r="E12" s="1091"/>
      <c r="F12" s="1091"/>
      <c r="G12" s="1091"/>
      <c r="H12" s="1091"/>
      <c r="I12" s="1091"/>
      <c r="J12" s="1091"/>
      <c r="K12" s="1091"/>
      <c r="L12" s="1091"/>
      <c r="M12" s="1091"/>
      <c r="N12" s="1098"/>
    </row>
    <row r="13" spans="1:14" ht="19.5" customHeight="1" thickBot="1">
      <c r="A13" s="1099" t="s">
        <v>192</v>
      </c>
      <c r="B13" s="1101">
        <v>0</v>
      </c>
      <c r="C13" s="1102"/>
      <c r="D13" s="1102"/>
      <c r="E13" s="1102">
        <f ca="1">MAX(E11-SUM($B9:D9)-SUM($C13:D13),0)</f>
        <v>840.86539772727292</v>
      </c>
      <c r="F13" s="1102"/>
      <c r="G13" s="1102"/>
      <c r="H13" s="1102">
        <f ca="1">MAX(H11-SUM($B9:G9)-SUM($C13:G13),0)</f>
        <v>959.06318181818187</v>
      </c>
      <c r="I13" s="1102"/>
      <c r="J13" s="1102"/>
      <c r="K13" s="1102">
        <f ca="1">MAX(K11-SUM($B9:J9)-SUM($C13:J13),0)</f>
        <v>895.623693181818</v>
      </c>
      <c r="L13" s="1102"/>
      <c r="M13" s="1102"/>
      <c r="N13" s="1847">
        <f ca="1">MAX(N11-SUM($B9:M9)-SUM($C13:M13),0)</f>
        <v>1470.5857954545454</v>
      </c>
    </row>
    <row r="16" spans="1:14" ht="23.25" thickBot="1">
      <c r="A16" s="67" t="str">
        <f>$A$7</f>
        <v>Retenciones y pagos a cuenta del I.R.P.F.</v>
      </c>
      <c r="E16" s="521" t="str">
        <f>Parametros!C$77</f>
        <v>Año 1:  2027</v>
      </c>
      <c r="F16" s="234"/>
    </row>
    <row r="17" spans="1:15">
      <c r="A17" s="1094"/>
      <c r="B17" s="1095" t="str">
        <f t="array" ref="B17:M17">meses</f>
        <v>enero</v>
      </c>
      <c r="C17" s="1095" t="str">
        <v>febrero</v>
      </c>
      <c r="D17" s="1095" t="str">
        <v>marzo</v>
      </c>
      <c r="E17" s="1095" t="str">
        <v>abril</v>
      </c>
      <c r="F17" s="1095" t="str">
        <v>mayo</v>
      </c>
      <c r="G17" s="1095" t="str">
        <v>junio</v>
      </c>
      <c r="H17" s="1095" t="str">
        <v>julio</v>
      </c>
      <c r="I17" s="1095" t="str">
        <v>agosto</v>
      </c>
      <c r="J17" s="1095" t="str">
        <v>septiembre</v>
      </c>
      <c r="K17" s="1095" t="str">
        <v>octubre</v>
      </c>
      <c r="L17" s="1095" t="str">
        <v>noviembre</v>
      </c>
      <c r="M17" s="1095" t="str">
        <v>diciembre</v>
      </c>
      <c r="N17" s="1096" t="str">
        <f>$N$8</f>
        <v>Totales</v>
      </c>
    </row>
    <row r="18" spans="1:15">
      <c r="A18" s="2157" t="str">
        <f t="array" ref="A18:A20">$A$9:$A$11</f>
        <v>Retenciones IRPF</v>
      </c>
      <c r="B18" s="81">
        <f ca="1">'Prev.Ventas 1'!B25*ret_irpf</f>
        <v>0</v>
      </c>
      <c r="C18" s="81">
        <f ca="1">'Prev.Ventas 1'!C25*ret_irpf</f>
        <v>0</v>
      </c>
      <c r="D18" s="81">
        <f ca="1">'Prev.Ventas 1'!D25*ret_irpf</f>
        <v>0</v>
      </c>
      <c r="E18" s="81">
        <f ca="1">'Prev.Ventas 1'!E25*ret_irpf</f>
        <v>0</v>
      </c>
      <c r="F18" s="81">
        <f ca="1">'Prev.Ventas 1'!F25*ret_irpf</f>
        <v>0</v>
      </c>
      <c r="G18" s="81">
        <f ca="1">'Prev.Ventas 1'!G25*ret_irpf</f>
        <v>0</v>
      </c>
      <c r="H18" s="81">
        <f ca="1">'Prev.Ventas 1'!H25*ret_irpf</f>
        <v>0</v>
      </c>
      <c r="I18" s="81">
        <f ca="1">'Prev.Ventas 1'!I25*ret_irpf</f>
        <v>0</v>
      </c>
      <c r="J18" s="81">
        <f ca="1">'Prev.Ventas 1'!J25*ret_irpf</f>
        <v>0</v>
      </c>
      <c r="K18" s="81">
        <f ca="1">'Prev.Ventas 1'!K25*ret_irpf</f>
        <v>0</v>
      </c>
      <c r="L18" s="81">
        <f ca="1">'Prev.Ventas 1'!L25*ret_irpf</f>
        <v>0</v>
      </c>
      <c r="M18" s="81">
        <f ca="1">'Prev.Ventas 1'!M25*ret_irpf</f>
        <v>0</v>
      </c>
      <c r="N18" s="1097">
        <f ca="1">SUM(B18:M18)</f>
        <v>0</v>
      </c>
    </row>
    <row r="19" spans="1:15">
      <c r="A19" s="2157" t="str">
        <v>Gastos Deducibles</v>
      </c>
      <c r="B19" s="81">
        <f ca="1">IF($B$5=0,0,'G.F. 1'!B58-'G.F. 1'!B7+'Distr CV 1'!B28+'Gastos Financieros'!C34-'Gastos Financieros'!C92+'PyG 1'!B22)</f>
        <v>673.84409090909082</v>
      </c>
      <c r="C19" s="81">
        <f ca="1">IF($B$5=0,0,'G.F. 1'!C58-'G.F. 1'!C7+'Distr CV 1'!C28+'Gastos Financieros'!D34-'Gastos Financieros'!D92+'PyG 1'!C22)</f>
        <v>786.19409090909085</v>
      </c>
      <c r="D19" s="81">
        <f ca="1">IF($B$5=0,0,'G.F. 1'!D58-'G.F. 1'!D7+'Distr CV 1'!D28+'Gastos Financieros'!E34-'Gastos Financieros'!E92+'PyG 1'!D22)</f>
        <v>842.3690909090908</v>
      </c>
      <c r="E19" s="81">
        <f ca="1">IF($B$5=0,0,'G.F. 1'!E58-'G.F. 1'!E7+'Distr CV 1'!E28+'Gastos Financieros'!F34-'Gastos Financieros'!F92+'PyG 1'!E22)</f>
        <v>814.28159090909082</v>
      </c>
      <c r="F19" s="81">
        <f ca="1">IF($B$5=0,0,'G.F. 1'!F58-'G.F. 1'!F7+'Distr CV 1'!F28+'Gastos Financieros'!G34-'Gastos Financieros'!G92+'PyG 1'!F22)</f>
        <v>730.01909090909089</v>
      </c>
      <c r="G19" s="81">
        <f ca="1">IF($B$5=0,0,'G.F. 1'!G58-'G.F. 1'!G7+'Distr CV 1'!G28+'Gastos Financieros'!H34-'Gastos Financieros'!H92+'PyG 1'!G22)</f>
        <v>701.9315909090908</v>
      </c>
      <c r="H19" s="81">
        <f ca="1">IF($B$5=0,0,'G.F. 1'!H58-'G.F. 1'!H7+'Distr CV 1'!H28+'Gastos Financieros'!I34-'Gastos Financieros'!I92+'PyG 1'!H22)</f>
        <v>673.84409090909082</v>
      </c>
      <c r="I19" s="81">
        <f ca="1">IF($B$5=0,0,'G.F. 1'!I58-'G.F. 1'!I7+'Distr CV 1'!I28+'Gastos Financieros'!J34-'Gastos Financieros'!J92+'PyG 1'!I22)</f>
        <v>561.4940909090908</v>
      </c>
      <c r="J19" s="81">
        <f ca="1">IF($B$5=0,0,'G.F. 1'!J58-'G.F. 1'!J7+'Distr CV 1'!J28+'Gastos Financieros'!K34-'Gastos Financieros'!K92+'PyG 1'!J22)</f>
        <v>673.84409090909082</v>
      </c>
      <c r="K19" s="81">
        <f ca="1">IF($B$5=0,0,'G.F. 1'!K58-'G.F. 1'!K7+'Distr CV 1'!K28+'Gastos Financieros'!L34-'Gastos Financieros'!L92+'PyG 1'!K22)</f>
        <v>758.10659090909087</v>
      </c>
      <c r="L19" s="81">
        <f ca="1">IF($B$5=0,0,'G.F. 1'!L58-'G.F. 1'!L7+'Distr CV 1'!L28+'Gastos Financieros'!M34-'Gastos Financieros'!M92+'PyG 1'!L22)</f>
        <v>786.19409090909085</v>
      </c>
      <c r="M19" s="81">
        <f ca="1">IF($B$5=0,0,'G.F. 1'!M58-'G.F. 1'!M7+'Distr CV 1'!M28+'Gastos Financieros'!N34-'Gastos Financieros'!N92+'PyG 1'!M22)</f>
        <v>898.54409090909087</v>
      </c>
      <c r="N19" s="1097">
        <f ca="1">SUM(B19:M19)</f>
        <v>8900.6665909090898</v>
      </c>
    </row>
    <row r="20" spans="1:15">
      <c r="A20" s="2157" t="str">
        <v>Cuotas IRPF</v>
      </c>
      <c r="B20" s="1090">
        <v>0</v>
      </c>
      <c r="C20" s="1090">
        <v>0</v>
      </c>
      <c r="D20" s="1090">
        <v>0</v>
      </c>
      <c r="E20" s="1090">
        <f ca="1">$B$5*(SUM('Prev.Ventas 1'!B25:D25)-SUM(B19:D19))</f>
        <v>1569.5185454545456</v>
      </c>
      <c r="F20" s="1090">
        <v>0</v>
      </c>
      <c r="G20" s="1090">
        <v>0</v>
      </c>
      <c r="H20" s="1090">
        <f ca="1">$B$5*(SUM('Prev.Ventas 1'!$B25:G25)-SUM($B19:G19))</f>
        <v>3080.2720909090913</v>
      </c>
      <c r="I20" s="1090">
        <v>0</v>
      </c>
      <c r="J20" s="1090">
        <v>0</v>
      </c>
      <c r="K20" s="1090">
        <f ca="1">$B$5*(SUM('Prev.Ventas 1'!$B25:J25)-SUM($B19:J19))</f>
        <v>4238.4356363636371</v>
      </c>
      <c r="L20" s="1090">
        <v>0</v>
      </c>
      <c r="M20" s="1090">
        <v>0</v>
      </c>
      <c r="N20" s="1097">
        <f ca="1">$B$5*(SUM('Prev.Ventas 1'!$B25:M25)-N19)</f>
        <v>5954.8666818181828</v>
      </c>
      <c r="O20" s="72"/>
    </row>
    <row r="21" spans="1:15">
      <c r="A21" s="1571"/>
      <c r="B21" s="1091"/>
      <c r="C21" s="1091"/>
      <c r="D21" s="1091"/>
      <c r="E21" s="1091"/>
      <c r="F21" s="1091"/>
      <c r="G21" s="1091"/>
      <c r="H21" s="1091"/>
      <c r="I21" s="1091"/>
      <c r="J21" s="1091"/>
      <c r="K21" s="1091"/>
      <c r="L21" s="1091"/>
      <c r="M21" s="1091"/>
      <c r="N21" s="1098"/>
    </row>
    <row r="22" spans="1:15" ht="19.5" customHeight="1" thickBot="1">
      <c r="A22" s="1099" t="str">
        <f>$A$13</f>
        <v>Liquidaciones Trimestrales</v>
      </c>
      <c r="B22" s="1101">
        <f ca="1">N13</f>
        <v>1470.5857954545454</v>
      </c>
      <c r="C22" s="1102"/>
      <c r="D22" s="1102"/>
      <c r="E22" s="1102">
        <f ca="1">MAX(E20-SUM($B18:D18)-SUM($C22:D22),0)</f>
        <v>1569.5185454545456</v>
      </c>
      <c r="F22" s="1102"/>
      <c r="G22" s="1102"/>
      <c r="H22" s="1102">
        <f ca="1">MAX(H20-SUM($B18:G18)-SUM($C22:G22),0)</f>
        <v>1510.7535454545457</v>
      </c>
      <c r="I22" s="1102"/>
      <c r="J22" s="1102"/>
      <c r="K22" s="1102">
        <f ca="1">MAX(K20-SUM($B18:J18)-SUM($C22:J22),0)</f>
        <v>1158.1635454545458</v>
      </c>
      <c r="L22" s="1102"/>
      <c r="M22" s="1102"/>
      <c r="N22" s="1847">
        <f ca="1">MAX(N20-SUM($B18:M18)-SUM($C22:M22),0)</f>
        <v>1716.4310454545457</v>
      </c>
    </row>
    <row r="25" spans="1:15" ht="23.25" thickBot="1">
      <c r="A25" s="67" t="str">
        <f>$A$7</f>
        <v>Retenciones y pagos a cuenta del I.R.P.F.</v>
      </c>
      <c r="E25" s="521" t="str">
        <f>Parametros!D$77</f>
        <v>Año 2:  2028</v>
      </c>
      <c r="F25" s="234"/>
    </row>
    <row r="26" spans="1:15">
      <c r="A26" s="1094"/>
      <c r="B26" s="1095" t="str">
        <f t="array" ref="B26:M26">meses</f>
        <v>enero</v>
      </c>
      <c r="C26" s="1095" t="str">
        <v>febrero</v>
      </c>
      <c r="D26" s="1095" t="str">
        <v>marzo</v>
      </c>
      <c r="E26" s="1095" t="str">
        <v>abril</v>
      </c>
      <c r="F26" s="1095" t="str">
        <v>mayo</v>
      </c>
      <c r="G26" s="1095" t="str">
        <v>junio</v>
      </c>
      <c r="H26" s="1095" t="str">
        <v>julio</v>
      </c>
      <c r="I26" s="1095" t="str">
        <v>agosto</v>
      </c>
      <c r="J26" s="1095" t="str">
        <v>septiembre</v>
      </c>
      <c r="K26" s="1095" t="str">
        <v>octubre</v>
      </c>
      <c r="L26" s="1095" t="str">
        <v>noviembre</v>
      </c>
      <c r="M26" s="1095" t="str">
        <v>diciembre</v>
      </c>
      <c r="N26" s="1096" t="str">
        <f>$N$8</f>
        <v>Totales</v>
      </c>
    </row>
    <row r="27" spans="1:15">
      <c r="A27" s="2157" t="str">
        <f t="array" ref="A27:A29">$A$9:$A$11</f>
        <v>Retenciones IRPF</v>
      </c>
      <c r="B27" s="81">
        <f ca="1">'Prev.Ventas 2'!B25*ret_irpf</f>
        <v>0</v>
      </c>
      <c r="C27" s="81">
        <f ca="1">'Prev.Ventas 2'!C25*ret_irpf</f>
        <v>0</v>
      </c>
      <c r="D27" s="81">
        <f ca="1">'Prev.Ventas 2'!D25*ret_irpf</f>
        <v>0</v>
      </c>
      <c r="E27" s="81">
        <f ca="1">'Prev.Ventas 2'!E25*ret_irpf</f>
        <v>0</v>
      </c>
      <c r="F27" s="81">
        <f ca="1">'Prev.Ventas 2'!F25*ret_irpf</f>
        <v>0</v>
      </c>
      <c r="G27" s="81">
        <f ca="1">'Prev.Ventas 2'!G25*ret_irpf</f>
        <v>0</v>
      </c>
      <c r="H27" s="81">
        <f ca="1">'Prev.Ventas 2'!H25*ret_irpf</f>
        <v>0</v>
      </c>
      <c r="I27" s="81">
        <f ca="1">'Prev.Ventas 2'!I25*ret_irpf</f>
        <v>0</v>
      </c>
      <c r="J27" s="81">
        <f ca="1">'Prev.Ventas 2'!J25*ret_irpf</f>
        <v>0</v>
      </c>
      <c r="K27" s="81">
        <f ca="1">'Prev.Ventas 2'!K25*ret_irpf</f>
        <v>0</v>
      </c>
      <c r="L27" s="81">
        <f ca="1">'Prev.Ventas 2'!L25*ret_irpf</f>
        <v>0</v>
      </c>
      <c r="M27" s="81">
        <f ca="1">'Prev.Ventas 2'!M25*ret_irpf</f>
        <v>0</v>
      </c>
      <c r="N27" s="1097">
        <f ca="1">SUM(B27:M27)</f>
        <v>0</v>
      </c>
    </row>
    <row r="28" spans="1:15">
      <c r="A28" s="2157" t="str">
        <v>Gastos Deducibles</v>
      </c>
      <c r="B28" s="81">
        <f ca="1">IF($B$5=0,0,'G.F. 2'!B58+'Distr CV 2'!B28-'G.F. 2'!B7+'Gastos Financieros'!C49-'Gastos Financieros'!C97+'PyG 2'!B22)</f>
        <v>995.5746878787877</v>
      </c>
      <c r="C28" s="81">
        <f ca="1">IF($B$5=0,0,'G.F. 2'!C58+'Distr CV 2'!C28-'G.F. 2'!C7+'Gastos Financieros'!D49-'Gastos Financieros'!D97+'PyG 2'!C22)</f>
        <v>1111.2951878787876</v>
      </c>
      <c r="D28" s="81">
        <f ca="1">IF($B$5=0,0,'G.F. 2'!D58+'Distr CV 2'!D28-'G.F. 2'!D7+'Gastos Financieros'!E49-'Gastos Financieros'!E97+'PyG 2'!D22)</f>
        <v>1169.1554378787878</v>
      </c>
      <c r="E28" s="81">
        <f ca="1">IF($B$5=0,0,'G.F. 2'!E58+'Distr CV 2'!E28-'G.F. 2'!E7+'Gastos Financieros'!F49-'Gastos Financieros'!F97+'PyG 2'!E22)</f>
        <v>1140.2253128787877</v>
      </c>
      <c r="F28" s="81">
        <f ca="1">IF($B$5=0,0,'G.F. 2'!F58+'Distr CV 2'!F28-'G.F. 2'!F7+'Gastos Financieros'!G49-'Gastos Financieros'!G97+'PyG 2'!F22)</f>
        <v>1053.4349378787874</v>
      </c>
      <c r="G28" s="81">
        <f ca="1">IF($B$5=0,0,'G.F. 2'!G58+'Distr CV 2'!G28-'G.F. 2'!G7+'Gastos Financieros'!H49-'Gastos Financieros'!H97+'PyG 2'!G22)</f>
        <v>2344.504812878788</v>
      </c>
      <c r="H28" s="81">
        <f ca="1">IF($B$5=0,0,'G.F. 2'!H58+'Distr CV 2'!H28-'G.F. 2'!H7+'Gastos Financieros'!I49-'Gastos Financieros'!I97+'PyG 2'!H22)</f>
        <v>995.5746878787877</v>
      </c>
      <c r="I28" s="81">
        <f ca="1">IF($B$5=0,0,'G.F. 2'!I58+'Distr CV 2'!I28-'G.F. 2'!I7+'Gastos Financieros'!J49-'Gastos Financieros'!J97+'PyG 2'!I22)</f>
        <v>879.8541878787878</v>
      </c>
      <c r="J28" s="81">
        <f ca="1">IF($B$5=0,0,'G.F. 2'!J58+'Distr CV 2'!J28-'G.F. 2'!J7+'Gastos Financieros'!K49-'Gastos Financieros'!K97+'PyG 2'!J22)</f>
        <v>995.5746878787877</v>
      </c>
      <c r="K28" s="81">
        <f ca="1">IF($B$5=0,0,'G.F. 2'!K58+'Distr CV 2'!K28-'G.F. 2'!K7+'Gastos Financieros'!L49-'Gastos Financieros'!L97+'PyG 2'!K22)</f>
        <v>1082.3650628787875</v>
      </c>
      <c r="L28" s="81">
        <f ca="1">IF($B$5=0,0,'G.F. 2'!L58+'Distr CV 2'!L28-'G.F. 2'!L7+'Gastos Financieros'!M49-'Gastos Financieros'!M97+'PyG 2'!L22)</f>
        <v>1111.2951878787876</v>
      </c>
      <c r="M28" s="81">
        <f ca="1">IF($B$5=0,0,'G.F. 2'!M58+'Distr CV 2'!M28-'G.F. 2'!M7+'Gastos Financieros'!N49-'Gastos Financieros'!N97+'PyG 2'!M22)</f>
        <v>1227.0156878787875</v>
      </c>
      <c r="N28" s="1097">
        <f ca="1">SUM(B28:M28)</f>
        <v>14105.869879545451</v>
      </c>
    </row>
    <row r="29" spans="1:15">
      <c r="A29" s="2157" t="str">
        <v>Cuotas IRPF</v>
      </c>
      <c r="B29" s="1090">
        <v>0</v>
      </c>
      <c r="C29" s="1090">
        <v>0</v>
      </c>
      <c r="D29" s="1090">
        <v>0</v>
      </c>
      <c r="E29" s="1090">
        <f ca="1">$B$5*(SUM('Prev.Ventas 2'!$B25:D25)-SUM(B28:D28))</f>
        <v>1435.6949372727277</v>
      </c>
      <c r="F29" s="1090">
        <v>0</v>
      </c>
      <c r="G29" s="1090">
        <v>0</v>
      </c>
      <c r="H29" s="1090">
        <f ca="1">$B$5*(SUM('Prev.Ventas 2'!$B25:G25)-SUM($B28:G28))</f>
        <v>2546.8619245454552</v>
      </c>
      <c r="I29" s="1090">
        <v>0</v>
      </c>
      <c r="J29" s="1090">
        <v>0</v>
      </c>
      <c r="K29" s="1090">
        <f ca="1">$B$5*(SUM('Prev.Ventas 2'!$B25:J25)-SUM($B28:J28))</f>
        <v>3558.8612118181827</v>
      </c>
      <c r="L29" s="1090">
        <v>0</v>
      </c>
      <c r="M29" s="1090">
        <v>0</v>
      </c>
      <c r="N29" s="1097">
        <f ca="1">$B$5*(SUM('Prev.Ventas 2'!$B25:M25)-N28)</f>
        <v>5145.8760240909105</v>
      </c>
    </row>
    <row r="30" spans="1:15">
      <c r="A30" s="1571"/>
      <c r="B30" s="1091"/>
      <c r="C30" s="1091"/>
      <c r="D30" s="1091"/>
      <c r="E30" s="1091"/>
      <c r="F30" s="1091"/>
      <c r="G30" s="1091"/>
      <c r="H30" s="1091"/>
      <c r="I30" s="1091"/>
      <c r="J30" s="1091"/>
      <c r="K30" s="1091"/>
      <c r="L30" s="1091"/>
      <c r="M30" s="1091"/>
      <c r="N30" s="1098"/>
    </row>
    <row r="31" spans="1:15" ht="19.5" customHeight="1" thickBot="1">
      <c r="A31" s="1099" t="str">
        <f>$A$13</f>
        <v>Liquidaciones Trimestrales</v>
      </c>
      <c r="B31" s="1101">
        <f ca="1">N22</f>
        <v>1716.4310454545457</v>
      </c>
      <c r="C31" s="1102"/>
      <c r="D31" s="1102"/>
      <c r="E31" s="1102">
        <f ca="1">MAX(E29-SUM($B27:D27)-SUM($C31:D31),0)</f>
        <v>1435.6949372727277</v>
      </c>
      <c r="F31" s="1102"/>
      <c r="G31" s="1102"/>
      <c r="H31" s="1102">
        <f ca="1">MAX(H29-SUM($B27:G27)-SUM($C31:G31),0)</f>
        <v>1111.1669872727275</v>
      </c>
      <c r="I31" s="1102"/>
      <c r="J31" s="1102"/>
      <c r="K31" s="1102">
        <f ca="1">MAX(K29-SUM($B27:J27)-SUM($C31:J31),0)</f>
        <v>1011.9992872727275</v>
      </c>
      <c r="L31" s="1102"/>
      <c r="M31" s="1102"/>
      <c r="N31" s="1847">
        <f ca="1">MAX(N29-SUM($B27:M27)-SUM($C31:M31),0)</f>
        <v>1587.0148122727278</v>
      </c>
    </row>
    <row r="33" spans="1:14">
      <c r="M33" s="1092"/>
    </row>
    <row r="34" spans="1:14" ht="23.25" thickBot="1">
      <c r="A34" s="67" t="str">
        <f>$A$7</f>
        <v>Retenciones y pagos a cuenta del I.R.P.F.</v>
      </c>
      <c r="E34" s="521" t="str">
        <f>Parametros!E$77</f>
        <v>Año 3:  2029</v>
      </c>
      <c r="F34" s="234"/>
    </row>
    <row r="35" spans="1:14">
      <c r="A35" s="1094"/>
      <c r="B35" s="1095" t="str">
        <f t="array" ref="B35:M35">meses</f>
        <v>enero</v>
      </c>
      <c r="C35" s="1095" t="str">
        <v>febrero</v>
      </c>
      <c r="D35" s="1095" t="str">
        <v>marzo</v>
      </c>
      <c r="E35" s="1095" t="str">
        <v>abril</v>
      </c>
      <c r="F35" s="1095" t="str">
        <v>mayo</v>
      </c>
      <c r="G35" s="1095" t="str">
        <v>junio</v>
      </c>
      <c r="H35" s="1095" t="str">
        <v>julio</v>
      </c>
      <c r="I35" s="1095" t="str">
        <v>agosto</v>
      </c>
      <c r="J35" s="1095" t="str">
        <v>septiembre</v>
      </c>
      <c r="K35" s="1095" t="str">
        <v>octubre</v>
      </c>
      <c r="L35" s="1095" t="str">
        <v>noviembre</v>
      </c>
      <c r="M35" s="1095" t="str">
        <v>diciembre</v>
      </c>
      <c r="N35" s="1096" t="str">
        <f>$N$8</f>
        <v>Totales</v>
      </c>
    </row>
    <row r="36" spans="1:14">
      <c r="A36" s="2157" t="str">
        <f t="array" ref="A36:A38">$A$9:$A$11</f>
        <v>Retenciones IRPF</v>
      </c>
      <c r="B36" s="81">
        <f ca="1">'Prev.Ventas 3'!B25*ret_irpf</f>
        <v>0</v>
      </c>
      <c r="C36" s="81">
        <f ca="1">'Prev.Ventas 3'!C25*ret_irpf</f>
        <v>0</v>
      </c>
      <c r="D36" s="81">
        <f ca="1">'Prev.Ventas 3'!D25*ret_irpf</f>
        <v>0</v>
      </c>
      <c r="E36" s="81">
        <f ca="1">'Prev.Ventas 3'!E25*ret_irpf</f>
        <v>0</v>
      </c>
      <c r="F36" s="81">
        <f ca="1">'Prev.Ventas 3'!F25*ret_irpf</f>
        <v>0</v>
      </c>
      <c r="G36" s="81">
        <f ca="1">'Prev.Ventas 3'!G25*ret_irpf</f>
        <v>0</v>
      </c>
      <c r="H36" s="81">
        <f ca="1">'Prev.Ventas 3'!H25*ret_irpf</f>
        <v>0</v>
      </c>
      <c r="I36" s="81">
        <f ca="1">'Prev.Ventas 3'!I25*ret_irpf</f>
        <v>0</v>
      </c>
      <c r="J36" s="81">
        <f ca="1">'Prev.Ventas 3'!J25*ret_irpf</f>
        <v>0</v>
      </c>
      <c r="K36" s="81">
        <f ca="1">'Prev.Ventas 3'!K25*ret_irpf</f>
        <v>0</v>
      </c>
      <c r="L36" s="81">
        <f ca="1">'Prev.Ventas 3'!L25*ret_irpf</f>
        <v>0</v>
      </c>
      <c r="M36" s="81">
        <f ca="1">'Prev.Ventas 3'!M25*ret_irpf</f>
        <v>0</v>
      </c>
      <c r="N36" s="1097">
        <f ca="1">SUM(B36:M36)</f>
        <v>0</v>
      </c>
    </row>
    <row r="37" spans="1:14">
      <c r="A37" s="2157" t="str">
        <v>Gastos Deducibles</v>
      </c>
      <c r="B37" s="81">
        <f ca="1">IF($B$5=0,0,'G.F. 3'!B58+'Distr CV 3'!B28-'G.F. 3'!B7+'Gastos Financieros'!C64-'Gastos Financieros'!C102+'PyG 3'!B22)</f>
        <v>1013.8410137272732</v>
      </c>
      <c r="C37" s="81">
        <f ca="1">IF($B$5=0,0,'G.F. 3'!C58+'Distr CV 3'!C28-'G.F. 3'!C7+'Gastos Financieros'!D64-'Gastos Financieros'!D102+'PyG 3'!C22)</f>
        <v>1133.0331287272732</v>
      </c>
      <c r="D37" s="81">
        <f ca="1">IF($B$5=0,0,'G.F. 3'!D58+'Distr CV 3'!D28-'G.F. 3'!D7+'Gastos Financieros'!E64-'Gastos Financieros'!E102+'PyG 3'!D22)</f>
        <v>1192.6291862272731</v>
      </c>
      <c r="E37" s="81">
        <f ca="1">IF($B$5=0,0,'G.F. 3'!E58+'Distr CV 3'!E28-'G.F. 3'!E7+'Gastos Financieros'!F64-'Gastos Financieros'!F102+'PyG 3'!E22)</f>
        <v>1162.8311574772733</v>
      </c>
      <c r="F37" s="81">
        <f ca="1">IF($B$5=0,0,'G.F. 3'!F58+'Distr CV 3'!F28-'G.F. 3'!F7+'Gastos Financieros'!G64-'Gastos Financieros'!G102+'PyG 3'!F22)</f>
        <v>1073.4370712272732</v>
      </c>
      <c r="G37" s="81">
        <f ca="1">IF($B$5=0,0,'G.F. 3'!G58+'Distr CV 3'!G28-'G.F. 3'!G7+'Gastos Financieros'!H64-'Gastos Financieros'!H102+'PyG 3'!G22)</f>
        <v>1483.6390424772731</v>
      </c>
      <c r="H37" s="81">
        <f ca="1">IF($B$5=0,0,'G.F. 3'!H58+'Distr CV 3'!H28-'G.F. 3'!H7+'Gastos Financieros'!I64-'Gastos Financieros'!I102+'PyG 3'!H22)</f>
        <v>1013.8410137272732</v>
      </c>
      <c r="I37" s="81">
        <f ca="1">IF($B$5=0,0,'G.F. 3'!I58+'Distr CV 3'!I28-'G.F. 3'!I7+'Gastos Financieros'!J64-'Gastos Financieros'!J102+'PyG 3'!I22)</f>
        <v>894.64889872727326</v>
      </c>
      <c r="J37" s="81">
        <f ca="1">IF($B$5=0,0,'G.F. 3'!J58+'Distr CV 3'!J28-'G.F. 3'!J7+'Gastos Financieros'!K64-'Gastos Financieros'!K102+'PyG 3'!J22)</f>
        <v>1013.8410137272732</v>
      </c>
      <c r="K37" s="81">
        <f ca="1">IF($B$5=0,0,'G.F. 3'!K58+'Distr CV 3'!K28-'G.F. 3'!K7+'Gastos Financieros'!L64-'Gastos Financieros'!L102+'PyG 3'!K22)</f>
        <v>1103.235099977273</v>
      </c>
      <c r="L37" s="81">
        <f ca="1">IF($B$5=0,0,'G.F. 3'!L58+'Distr CV 3'!L28-'G.F. 3'!L7+'Gastos Financieros'!M64-'Gastos Financieros'!M102+'PyG 3'!L22)</f>
        <v>1133.0331287272732</v>
      </c>
      <c r="M37" s="81">
        <f ca="1">IF($B$5=0,0,'G.F. 3'!M58+'Distr CV 3'!M28-'G.F. 3'!M7+'Gastos Financieros'!N64-'Gastos Financieros'!N102+'PyG 3'!M22)</f>
        <v>1252.225243727273</v>
      </c>
      <c r="N37" s="1097">
        <f ca="1">SUM(B37:M37)</f>
        <v>13470.234998477277</v>
      </c>
    </row>
    <row r="38" spans="1:14">
      <c r="A38" s="2157" t="str">
        <v>Cuotas IRPF</v>
      </c>
      <c r="B38" s="1090">
        <v>0</v>
      </c>
      <c r="C38" s="1090">
        <v>0</v>
      </c>
      <c r="D38" s="1090">
        <v>0</v>
      </c>
      <c r="E38" s="1090">
        <f ca="1">$B$5*(SUM('Prev.Ventas 3'!$B25:D25)-SUM($B37:D37))</f>
        <v>1485.7263342636361</v>
      </c>
      <c r="F38" s="1090">
        <v>0</v>
      </c>
      <c r="G38" s="1090">
        <v>0</v>
      </c>
      <c r="H38" s="1090">
        <f ca="1">$B$5*(SUM('Prev.Ventas 3'!$B25:G25)-SUM($B37:G37))</f>
        <v>2821.1088800272728</v>
      </c>
      <c r="I38" s="1090">
        <v>0</v>
      </c>
      <c r="J38" s="1090">
        <v>0</v>
      </c>
      <c r="K38" s="1090">
        <f ca="1">$B$5*(SUM('Prev.Ventas 3'!$B25:J25)-SUM($B37:J37))</f>
        <v>3870.428694790909</v>
      </c>
      <c r="L38" s="1090">
        <v>0</v>
      </c>
      <c r="M38" s="1090">
        <v>0</v>
      </c>
      <c r="N38" s="1097">
        <f ca="1">$B$5*(SUM('Prev.Ventas 3'!$B25:M25)-N37)</f>
        <v>5512.0145003045454</v>
      </c>
    </row>
    <row r="39" spans="1:14">
      <c r="A39" s="1571"/>
      <c r="B39" s="1091"/>
      <c r="C39" s="1091"/>
      <c r="D39" s="1091"/>
      <c r="E39" s="1091"/>
      <c r="F39" s="1091"/>
      <c r="G39" s="1091"/>
      <c r="H39" s="1091"/>
      <c r="I39" s="1091"/>
      <c r="J39" s="1091"/>
      <c r="K39" s="1091"/>
      <c r="L39" s="1091"/>
      <c r="M39" s="1091"/>
      <c r="N39" s="1098"/>
    </row>
    <row r="40" spans="1:14" ht="19.5" customHeight="1" thickBot="1">
      <c r="A40" s="1099" t="str">
        <f>$A$13</f>
        <v>Liquidaciones Trimestrales</v>
      </c>
      <c r="B40" s="1101">
        <f ca="1">N31</f>
        <v>1587.0148122727278</v>
      </c>
      <c r="C40" s="1102"/>
      <c r="D40" s="1102"/>
      <c r="E40" s="1102">
        <f ca="1">MAX(E38-SUM($B36:D36)-SUM($C40:D40),0)</f>
        <v>1485.7263342636361</v>
      </c>
      <c r="F40" s="1102"/>
      <c r="G40" s="1102"/>
      <c r="H40" s="1102">
        <f ca="1">MAX(H38-SUM($B36:G36)-SUM($C40:G40),0)</f>
        <v>1335.3825457636367</v>
      </c>
      <c r="I40" s="1102"/>
      <c r="J40" s="1102"/>
      <c r="K40" s="1102">
        <f ca="1">MAX(K38-SUM($B36:J36)-SUM($C40:J40),0)</f>
        <v>1049.3198147636363</v>
      </c>
      <c r="L40" s="1102"/>
      <c r="M40" s="1102"/>
      <c r="N40" s="1847">
        <f ca="1">MAX(N38-SUM($B36:M36)-SUM($C40:M40),0)</f>
        <v>1641.5858055136364</v>
      </c>
    </row>
    <row r="43" spans="1:14" ht="23.25" thickBot="1">
      <c r="A43" s="67" t="str">
        <f>$A$7</f>
        <v>Retenciones y pagos a cuenta del I.R.P.F.</v>
      </c>
      <c r="E43" s="521" t="str">
        <f>Parametros!F$77</f>
        <v>Año 4:  2030</v>
      </c>
      <c r="F43" s="234"/>
    </row>
    <row r="44" spans="1:14">
      <c r="A44" s="1094"/>
      <c r="B44" s="1095" t="str">
        <f t="array" ref="B44:M44">meses</f>
        <v>enero</v>
      </c>
      <c r="C44" s="1095" t="str">
        <v>febrero</v>
      </c>
      <c r="D44" s="1095" t="str">
        <v>marzo</v>
      </c>
      <c r="E44" s="1095" t="str">
        <v>abril</v>
      </c>
      <c r="F44" s="1095" t="str">
        <v>mayo</v>
      </c>
      <c r="G44" s="1095" t="str">
        <v>junio</v>
      </c>
      <c r="H44" s="1095" t="str">
        <v>julio</v>
      </c>
      <c r="I44" s="1095" t="str">
        <v>agosto</v>
      </c>
      <c r="J44" s="1095" t="str">
        <v>septiembre</v>
      </c>
      <c r="K44" s="1095" t="str">
        <v>octubre</v>
      </c>
      <c r="L44" s="1095" t="str">
        <v>noviembre</v>
      </c>
      <c r="M44" s="1095" t="str">
        <v>diciembre</v>
      </c>
      <c r="N44" s="1096" t="str">
        <f>$N$8</f>
        <v>Totales</v>
      </c>
    </row>
    <row r="45" spans="1:14">
      <c r="A45" s="2157" t="str">
        <f t="array" ref="A45:A47">$A$9:$A$11</f>
        <v>Retenciones IRPF</v>
      </c>
      <c r="B45" s="81">
        <f ca="1">'Prev.Ventas 4'!B25*ret_irpf</f>
        <v>0</v>
      </c>
      <c r="C45" s="81">
        <f ca="1">'Prev.Ventas 4'!C25*ret_irpf</f>
        <v>0</v>
      </c>
      <c r="D45" s="81">
        <f ca="1">'Prev.Ventas 4'!D25*ret_irpf</f>
        <v>0</v>
      </c>
      <c r="E45" s="81">
        <f ca="1">'Prev.Ventas 4'!E25*ret_irpf</f>
        <v>0</v>
      </c>
      <c r="F45" s="81">
        <f ca="1">'Prev.Ventas 4'!F25*ret_irpf</f>
        <v>0</v>
      </c>
      <c r="G45" s="81">
        <f ca="1">'Prev.Ventas 4'!G25*ret_irpf</f>
        <v>0</v>
      </c>
      <c r="H45" s="81">
        <f ca="1">'Prev.Ventas 4'!H25*ret_irpf</f>
        <v>0</v>
      </c>
      <c r="I45" s="81">
        <f ca="1">'Prev.Ventas 4'!I25*ret_irpf</f>
        <v>0</v>
      </c>
      <c r="J45" s="81">
        <f ca="1">'Prev.Ventas 4'!J25*ret_irpf</f>
        <v>0</v>
      </c>
      <c r="K45" s="81">
        <f ca="1">'Prev.Ventas 4'!K25*ret_irpf</f>
        <v>0</v>
      </c>
      <c r="L45" s="81">
        <f ca="1">'Prev.Ventas 4'!L25*ret_irpf</f>
        <v>0</v>
      </c>
      <c r="M45" s="81">
        <f ca="1">'Prev.Ventas 4'!M25*ret_irpf</f>
        <v>0</v>
      </c>
      <c r="N45" s="1097">
        <f ca="1">SUM(B45:M45)</f>
        <v>0</v>
      </c>
    </row>
    <row r="46" spans="1:14">
      <c r="A46" s="2157" t="str">
        <v>Gastos Deducibles</v>
      </c>
      <c r="B46" s="81">
        <f ca="1">IF($B$5=0,0,'G.F. 4'!B58+'Distr CV 4'!B28-'G.F. 4'!B7+'Gastos Financieros'!C79-'Gastos Financieros'!C107+'PyG 4'!B22)</f>
        <v>1032.6592927596971</v>
      </c>
      <c r="C46" s="81">
        <f ca="1">IF($B$5=0,0,'G.F. 4'!C58+'Distr CV 4'!C28-'G.F. 4'!C7+'Gastos Financieros'!D79-'Gastos Financieros'!D107+'PyG 4'!C22)</f>
        <v>1155.427171209697</v>
      </c>
      <c r="D46" s="81">
        <f ca="1">IF($B$5=0,0,'G.F. 4'!D58+'Distr CV 4'!D28-'G.F. 4'!D7+'Gastos Financieros'!E79-'Gastos Financieros'!E107+'PyG 4'!D22)</f>
        <v>1216.8111104346972</v>
      </c>
      <c r="E46" s="81">
        <f ca="1">IF($B$5=0,0,'G.F. 4'!E58+'Distr CV 4'!E28-'G.F. 4'!E7+'Gastos Financieros'!F79-'Gastos Financieros'!F107+'PyG 4'!E22)</f>
        <v>1186.1191408221969</v>
      </c>
      <c r="F46" s="81">
        <f ca="1">IF($B$5=0,0,'G.F. 4'!F58+'Distr CV 4'!F28-'G.F. 4'!F7+'Gastos Financieros'!G79-'Gastos Financieros'!G107+'PyG 4'!F22)</f>
        <v>1094.0432319846971</v>
      </c>
      <c r="G46" s="81">
        <f ca="1">IF($B$5=0,0,'G.F. 4'!G58+'Distr CV 4'!G28-'G.F. 4'!G7+'Gastos Financieros'!H79-'Gastos Financieros'!H107+'PyG 4'!G22)</f>
        <v>1063.3512623721967</v>
      </c>
      <c r="H46" s="81">
        <f ca="1">IF($B$5=0,0,'G.F. 4'!H58+'Distr CV 4'!H28-'G.F. 4'!H7+'Gastos Financieros'!I79-'Gastos Financieros'!I107+'PyG 4'!H22)</f>
        <v>1032.6592927596971</v>
      </c>
      <c r="I46" s="81">
        <f ca="1">IF($B$5=0,0,'G.F. 4'!I58+'Distr CV 4'!I28-'G.F. 4'!I7+'Gastos Financieros'!J79-'Gastos Financieros'!J107+'PyG 4'!I22)</f>
        <v>909.89141430969698</v>
      </c>
      <c r="J46" s="81">
        <f ca="1">IF($B$5=0,0,'G.F. 4'!J58+'Distr CV 4'!J28-'G.F. 4'!J7+'Gastos Financieros'!K79-'Gastos Financieros'!K107+'PyG 4'!J22)</f>
        <v>1032.6592927596971</v>
      </c>
      <c r="K46" s="81">
        <f ca="1">IF($B$5=0,0,'G.F. 4'!K58+'Distr CV 4'!K28-'G.F. 4'!K7+'Gastos Financieros'!L79-'Gastos Financieros'!L107+'PyG 4'!K22)</f>
        <v>1124.7352015971969</v>
      </c>
      <c r="L46" s="81">
        <f ca="1">IF($B$5=0,0,'G.F. 4'!L58+'Distr CV 4'!L28-'G.F. 4'!L7+'Gastos Financieros'!M79-'Gastos Financieros'!M107+'PyG 4'!L22)</f>
        <v>1155.427171209697</v>
      </c>
      <c r="M46" s="81">
        <f ca="1">IF($B$5=0,0,'G.F. 4'!M58+'Distr CV 4'!M28-'G.F. 4'!M7+'Gastos Financieros'!N79-'Gastos Financieros'!N107+'PyG 4'!M22)</f>
        <v>1278.1950496596971</v>
      </c>
      <c r="N46" s="1097">
        <f ca="1">SUM(B46:M46)</f>
        <v>13281.978631878867</v>
      </c>
    </row>
    <row r="47" spans="1:14">
      <c r="A47" s="2157" t="str">
        <v>Cuotas IRPF</v>
      </c>
      <c r="B47" s="1090">
        <v>0</v>
      </c>
      <c r="C47" s="1090">
        <v>0</v>
      </c>
      <c r="D47" s="1090">
        <v>0</v>
      </c>
      <c r="E47" s="1090">
        <f ca="1">$B$5*(SUM('Prev.Ventas 4'!$B25:D25)-SUM($B46:D46))</f>
        <v>1537.2562951191821</v>
      </c>
      <c r="F47" s="1090">
        <v>0</v>
      </c>
      <c r="G47" s="1090">
        <v>0</v>
      </c>
      <c r="H47" s="1090">
        <f ca="1">$B$5*(SUM('Prev.Ventas 4'!$B25:G25)-SUM($B46:G46))</f>
        <v>3010.2984880833637</v>
      </c>
      <c r="I47" s="1090">
        <v>0</v>
      </c>
      <c r="J47" s="1090">
        <v>0</v>
      </c>
      <c r="K47" s="1090">
        <f ca="1">$B$5*(SUM('Prev.Ventas 4'!$B25:J25)-SUM($B46:J46))</f>
        <v>4098.0560681175457</v>
      </c>
      <c r="L47" s="1090">
        <v>0</v>
      </c>
      <c r="M47" s="1090">
        <v>0</v>
      </c>
      <c r="N47" s="1097">
        <f ca="1">$B$5*(SUM('Prev.Ventas 4'!$B25:M25)-N46)</f>
        <v>5795.8476186242278</v>
      </c>
    </row>
    <row r="48" spans="1:14">
      <c r="A48" s="1571"/>
      <c r="B48" s="1091"/>
      <c r="C48" s="1091"/>
      <c r="D48" s="1091"/>
      <c r="E48" s="1091"/>
      <c r="F48" s="1091"/>
      <c r="G48" s="1091"/>
      <c r="H48" s="1091"/>
      <c r="I48" s="1091"/>
      <c r="J48" s="1091"/>
      <c r="K48" s="1091"/>
      <c r="L48" s="1091"/>
      <c r="M48" s="1091"/>
      <c r="N48" s="1098"/>
    </row>
    <row r="49" spans="1:14" ht="19.5" customHeight="1" thickBot="1">
      <c r="A49" s="1099" t="str">
        <f>$A$13</f>
        <v>Liquidaciones Trimestrales</v>
      </c>
      <c r="B49" s="1101">
        <f ca="1">N40</f>
        <v>1641.5858055136364</v>
      </c>
      <c r="C49" s="1102"/>
      <c r="D49" s="1102"/>
      <c r="E49" s="1102">
        <f ca="1">MAX(E47-SUM($B45:D45)-SUM($C49:D49),0)</f>
        <v>1537.2562951191821</v>
      </c>
      <c r="F49" s="1102"/>
      <c r="G49" s="1102"/>
      <c r="H49" s="1102">
        <f ca="1">MAX(H47-SUM($B45:G45)-SUM($C49:G49),0)</f>
        <v>1473.0421929641816</v>
      </c>
      <c r="I49" s="1102"/>
      <c r="J49" s="1102"/>
      <c r="K49" s="1102">
        <f ca="1">MAX(K47-SUM($B45:J45)-SUM($C49:J49),0)</f>
        <v>1087.757580034182</v>
      </c>
      <c r="L49" s="1102"/>
      <c r="M49" s="1102"/>
      <c r="N49" s="1847">
        <f ca="1">MAX(N47-SUM($B45:M45)-SUM($C49:M49),0)</f>
        <v>1697.7915505066821</v>
      </c>
    </row>
  </sheetData>
  <sheetProtection sheet="1" objects="1" scenarios="1"/>
  <phoneticPr fontId="6" type="noConversion"/>
  <conditionalFormatting sqref="B5">
    <cfRule type="cellIs" dxfId="17" priority="2" stopIfTrue="1" operator="equal">
      <formula>0</formula>
    </cfRule>
  </conditionalFormatting>
  <conditionalFormatting sqref="B9:M11">
    <cfRule type="expression" dxfId="16" priority="1" stopIfTrue="1">
      <formula>COLUMN(B$8)&lt;=mes0</formula>
    </cfRule>
  </conditionalFormatting>
  <printOptions horizontalCentered="1"/>
  <pageMargins left="0.57999999999999996" right="0.75" top="0.46" bottom="1" header="0" footer="0"/>
  <pageSetup paperSize="9" scale="59" orientation="landscape" horizontalDpi="300" r:id="rId1"/>
  <headerFooter alignWithMargins="0"/>
  <legacy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3">
    <tabColor indexed="42"/>
    <pageSetUpPr fitToPage="1"/>
  </sheetPr>
  <dimension ref="A1:O60"/>
  <sheetViews>
    <sheetView workbookViewId="0"/>
  </sheetViews>
  <sheetFormatPr baseColWidth="10" defaultColWidth="11" defaultRowHeight="15"/>
  <cols>
    <col min="1" max="1" width="31.375" style="35" customWidth="1"/>
    <col min="2" max="2" width="11.125" style="35" bestFit="1" customWidth="1"/>
    <col min="3" max="3" width="11.625" style="35" customWidth="1"/>
    <col min="4" max="9" width="11.125" style="35" bestFit="1" customWidth="1"/>
    <col min="10" max="10" width="11.75" style="35" bestFit="1" customWidth="1"/>
    <col min="11" max="13" width="11.125" style="35" bestFit="1" customWidth="1"/>
    <col min="14" max="14" width="12" style="35" bestFit="1" customWidth="1"/>
    <col min="15" max="15" width="9.25" style="35" customWidth="1"/>
    <col min="16" max="16384" width="11" style="35"/>
  </cols>
  <sheetData>
    <row r="1" spans="1:15" s="98" customFormat="1" ht="22.5">
      <c r="A1" s="67" t="s">
        <v>389</v>
      </c>
      <c r="B1" s="67"/>
      <c r="C1" s="67"/>
      <c r="D1" s="67"/>
      <c r="E1" s="521" t="str">
        <f>Parametros!B$77</f>
        <v>Año 0:  2026</v>
      </c>
      <c r="F1" s="67"/>
    </row>
    <row r="2" spans="1:15" s="98" customFormat="1" ht="22.5">
      <c r="A2" s="67" t="str">
        <f>'Datos Básicos'!B9</f>
        <v>nombre empresa</v>
      </c>
      <c r="B2" s="67"/>
      <c r="C2" s="67"/>
      <c r="D2" s="67"/>
      <c r="E2" s="67"/>
      <c r="F2" s="67"/>
      <c r="G2" s="67"/>
    </row>
    <row r="3" spans="1:15" ht="15.75" thickBot="1">
      <c r="B3" s="61"/>
      <c r="C3" s="61"/>
      <c r="D3" s="61"/>
      <c r="E3" s="61"/>
      <c r="F3" s="61"/>
      <c r="G3" s="61"/>
    </row>
    <row r="4" spans="1:15" ht="15.75" thickBot="1">
      <c r="A4" s="2808" t="s">
        <v>151</v>
      </c>
      <c r="B4" s="157" t="str">
        <f t="array" ref="B4:M4">meses</f>
        <v>enero</v>
      </c>
      <c r="C4" s="158" t="str">
        <v>febrero</v>
      </c>
      <c r="D4" s="158" t="str">
        <v>marzo</v>
      </c>
      <c r="E4" s="158" t="str">
        <v>abril</v>
      </c>
      <c r="F4" s="158" t="str">
        <v>mayo</v>
      </c>
      <c r="G4" s="158" t="str">
        <v>junio</v>
      </c>
      <c r="H4" s="158" t="str">
        <v>julio</v>
      </c>
      <c r="I4" s="158" t="str">
        <v>agosto</v>
      </c>
      <c r="J4" s="158" t="str">
        <v>septiembre</v>
      </c>
      <c r="K4" s="158" t="str">
        <v>octubre</v>
      </c>
      <c r="L4" s="158" t="str">
        <v>noviembre</v>
      </c>
      <c r="M4" s="159" t="str">
        <v>diciembre</v>
      </c>
      <c r="N4" s="103" t="s">
        <v>15</v>
      </c>
      <c r="O4" s="103" t="s">
        <v>32</v>
      </c>
    </row>
    <row r="5" spans="1:15" ht="15.75" thickBot="1">
      <c r="A5" s="2117"/>
      <c r="B5" s="111"/>
      <c r="C5" s="112"/>
      <c r="D5" s="112"/>
      <c r="E5" s="112"/>
      <c r="F5" s="112"/>
      <c r="G5" s="112"/>
      <c r="H5" s="112"/>
      <c r="I5" s="112"/>
      <c r="J5" s="112"/>
      <c r="K5" s="112"/>
      <c r="L5" s="112"/>
      <c r="M5" s="113"/>
      <c r="N5" s="114"/>
      <c r="O5" s="115"/>
    </row>
    <row r="6" spans="1:15">
      <c r="A6" s="2809" t="s">
        <v>382</v>
      </c>
      <c r="B6" s="73"/>
      <c r="C6" s="74"/>
      <c r="D6" s="74"/>
      <c r="E6" s="74"/>
      <c r="F6" s="74"/>
      <c r="G6" s="74"/>
      <c r="H6" s="74"/>
      <c r="I6" s="74"/>
      <c r="J6" s="74"/>
      <c r="K6" s="74"/>
      <c r="L6" s="74"/>
      <c r="M6" s="75"/>
      <c r="N6" s="76"/>
      <c r="O6" s="105"/>
    </row>
    <row r="7" spans="1:15">
      <c r="A7" s="2810" t="str">
        <f t="array" ref="A7:A14">catlaborales</f>
        <v>Socios/as gestores/as</v>
      </c>
      <c r="B7" s="77">
        <f>IF(COLUMN(B$4)&lt;=mes0+'RR.HH.'!$D$33,0,
       IF(COLUMN(B$4)&lt;=mes0+'RR.HH.'!$D$33+'RR.HH.'!$D$34, 'RR.HH.'!$B19*Plantilla!C9/('RR.HH.'!$D$34)*(COLUMN(B$4)-'RR.HH.'!$D$33-mes0),
             'RR.HH.'!$B19*Plantilla!C9))</f>
        <v>1500</v>
      </c>
      <c r="C7" s="78">
        <f>IF(COLUMN(C$4)&lt;=mes0+'RR.HH.'!$D$33,0,
       IF(COLUMN(C$4)&lt;=mes0+'RR.HH.'!$D$33+'RR.HH.'!$D$34, 'RR.HH.'!$B19*Plantilla!D9/('RR.HH.'!$D$34)*(COLUMN(C$4)-'RR.HH.'!$D$33-mes0),
             'RR.HH.'!$B19*Plantilla!D9))</f>
        <v>1500</v>
      </c>
      <c r="D7" s="78">
        <f>IF(COLUMN(D$4)&lt;=mes0+'RR.HH.'!$D$33,0,
       IF(COLUMN(D$4)&lt;=mes0+'RR.HH.'!$D$33+'RR.HH.'!$D$34, 'RR.HH.'!$B19*Plantilla!E9/('RR.HH.'!$D$34)*(COLUMN(D$4)-'RR.HH.'!$D$33-mes0),
             'RR.HH.'!$B19*Plantilla!E9))</f>
        <v>1500</v>
      </c>
      <c r="E7" s="78">
        <f>IF(COLUMN(E$4)&lt;=mes0+'RR.HH.'!$D$33,0,
       IF(COLUMN(E$4)&lt;=mes0+'RR.HH.'!$D$33+'RR.HH.'!$D$34, 'RR.HH.'!$B19*Plantilla!F9/('RR.HH.'!$D$34)*(COLUMN(E$4)-'RR.HH.'!$D$33-mes0),
             'RR.HH.'!$B19*Plantilla!F9))</f>
        <v>1500</v>
      </c>
      <c r="F7" s="78">
        <f>IF(COLUMN(F$4)&lt;=mes0+'RR.HH.'!$D$33,0,
       IF(COLUMN(F$4)&lt;=mes0+'RR.HH.'!$D$33+'RR.HH.'!$D$34, 'RR.HH.'!$B19*Plantilla!G9/('RR.HH.'!$D$34)*(COLUMN(F$4)-'RR.HH.'!$D$33-mes0),
             'RR.HH.'!$B19*Plantilla!G9))</f>
        <v>1500</v>
      </c>
      <c r="G7" s="78">
        <f>IF(COLUMN(G$4)&lt;=mes0+'RR.HH.'!$D$33,0,
       IF(COLUMN(G$4)&lt;=mes0+'RR.HH.'!$D$33+'RR.HH.'!$D$34, 'RR.HH.'!$B19*Plantilla!H9/('RR.HH.'!$D$34)*(COLUMN(G$4)-'RR.HH.'!$D$33-mes0),
             'RR.HH.'!$B19*Plantilla!H9))</f>
        <v>1500</v>
      </c>
      <c r="H7" s="78">
        <f>IF(COLUMN(H$4)&lt;=mes0+'RR.HH.'!$D$33,0,
       IF(COLUMN(H$4)&lt;=mes0+'RR.HH.'!$D$33+'RR.HH.'!$D$34, 'RR.HH.'!$B19*Plantilla!I9/('RR.HH.'!$D$34)*(COLUMN(H$4)-'RR.HH.'!$D$33-mes0),
             'RR.HH.'!$B19*Plantilla!I9))</f>
        <v>1500</v>
      </c>
      <c r="I7" s="78">
        <f>IF(COLUMN(I$4)&lt;=mes0+'RR.HH.'!$D$33,0,
       IF(COLUMN(I$4)&lt;=mes0+'RR.HH.'!$D$33+'RR.HH.'!$D$34, 'RR.HH.'!$B19*Plantilla!J9/('RR.HH.'!$D$34)*(COLUMN(I$4)-'RR.HH.'!$D$33-mes0),
             'RR.HH.'!$B19*Plantilla!J9))</f>
        <v>1500</v>
      </c>
      <c r="J7" s="78">
        <f>IF(COLUMN(J$4)&lt;=mes0+'RR.HH.'!$D$33,0,
       IF(COLUMN(J$4)&lt;=mes0+'RR.HH.'!$D$33+'RR.HH.'!$D$34, 'RR.HH.'!$B19*Plantilla!K9/('RR.HH.'!$D$34)*(COLUMN(J$4)-'RR.HH.'!$D$33-mes0),
             'RR.HH.'!$B19*Plantilla!K9))</f>
        <v>1500</v>
      </c>
      <c r="K7" s="78">
        <f>IF(COLUMN(K$4)&lt;=mes0+'RR.HH.'!$D$33,0,
       IF(COLUMN(K$4)&lt;=mes0+'RR.HH.'!$D$33+'RR.HH.'!$D$34, 'RR.HH.'!$B19*Plantilla!L9/('RR.HH.'!$D$34)*(COLUMN(K$4)-'RR.HH.'!$D$33-mes0),
             'RR.HH.'!$B19*Plantilla!L9))</f>
        <v>1500</v>
      </c>
      <c r="L7" s="78">
        <f>IF(COLUMN(L$4)&lt;=mes0+'RR.HH.'!$D$33,0,
       IF(COLUMN(L$4)&lt;=mes0+'RR.HH.'!$D$33+'RR.HH.'!$D$34, 'RR.HH.'!$B19*Plantilla!M9/('RR.HH.'!$D$34)*(COLUMN(L$4)-'RR.HH.'!$D$33-mes0),
             'RR.HH.'!$B19*Plantilla!M9))</f>
        <v>1500</v>
      </c>
      <c r="M7" s="79">
        <f>IF(COLUMN(M$4)&lt;=mes0+'RR.HH.'!$D$33,0,
       IF(COLUMN(M$4)&lt;=mes0+'RR.HH.'!$D$33+'RR.HH.'!$D$34, 'RR.HH.'!$B19*Plantilla!N9/('RR.HH.'!$D$34)*(COLUMN(M$4)-'RR.HH.'!$D$33-mes0),
             'RR.HH.'!$B19*Plantilla!N9))</f>
        <v>1500</v>
      </c>
      <c r="N7" s="97">
        <f t="shared" ref="N7:N14" si="0">SUM(B7:M7)</f>
        <v>18000</v>
      </c>
      <c r="O7" s="106">
        <f t="array" ref="O7:O15">N7:N15/$N$27</f>
        <v>0.94577553593947039</v>
      </c>
    </row>
    <row r="8" spans="1:15">
      <c r="A8" s="2810" t="str">
        <v>Otros personas en RETA</v>
      </c>
      <c r="B8" s="77">
        <f>IF(COLUMN(B$4)&lt;=mes0+'RR.HH.'!$D$33,0,
       IF(COLUMN(B$4)&lt;=mes0+'RR.HH.'!$D$33+'RR.HH.'!$D$34, 'RR.HH.'!$B20*Plantilla!C10/('RR.HH.'!$D$34)*(COLUMN(B$4)-'RR.HH.'!$D$33-mes0),
             'RR.HH.'!$B20*Plantilla!C10))</f>
        <v>0</v>
      </c>
      <c r="C8" s="78">
        <f>IF(COLUMN(C$4)&lt;=mes0+'RR.HH.'!$D$33,0,
       IF(COLUMN(C$4)&lt;=mes0+'RR.HH.'!$D$33+'RR.HH.'!$D$34, 'RR.HH.'!$B20*Plantilla!D10/('RR.HH.'!$D$34)*(COLUMN(C$4)-'RR.HH.'!$D$33-mes0),
             'RR.HH.'!$B20*Plantilla!D10))</f>
        <v>0</v>
      </c>
      <c r="D8" s="78">
        <f>IF(COLUMN(D$4)&lt;=mes0+'RR.HH.'!$D$33,0,
       IF(COLUMN(D$4)&lt;=mes0+'RR.HH.'!$D$33+'RR.HH.'!$D$34, 'RR.HH.'!$B20*Plantilla!E10/('RR.HH.'!$D$34)*(COLUMN(D$4)-'RR.HH.'!$D$33-mes0),
             'RR.HH.'!$B20*Plantilla!E10))</f>
        <v>0</v>
      </c>
      <c r="E8" s="78">
        <f>IF(COLUMN(E$4)&lt;=mes0+'RR.HH.'!$D$33,0,
       IF(COLUMN(E$4)&lt;=mes0+'RR.HH.'!$D$33+'RR.HH.'!$D$34, 'RR.HH.'!$B20*Plantilla!F10/('RR.HH.'!$D$34)*(COLUMN(E$4)-'RR.HH.'!$D$33-mes0),
             'RR.HH.'!$B20*Plantilla!F10))</f>
        <v>0</v>
      </c>
      <c r="F8" s="78">
        <f>IF(COLUMN(F$4)&lt;=mes0+'RR.HH.'!$D$33,0,
       IF(COLUMN(F$4)&lt;=mes0+'RR.HH.'!$D$33+'RR.HH.'!$D$34, 'RR.HH.'!$B20*Plantilla!G10/('RR.HH.'!$D$34)*(COLUMN(F$4)-'RR.HH.'!$D$33-mes0),
             'RR.HH.'!$B20*Plantilla!G10))</f>
        <v>0</v>
      </c>
      <c r="G8" s="78">
        <f>IF(COLUMN(G$4)&lt;=mes0+'RR.HH.'!$D$33,0,
       IF(COLUMN(G$4)&lt;=mes0+'RR.HH.'!$D$33+'RR.HH.'!$D$34, 'RR.HH.'!$B20*Plantilla!H10/('RR.HH.'!$D$34)*(COLUMN(G$4)-'RR.HH.'!$D$33-mes0),
             'RR.HH.'!$B20*Plantilla!H10))</f>
        <v>0</v>
      </c>
      <c r="H8" s="78">
        <f>IF(COLUMN(H$4)&lt;=mes0+'RR.HH.'!$D$33,0,
       IF(COLUMN(H$4)&lt;=mes0+'RR.HH.'!$D$33+'RR.HH.'!$D$34, 'RR.HH.'!$B20*Plantilla!I10/('RR.HH.'!$D$34)*(COLUMN(H$4)-'RR.HH.'!$D$33-mes0),
             'RR.HH.'!$B20*Plantilla!I10))</f>
        <v>0</v>
      </c>
      <c r="I8" s="78">
        <f>IF(COLUMN(I$4)&lt;=mes0+'RR.HH.'!$D$33,0,
       IF(COLUMN(I$4)&lt;=mes0+'RR.HH.'!$D$33+'RR.HH.'!$D$34, 'RR.HH.'!$B20*Plantilla!J10/('RR.HH.'!$D$34)*(COLUMN(I$4)-'RR.HH.'!$D$33-mes0),
             'RR.HH.'!$B20*Plantilla!J10))</f>
        <v>0</v>
      </c>
      <c r="J8" s="78">
        <f>IF(COLUMN(J$4)&lt;=mes0+'RR.HH.'!$D$33,0,
       IF(COLUMN(J$4)&lt;=mes0+'RR.HH.'!$D$33+'RR.HH.'!$D$34, 'RR.HH.'!$B20*Plantilla!K10/('RR.HH.'!$D$34)*(COLUMN(J$4)-'RR.HH.'!$D$33-mes0),
             'RR.HH.'!$B20*Plantilla!K10))</f>
        <v>0</v>
      </c>
      <c r="K8" s="78">
        <f>IF(COLUMN(K$4)&lt;=mes0+'RR.HH.'!$D$33,0,
       IF(COLUMN(K$4)&lt;=mes0+'RR.HH.'!$D$33+'RR.HH.'!$D$34, 'RR.HH.'!$B20*Plantilla!L10/('RR.HH.'!$D$34)*(COLUMN(K$4)-'RR.HH.'!$D$33-mes0),
             'RR.HH.'!$B20*Plantilla!L10))</f>
        <v>0</v>
      </c>
      <c r="L8" s="78">
        <f>IF(COLUMN(L$4)&lt;=mes0+'RR.HH.'!$D$33,0,
       IF(COLUMN(L$4)&lt;=mes0+'RR.HH.'!$D$33+'RR.HH.'!$D$34, 'RR.HH.'!$B20*Plantilla!M10/('RR.HH.'!$D$34)*(COLUMN(L$4)-'RR.HH.'!$D$33-mes0),
             'RR.HH.'!$B20*Plantilla!M10))</f>
        <v>0</v>
      </c>
      <c r="M8" s="79">
        <f>IF(COLUMN(M$4)&lt;=mes0+'RR.HH.'!$D$33,0,
       IF(COLUMN(M$4)&lt;=mes0+'RR.HH.'!$D$33+'RR.HH.'!$D$34, 'RR.HH.'!$B20*Plantilla!N10/('RR.HH.'!$D$34)*(COLUMN(M$4)-'RR.HH.'!$D$33-mes0),
             'RR.HH.'!$B20*Plantilla!N10))</f>
        <v>0</v>
      </c>
      <c r="N8" s="97">
        <f t="shared" si="0"/>
        <v>0</v>
      </c>
      <c r="O8" s="106">
        <v>0</v>
      </c>
    </row>
    <row r="9" spans="1:15">
      <c r="A9" s="2810" t="str">
        <v>empleado</v>
      </c>
      <c r="B9" s="77">
        <f t="array" ref="B9:M14">IF(COLUMN(B$4:M$4)&lt;=mes0,0,'RR.HH.'!$B21:$B27*Plantilla!C11:N17)</f>
        <v>0</v>
      </c>
      <c r="C9" s="78">
        <v>0</v>
      </c>
      <c r="D9" s="78">
        <v>0</v>
      </c>
      <c r="E9" s="78">
        <v>0</v>
      </c>
      <c r="F9" s="78">
        <v>0</v>
      </c>
      <c r="G9" s="78">
        <v>0</v>
      </c>
      <c r="H9" s="78">
        <v>0</v>
      </c>
      <c r="I9" s="78">
        <v>0</v>
      </c>
      <c r="J9" s="78">
        <v>0</v>
      </c>
      <c r="K9" s="78">
        <v>0</v>
      </c>
      <c r="L9" s="78">
        <v>0</v>
      </c>
      <c r="M9" s="79">
        <v>0</v>
      </c>
      <c r="N9" s="97">
        <f t="shared" si="0"/>
        <v>0</v>
      </c>
      <c r="O9" s="106">
        <v>0</v>
      </c>
    </row>
    <row r="10" spans="1:15">
      <c r="A10" s="2810" t="str">
        <v>encargado</v>
      </c>
      <c r="B10" s="77">
        <v>0</v>
      </c>
      <c r="C10" s="78">
        <v>0</v>
      </c>
      <c r="D10" s="78">
        <v>0</v>
      </c>
      <c r="E10" s="78">
        <v>0</v>
      </c>
      <c r="F10" s="78">
        <v>0</v>
      </c>
      <c r="G10" s="78">
        <v>0</v>
      </c>
      <c r="H10" s="78">
        <v>0</v>
      </c>
      <c r="I10" s="78">
        <v>0</v>
      </c>
      <c r="J10" s="78">
        <v>0</v>
      </c>
      <c r="K10" s="78">
        <v>0</v>
      </c>
      <c r="L10" s="78">
        <v>0</v>
      </c>
      <c r="M10" s="79">
        <v>0</v>
      </c>
      <c r="N10" s="97">
        <f t="shared" si="0"/>
        <v>0</v>
      </c>
      <c r="O10" s="106">
        <v>0</v>
      </c>
    </row>
    <row r="11" spans="1:15">
      <c r="A11" s="2810" t="str">
        <v/>
      </c>
      <c r="B11" s="77">
        <v>0</v>
      </c>
      <c r="C11" s="78">
        <v>0</v>
      </c>
      <c r="D11" s="78">
        <v>0</v>
      </c>
      <c r="E11" s="78">
        <v>0</v>
      </c>
      <c r="F11" s="78">
        <v>0</v>
      </c>
      <c r="G11" s="78">
        <v>0</v>
      </c>
      <c r="H11" s="78">
        <v>0</v>
      </c>
      <c r="I11" s="78">
        <v>0</v>
      </c>
      <c r="J11" s="78">
        <v>0</v>
      </c>
      <c r="K11" s="78">
        <v>0</v>
      </c>
      <c r="L11" s="78">
        <v>0</v>
      </c>
      <c r="M11" s="79">
        <v>0</v>
      </c>
      <c r="N11" s="97">
        <f t="shared" si="0"/>
        <v>0</v>
      </c>
      <c r="O11" s="106">
        <v>0</v>
      </c>
    </row>
    <row r="12" spans="1:15">
      <c r="A12" s="2810" t="str">
        <v/>
      </c>
      <c r="B12" s="77">
        <v>0</v>
      </c>
      <c r="C12" s="78">
        <v>0</v>
      </c>
      <c r="D12" s="78">
        <v>0</v>
      </c>
      <c r="E12" s="78">
        <v>0</v>
      </c>
      <c r="F12" s="78">
        <v>0</v>
      </c>
      <c r="G12" s="78">
        <v>0</v>
      </c>
      <c r="H12" s="78">
        <v>0</v>
      </c>
      <c r="I12" s="78">
        <v>0</v>
      </c>
      <c r="J12" s="78">
        <v>0</v>
      </c>
      <c r="K12" s="78">
        <v>0</v>
      </c>
      <c r="L12" s="78">
        <v>0</v>
      </c>
      <c r="M12" s="79">
        <v>0</v>
      </c>
      <c r="N12" s="97">
        <f t="shared" si="0"/>
        <v>0</v>
      </c>
      <c r="O12" s="106">
        <v>0</v>
      </c>
    </row>
    <row r="13" spans="1:15">
      <c r="A13" s="2810" t="str">
        <v/>
      </c>
      <c r="B13" s="77">
        <v>0</v>
      </c>
      <c r="C13" s="78">
        <v>0</v>
      </c>
      <c r="D13" s="78">
        <v>0</v>
      </c>
      <c r="E13" s="78">
        <v>0</v>
      </c>
      <c r="F13" s="78">
        <v>0</v>
      </c>
      <c r="G13" s="78">
        <v>0</v>
      </c>
      <c r="H13" s="78">
        <v>0</v>
      </c>
      <c r="I13" s="78">
        <v>0</v>
      </c>
      <c r="J13" s="78">
        <v>0</v>
      </c>
      <c r="K13" s="78">
        <v>0</v>
      </c>
      <c r="L13" s="78">
        <v>0</v>
      </c>
      <c r="M13" s="79">
        <v>0</v>
      </c>
      <c r="N13" s="97">
        <f t="shared" si="0"/>
        <v>0</v>
      </c>
      <c r="O13" s="106">
        <v>0</v>
      </c>
    </row>
    <row r="14" spans="1:15">
      <c r="A14" s="2810" t="str">
        <v/>
      </c>
      <c r="B14" s="77">
        <v>0</v>
      </c>
      <c r="C14" s="78">
        <v>0</v>
      </c>
      <c r="D14" s="78">
        <v>0</v>
      </c>
      <c r="E14" s="78">
        <v>0</v>
      </c>
      <c r="F14" s="78">
        <v>0</v>
      </c>
      <c r="G14" s="78">
        <v>0</v>
      </c>
      <c r="H14" s="78">
        <v>0</v>
      </c>
      <c r="I14" s="78">
        <v>0</v>
      </c>
      <c r="J14" s="78">
        <v>0</v>
      </c>
      <c r="K14" s="78">
        <v>0</v>
      </c>
      <c r="L14" s="78">
        <v>0</v>
      </c>
      <c r="M14" s="79">
        <v>0</v>
      </c>
      <c r="N14" s="97">
        <f t="shared" si="0"/>
        <v>0</v>
      </c>
      <c r="O14" s="106">
        <v>0</v>
      </c>
    </row>
    <row r="15" spans="1:15" ht="15.75" thickBot="1">
      <c r="A15" s="2811" t="str">
        <f>"Total "&amp;A6</f>
        <v>Total Sueldos y salarios</v>
      </c>
      <c r="B15" s="134">
        <f t="shared" ref="B15:M15" si="1">SUM(B7:B14)</f>
        <v>1500</v>
      </c>
      <c r="C15" s="135">
        <f t="shared" si="1"/>
        <v>1500</v>
      </c>
      <c r="D15" s="135">
        <f t="shared" si="1"/>
        <v>1500</v>
      </c>
      <c r="E15" s="135">
        <f t="shared" si="1"/>
        <v>1500</v>
      </c>
      <c r="F15" s="135">
        <f t="shared" si="1"/>
        <v>1500</v>
      </c>
      <c r="G15" s="135">
        <f t="shared" si="1"/>
        <v>1500</v>
      </c>
      <c r="H15" s="135">
        <f t="shared" si="1"/>
        <v>1500</v>
      </c>
      <c r="I15" s="135">
        <f t="shared" si="1"/>
        <v>1500</v>
      </c>
      <c r="J15" s="135">
        <f t="shared" si="1"/>
        <v>1500</v>
      </c>
      <c r="K15" s="135">
        <f t="shared" si="1"/>
        <v>1500</v>
      </c>
      <c r="L15" s="135">
        <f t="shared" si="1"/>
        <v>1500</v>
      </c>
      <c r="M15" s="136">
        <f t="shared" si="1"/>
        <v>1500</v>
      </c>
      <c r="N15" s="137">
        <f>SUM(B15:M15)</f>
        <v>18000</v>
      </c>
      <c r="O15" s="109">
        <v>0.94577553593947039</v>
      </c>
    </row>
    <row r="16" spans="1:15" ht="15.75" thickBot="1">
      <c r="A16" s="2812"/>
      <c r="B16" s="123"/>
      <c r="C16" s="124"/>
      <c r="D16" s="124"/>
      <c r="E16" s="124"/>
      <c r="F16" s="124"/>
      <c r="G16" s="124"/>
      <c r="H16" s="124"/>
      <c r="I16" s="124"/>
      <c r="J16" s="124"/>
      <c r="K16" s="124"/>
      <c r="L16" s="124"/>
      <c r="M16" s="125"/>
      <c r="N16" s="126"/>
      <c r="O16" s="127"/>
    </row>
    <row r="17" spans="1:15">
      <c r="A17" s="2809" t="s">
        <v>390</v>
      </c>
      <c r="B17" s="73"/>
      <c r="C17" s="74"/>
      <c r="D17" s="74"/>
      <c r="E17" s="74"/>
      <c r="F17" s="74"/>
      <c r="G17" s="74"/>
      <c r="H17" s="74"/>
      <c r="I17" s="74"/>
      <c r="J17" s="74"/>
      <c r="K17" s="74"/>
      <c r="L17" s="74"/>
      <c r="M17" s="75"/>
      <c r="N17" s="133"/>
      <c r="O17" s="105"/>
    </row>
    <row r="18" spans="1:15">
      <c r="A18" s="144" t="s">
        <v>156</v>
      </c>
      <c r="B18" s="91">
        <f t="array" ref="B18">IF(COLUMN(B$4)&lt;=mes0,0,SUM('RR.HH.'!$B37:$B38*Plantilla!C9:C10))</f>
        <v>86</v>
      </c>
      <c r="C18" s="92">
        <f t="array" ref="C18">IF(COLUMN(C$4)&lt;=mes0,0,SUM('RR.HH.'!$B37:$B38*Plantilla!D9:D10))</f>
        <v>86</v>
      </c>
      <c r="D18" s="92">
        <f t="array" ref="D18">IF(COLUMN(D$4)&lt;=mes0,0,SUM('RR.HH.'!$B37:$B38*Plantilla!E9:E10))</f>
        <v>86</v>
      </c>
      <c r="E18" s="92">
        <f t="array" ref="E18">IF(COLUMN(E$4)&lt;=mes0,0,SUM('RR.HH.'!$B37:$B38*Plantilla!F9:F10))</f>
        <v>86</v>
      </c>
      <c r="F18" s="92">
        <f t="array" ref="F18">IF(COLUMN(F$4)&lt;=mes0,0,SUM('RR.HH.'!$B37:$B38*Plantilla!G9:G10))</f>
        <v>86</v>
      </c>
      <c r="G18" s="92">
        <f t="array" ref="G18">IF(COLUMN(G$4)&lt;=mes0,0,SUM('RR.HH.'!$B37:$B38*Plantilla!H9:H10))</f>
        <v>86</v>
      </c>
      <c r="H18" s="92">
        <f t="array" ref="H18">IF(COLUMN(H$4)&lt;=mes0,0,SUM('RR.HH.'!$B37:$B38*Plantilla!I9:I10))</f>
        <v>86</v>
      </c>
      <c r="I18" s="92">
        <f t="array" ref="I18">IF(COLUMN(I$4)&lt;=mes0,0,SUM('RR.HH.'!$B37:$B38*Plantilla!J9:J10))</f>
        <v>86</v>
      </c>
      <c r="J18" s="92">
        <f t="array" ref="J18">IF(COLUMN(J$4)&lt;=mes0,0,SUM('RR.HH.'!$B37:$B38*Plantilla!K9:K10))</f>
        <v>86</v>
      </c>
      <c r="K18" s="92">
        <f t="array" ref="K18">IF(COLUMN(K$4)&lt;=mes0,0,SUM('RR.HH.'!$B37:$B38*Plantilla!L9:L10))</f>
        <v>86</v>
      </c>
      <c r="L18" s="92">
        <f t="array" ref="L18">IF(COLUMN(L$4)&lt;=mes0,0,SUM('RR.HH.'!$B37:$B38*Plantilla!M9:M10))</f>
        <v>86</v>
      </c>
      <c r="M18" s="93">
        <f t="array" ref="M18">IF(COLUMN(M$4)&lt;=mes0,0,SUM('RR.HH.'!$B37:$B38*Plantilla!N9:N10))</f>
        <v>86</v>
      </c>
      <c r="N18" s="97">
        <f>SUM(B18:M18)</f>
        <v>1032</v>
      </c>
      <c r="O18" s="106">
        <f t="array" ref="O18:O20">N18:N20/$N$27</f>
        <v>5.4224464060529637E-2</v>
      </c>
    </row>
    <row r="19" spans="1:15">
      <c r="A19" s="144" t="s">
        <v>81</v>
      </c>
      <c r="B19" s="91">
        <f t="array" ref="B19">SUM(B9:B14*'RR.HH.'!$B39:$B44)</f>
        <v>0</v>
      </c>
      <c r="C19" s="92">
        <f t="array" ref="C19">SUM(C9:C14*'RR.HH.'!$B39:$B44)</f>
        <v>0</v>
      </c>
      <c r="D19" s="92">
        <f t="array" ref="D19">SUM(D9:D14*'RR.HH.'!$B39:$B44)</f>
        <v>0</v>
      </c>
      <c r="E19" s="92">
        <f t="array" ref="E19">SUM(E9:E14*'RR.HH.'!$B39:$B44)</f>
        <v>0</v>
      </c>
      <c r="F19" s="92">
        <f t="array" ref="F19">SUM(F9:F14*'RR.HH.'!$B39:$B44)</f>
        <v>0</v>
      </c>
      <c r="G19" s="92">
        <f t="array" ref="G19">SUM(G9:G14*'RR.HH.'!$B39:$B44)</f>
        <v>0</v>
      </c>
      <c r="H19" s="92">
        <f t="array" ref="H19">SUM(H9:H14*'RR.HH.'!$B39:$B44)</f>
        <v>0</v>
      </c>
      <c r="I19" s="92">
        <f t="array" ref="I19">SUM(I9:I14*'RR.HH.'!$B39:$B44)</f>
        <v>0</v>
      </c>
      <c r="J19" s="92">
        <f t="array" ref="J19">SUM(J9:J14*'RR.HH.'!$B39:$B44)</f>
        <v>0</v>
      </c>
      <c r="K19" s="92">
        <f t="array" ref="K19">SUM(K9:K14*'RR.HH.'!$B39:$B44)</f>
        <v>0</v>
      </c>
      <c r="L19" s="92">
        <f t="array" ref="L19">SUM(L9:L14*'RR.HH.'!$B39:$B44)</f>
        <v>0</v>
      </c>
      <c r="M19" s="93">
        <f t="array" ref="M19">SUM(M9:M14*'RR.HH.'!$B39:$B44)</f>
        <v>0</v>
      </c>
      <c r="N19" s="97">
        <f>SUM(B19:M19)</f>
        <v>0</v>
      </c>
      <c r="O19" s="106">
        <v>0</v>
      </c>
    </row>
    <row r="20" spans="1:15" ht="15.75" thickBot="1">
      <c r="A20" s="2811" t="str">
        <f>"Total "&amp;A17</f>
        <v>Total Seguros Sociales</v>
      </c>
      <c r="B20" s="134">
        <f t="shared" ref="B20:M20" si="2">SUM(B18:B19)</f>
        <v>86</v>
      </c>
      <c r="C20" s="135">
        <f t="shared" si="2"/>
        <v>86</v>
      </c>
      <c r="D20" s="135">
        <f t="shared" si="2"/>
        <v>86</v>
      </c>
      <c r="E20" s="135">
        <f t="shared" si="2"/>
        <v>86</v>
      </c>
      <c r="F20" s="135">
        <f t="shared" si="2"/>
        <v>86</v>
      </c>
      <c r="G20" s="135">
        <f t="shared" si="2"/>
        <v>86</v>
      </c>
      <c r="H20" s="135">
        <f t="shared" si="2"/>
        <v>86</v>
      </c>
      <c r="I20" s="135">
        <f t="shared" si="2"/>
        <v>86</v>
      </c>
      <c r="J20" s="135">
        <f t="shared" si="2"/>
        <v>86</v>
      </c>
      <c r="K20" s="135">
        <f t="shared" si="2"/>
        <v>86</v>
      </c>
      <c r="L20" s="135">
        <f t="shared" si="2"/>
        <v>86</v>
      </c>
      <c r="M20" s="136">
        <f t="shared" si="2"/>
        <v>86</v>
      </c>
      <c r="N20" s="137">
        <f>SUM(B20:M20)</f>
        <v>1032</v>
      </c>
      <c r="O20" s="109">
        <v>5.4224464060529637E-2</v>
      </c>
    </row>
    <row r="21" spans="1:15" ht="15.75" thickBot="1">
      <c r="A21" s="2812"/>
      <c r="B21" s="123"/>
      <c r="C21" s="124"/>
      <c r="D21" s="124"/>
      <c r="E21" s="124"/>
      <c r="F21" s="124"/>
      <c r="G21" s="124"/>
      <c r="H21" s="124"/>
      <c r="I21" s="124"/>
      <c r="J21" s="124"/>
      <c r="K21" s="124"/>
      <c r="L21" s="124"/>
      <c r="M21" s="125"/>
      <c r="N21" s="126"/>
      <c r="O21" s="127"/>
    </row>
    <row r="22" spans="1:15">
      <c r="A22" s="2809" t="s">
        <v>385</v>
      </c>
      <c r="B22" s="73"/>
      <c r="C22" s="74"/>
      <c r="D22" s="74"/>
      <c r="E22" s="74"/>
      <c r="F22" s="74"/>
      <c r="G22" s="74"/>
      <c r="H22" s="74"/>
      <c r="I22" s="74"/>
      <c r="J22" s="74"/>
      <c r="K22" s="74"/>
      <c r="L22" s="74"/>
      <c r="M22" s="75"/>
      <c r="N22" s="133"/>
      <c r="O22" s="105"/>
    </row>
    <row r="23" spans="1:15">
      <c r="A23" s="144" t="s">
        <v>387</v>
      </c>
      <c r="B23" s="80">
        <f t="array" ref="B23:M24">IF(COLUMN(B$4:M$4)&lt;=mes0,0,'RR.HH.'!$B53:$B54*Plantilla!C20:N21)</f>
        <v>0</v>
      </c>
      <c r="C23" s="81">
        <v>0</v>
      </c>
      <c r="D23" s="81">
        <v>0</v>
      </c>
      <c r="E23" s="81">
        <v>0</v>
      </c>
      <c r="F23" s="81">
        <v>0</v>
      </c>
      <c r="G23" s="81">
        <v>0</v>
      </c>
      <c r="H23" s="81">
        <v>0</v>
      </c>
      <c r="I23" s="81">
        <v>0</v>
      </c>
      <c r="J23" s="81">
        <v>0</v>
      </c>
      <c r="K23" s="81">
        <v>0</v>
      </c>
      <c r="L23" s="81">
        <v>0</v>
      </c>
      <c r="M23" s="82">
        <v>0</v>
      </c>
      <c r="N23" s="97">
        <f>SUM(B23:M23)</f>
        <v>0</v>
      </c>
      <c r="O23" s="106">
        <f t="array" ref="O23:O25">N23:N25/$N$27</f>
        <v>0</v>
      </c>
    </row>
    <row r="24" spans="1:15">
      <c r="A24" s="144" t="s">
        <v>388</v>
      </c>
      <c r="B24" s="80">
        <v>0</v>
      </c>
      <c r="C24" s="81">
        <v>0</v>
      </c>
      <c r="D24" s="81">
        <v>0</v>
      </c>
      <c r="E24" s="81">
        <v>0</v>
      </c>
      <c r="F24" s="81">
        <v>0</v>
      </c>
      <c r="G24" s="81">
        <v>0</v>
      </c>
      <c r="H24" s="81">
        <v>0</v>
      </c>
      <c r="I24" s="81">
        <v>0</v>
      </c>
      <c r="J24" s="81">
        <v>0</v>
      </c>
      <c r="K24" s="81">
        <v>0</v>
      </c>
      <c r="L24" s="81">
        <v>0</v>
      </c>
      <c r="M24" s="82">
        <v>0</v>
      </c>
      <c r="N24" s="97">
        <f>SUM(B24:M24)</f>
        <v>0</v>
      </c>
      <c r="O24" s="106">
        <v>0</v>
      </c>
    </row>
    <row r="25" spans="1:15" ht="15.75" thickBot="1">
      <c r="A25" s="2811" t="str">
        <f>"Total "&amp;A22</f>
        <v>Total Altas y bajas de personal</v>
      </c>
      <c r="B25" s="134">
        <f>SUM(B23:B24)</f>
        <v>0</v>
      </c>
      <c r="C25" s="135">
        <f t="shared" ref="C25:M25" si="3">SUM(C23:C24)</f>
        <v>0</v>
      </c>
      <c r="D25" s="135">
        <f t="shared" si="3"/>
        <v>0</v>
      </c>
      <c r="E25" s="135">
        <f t="shared" si="3"/>
        <v>0</v>
      </c>
      <c r="F25" s="135">
        <f t="shared" si="3"/>
        <v>0</v>
      </c>
      <c r="G25" s="135">
        <f t="shared" si="3"/>
        <v>0</v>
      </c>
      <c r="H25" s="135">
        <f t="shared" si="3"/>
        <v>0</v>
      </c>
      <c r="I25" s="135">
        <f t="shared" si="3"/>
        <v>0</v>
      </c>
      <c r="J25" s="135">
        <f t="shared" si="3"/>
        <v>0</v>
      </c>
      <c r="K25" s="135">
        <f t="shared" si="3"/>
        <v>0</v>
      </c>
      <c r="L25" s="135">
        <f t="shared" si="3"/>
        <v>0</v>
      </c>
      <c r="M25" s="136">
        <f t="shared" si="3"/>
        <v>0</v>
      </c>
      <c r="N25" s="137">
        <f>SUM(B25:M25)</f>
        <v>0</v>
      </c>
      <c r="O25" s="109">
        <v>0</v>
      </c>
    </row>
    <row r="26" spans="1:15" ht="15.75" thickBot="1">
      <c r="A26" s="2813"/>
      <c r="B26" s="141"/>
      <c r="C26" s="119"/>
      <c r="D26" s="119"/>
      <c r="E26" s="119"/>
      <c r="F26" s="119"/>
      <c r="G26" s="119"/>
      <c r="H26" s="119"/>
      <c r="I26" s="119"/>
      <c r="J26" s="119"/>
      <c r="K26" s="119"/>
      <c r="L26" s="119"/>
      <c r="M26" s="120"/>
      <c r="N26" s="121"/>
      <c r="O26" s="122"/>
    </row>
    <row r="27" spans="1:15" ht="15.75" thickBot="1">
      <c r="A27" s="2451" t="str">
        <f>"Total "&amp;A4</f>
        <v>Total Gastos de personal</v>
      </c>
      <c r="B27" s="2932">
        <f t="shared" ref="B27:N27" si="4">B25+B20+B15</f>
        <v>1586</v>
      </c>
      <c r="C27" s="2933">
        <f t="shared" si="4"/>
        <v>1586</v>
      </c>
      <c r="D27" s="2933">
        <f t="shared" si="4"/>
        <v>1586</v>
      </c>
      <c r="E27" s="2933">
        <f t="shared" si="4"/>
        <v>1586</v>
      </c>
      <c r="F27" s="2933">
        <f t="shared" si="4"/>
        <v>1586</v>
      </c>
      <c r="G27" s="2933">
        <f t="shared" si="4"/>
        <v>1586</v>
      </c>
      <c r="H27" s="2933">
        <f t="shared" si="4"/>
        <v>1586</v>
      </c>
      <c r="I27" s="2933">
        <f t="shared" si="4"/>
        <v>1586</v>
      </c>
      <c r="J27" s="2933">
        <f t="shared" si="4"/>
        <v>1586</v>
      </c>
      <c r="K27" s="2933">
        <f t="shared" si="4"/>
        <v>1586</v>
      </c>
      <c r="L27" s="2933">
        <f t="shared" si="4"/>
        <v>1586</v>
      </c>
      <c r="M27" s="84">
        <f t="shared" si="4"/>
        <v>1586</v>
      </c>
      <c r="N27" s="83">
        <f t="shared" si="4"/>
        <v>19032</v>
      </c>
      <c r="O27" s="110">
        <f ca="1">N27/$N$58</f>
        <v>0.94025813623170507</v>
      </c>
    </row>
    <row r="28" spans="1:15">
      <c r="A28" s="101"/>
      <c r="B28" s="85"/>
      <c r="C28" s="85"/>
      <c r="D28" s="85"/>
      <c r="E28" s="85"/>
      <c r="F28" s="85"/>
      <c r="G28" s="85"/>
      <c r="H28" s="85"/>
      <c r="I28" s="85"/>
      <c r="J28" s="85"/>
      <c r="K28" s="85"/>
      <c r="L28" s="85"/>
      <c r="M28" s="85"/>
      <c r="N28" s="85"/>
      <c r="O28" s="102"/>
    </row>
    <row r="29" spans="1:15">
      <c r="A29" s="87"/>
      <c r="B29" s="85"/>
      <c r="C29" s="85"/>
      <c r="D29" s="85"/>
      <c r="E29" s="85"/>
      <c r="F29" s="85"/>
      <c r="G29" s="85"/>
      <c r="H29" s="85"/>
      <c r="I29" s="85"/>
      <c r="J29" s="85"/>
      <c r="K29" s="85"/>
      <c r="L29" s="85"/>
      <c r="M29" s="85"/>
      <c r="N29" s="85"/>
      <c r="O29" s="99"/>
    </row>
    <row r="30" spans="1:15">
      <c r="B30" s="72"/>
      <c r="C30" s="72"/>
      <c r="E30" s="85"/>
      <c r="F30" s="85"/>
      <c r="G30" s="85"/>
      <c r="H30" s="85"/>
      <c r="I30" s="85"/>
      <c r="J30" s="85"/>
      <c r="K30" s="85"/>
      <c r="L30" s="85"/>
      <c r="M30" s="85"/>
      <c r="N30" s="85"/>
      <c r="O30" s="99"/>
    </row>
    <row r="31" spans="1:15" ht="15.75" thickBot="1">
      <c r="A31" s="87"/>
      <c r="B31" s="85"/>
      <c r="C31" s="85"/>
      <c r="D31" s="85"/>
      <c r="E31" s="85"/>
      <c r="F31" s="85"/>
      <c r="G31" s="85"/>
      <c r="H31" s="85"/>
      <c r="I31" s="85"/>
      <c r="J31" s="85"/>
      <c r="K31" s="85"/>
      <c r="L31" s="85"/>
      <c r="M31" s="85"/>
      <c r="N31" s="85"/>
      <c r="O31" s="99"/>
    </row>
    <row r="32" spans="1:15" ht="15.75" thickBot="1">
      <c r="A32" s="148" t="s">
        <v>90</v>
      </c>
      <c r="B32" s="157" t="str">
        <f t="array" ref="B32:M32">meses</f>
        <v>enero</v>
      </c>
      <c r="C32" s="158" t="str">
        <v>febrero</v>
      </c>
      <c r="D32" s="158" t="str">
        <v>marzo</v>
      </c>
      <c r="E32" s="158" t="str">
        <v>abril</v>
      </c>
      <c r="F32" s="158" t="str">
        <v>mayo</v>
      </c>
      <c r="G32" s="158" t="str">
        <v>junio</v>
      </c>
      <c r="H32" s="158" t="str">
        <v>julio</v>
      </c>
      <c r="I32" s="158" t="str">
        <v>agosto</v>
      </c>
      <c r="J32" s="158" t="str">
        <v>septiembre</v>
      </c>
      <c r="K32" s="158" t="str">
        <v>octubre</v>
      </c>
      <c r="L32" s="158" t="str">
        <v>noviembre</v>
      </c>
      <c r="M32" s="159" t="str">
        <v>diciembre</v>
      </c>
      <c r="N32" s="103" t="str">
        <f>$N$4</f>
        <v>Totales</v>
      </c>
      <c r="O32" s="103" t="s">
        <v>32</v>
      </c>
    </row>
    <row r="33" spans="1:15">
      <c r="A33" s="147" t="str">
        <f t="array" ref="A33:A54">'Gastos Fijos Datos'!A6:A27</f>
        <v>Tributos: IAE, IBI, ...</v>
      </c>
      <c r="B33" s="149">
        <f t="array" ref="B33:M33">IF(COLUMN(B$32:M$32)&lt;=mes0,0,'Gastos Fijos Datos'!E6:P6)</f>
        <v>0</v>
      </c>
      <c r="C33" s="150">
        <v>0</v>
      </c>
      <c r="D33" s="150">
        <v>0</v>
      </c>
      <c r="E33" s="150">
        <v>0</v>
      </c>
      <c r="F33" s="150">
        <v>0</v>
      </c>
      <c r="G33" s="150">
        <v>0</v>
      </c>
      <c r="H33" s="150">
        <v>0</v>
      </c>
      <c r="I33" s="150">
        <v>0</v>
      </c>
      <c r="J33" s="150">
        <v>0</v>
      </c>
      <c r="K33" s="150">
        <v>0</v>
      </c>
      <c r="L33" s="150">
        <v>0</v>
      </c>
      <c r="M33" s="151">
        <v>0</v>
      </c>
      <c r="N33" s="160">
        <f t="shared" ref="N33:N54" si="5">SUM(B33:M33)</f>
        <v>0</v>
      </c>
      <c r="O33" s="105">
        <f t="array" aca="1" ref="O33:O54" ca="1">N33:N54/$N$58</f>
        <v>0</v>
      </c>
    </row>
    <row r="34" spans="1:15">
      <c r="A34" s="144" t="str">
        <v>Otras gastos fijos ( SIN IVA )</v>
      </c>
      <c r="B34" s="77">
        <f t="array" ref="B34:M34">IF(COLUMN(B$32:M$32)&lt;=mes0,0,'Gastos Fijos Datos'!E7:P7)+IF(COLUMN(B$32:M$32)=mes0+1,'Gastos Iniciales'!$B$20,0)</f>
        <v>0</v>
      </c>
      <c r="C34" s="78">
        <v>0</v>
      </c>
      <c r="D34" s="78">
        <v>0</v>
      </c>
      <c r="E34" s="78">
        <v>0</v>
      </c>
      <c r="F34" s="78">
        <v>0</v>
      </c>
      <c r="G34" s="78">
        <v>0</v>
      </c>
      <c r="H34" s="78">
        <v>0</v>
      </c>
      <c r="I34" s="78">
        <v>0</v>
      </c>
      <c r="J34" s="78">
        <v>0</v>
      </c>
      <c r="K34" s="78">
        <v>0</v>
      </c>
      <c r="L34" s="78">
        <v>0</v>
      </c>
      <c r="M34" s="79">
        <v>0</v>
      </c>
      <c r="N34" s="156">
        <f>SUM(B34:M34)</f>
        <v>0</v>
      </c>
      <c r="O34" s="106">
        <f ca="1"/>
        <v>0</v>
      </c>
    </row>
    <row r="35" spans="1:15">
      <c r="A35" s="144" t="str">
        <v>Primas de Seguros</v>
      </c>
      <c r="B35" s="77">
        <f t="array" ref="B35:M54">IF(COLUMN(B$32:M$32)&lt;=mes0,0,'Gastos Fijos Datos'!E8:P27)</f>
        <v>0</v>
      </c>
      <c r="C35" s="78">
        <v>0</v>
      </c>
      <c r="D35" s="78">
        <v>0</v>
      </c>
      <c r="E35" s="78">
        <v>0</v>
      </c>
      <c r="F35" s="78">
        <v>0</v>
      </c>
      <c r="G35" s="78">
        <v>0</v>
      </c>
      <c r="H35" s="78">
        <v>0</v>
      </c>
      <c r="I35" s="78">
        <v>0</v>
      </c>
      <c r="J35" s="78">
        <v>0</v>
      </c>
      <c r="K35" s="78">
        <v>0</v>
      </c>
      <c r="L35" s="78">
        <v>0</v>
      </c>
      <c r="M35" s="79">
        <v>0</v>
      </c>
      <c r="N35" s="156">
        <f>SUM(B35:M35)</f>
        <v>0</v>
      </c>
      <c r="O35" s="106">
        <f ca="1"/>
        <v>0</v>
      </c>
    </row>
    <row r="36" spans="1:15">
      <c r="A36" s="144" t="str">
        <v>Colegio / asociación profesional</v>
      </c>
      <c r="B36" s="77">
        <v>0</v>
      </c>
      <c r="C36" s="78">
        <v>0</v>
      </c>
      <c r="D36" s="78">
        <v>0</v>
      </c>
      <c r="E36" s="78">
        <v>0</v>
      </c>
      <c r="F36" s="78">
        <v>0</v>
      </c>
      <c r="G36" s="78">
        <v>0</v>
      </c>
      <c r="H36" s="78">
        <v>0</v>
      </c>
      <c r="I36" s="78">
        <v>0</v>
      </c>
      <c r="J36" s="78">
        <v>0</v>
      </c>
      <c r="K36" s="78">
        <v>0</v>
      </c>
      <c r="L36" s="78">
        <v>0</v>
      </c>
      <c r="M36" s="79">
        <v>0</v>
      </c>
      <c r="N36" s="156">
        <f>SUM(B36:M36)</f>
        <v>0</v>
      </c>
      <c r="O36" s="106">
        <f ca="1"/>
        <v>0</v>
      </c>
    </row>
    <row r="37" spans="1:15">
      <c r="A37" s="144" t="str">
        <v>Suministro de Electricidad</v>
      </c>
      <c r="B37" s="77">
        <v>0</v>
      </c>
      <c r="C37" s="78">
        <v>0</v>
      </c>
      <c r="D37" s="78">
        <v>0</v>
      </c>
      <c r="E37" s="78">
        <v>0</v>
      </c>
      <c r="F37" s="78">
        <v>0</v>
      </c>
      <c r="G37" s="78">
        <v>0</v>
      </c>
      <c r="H37" s="78">
        <v>0</v>
      </c>
      <c r="I37" s="78">
        <v>0</v>
      </c>
      <c r="J37" s="78">
        <v>0</v>
      </c>
      <c r="K37" s="78">
        <v>0</v>
      </c>
      <c r="L37" s="78">
        <v>0</v>
      </c>
      <c r="M37" s="79">
        <v>0</v>
      </c>
      <c r="N37" s="156">
        <f t="shared" si="5"/>
        <v>0</v>
      </c>
      <c r="O37" s="106">
        <f ca="1"/>
        <v>0</v>
      </c>
    </row>
    <row r="38" spans="1:15">
      <c r="A38" s="144" t="str">
        <v>Cuotas periódicas de software</v>
      </c>
      <c r="B38" s="77">
        <v>0</v>
      </c>
      <c r="C38" s="78">
        <v>0</v>
      </c>
      <c r="D38" s="78">
        <v>0</v>
      </c>
      <c r="E38" s="78">
        <v>0</v>
      </c>
      <c r="F38" s="78">
        <v>0</v>
      </c>
      <c r="G38" s="78">
        <v>0</v>
      </c>
      <c r="H38" s="78">
        <v>0</v>
      </c>
      <c r="I38" s="78">
        <v>0</v>
      </c>
      <c r="J38" s="78">
        <v>0</v>
      </c>
      <c r="K38" s="78">
        <v>0</v>
      </c>
      <c r="L38" s="78">
        <v>0</v>
      </c>
      <c r="M38" s="79">
        <v>0</v>
      </c>
      <c r="N38" s="156">
        <f t="shared" si="5"/>
        <v>0</v>
      </c>
      <c r="O38" s="106">
        <f ca="1"/>
        <v>0</v>
      </c>
    </row>
    <row r="39" spans="1:15">
      <c r="A39" s="144" t="str">
        <v>Agua, saneamiento y basura</v>
      </c>
      <c r="B39" s="77">
        <v>0</v>
      </c>
      <c r="C39" s="78">
        <v>0</v>
      </c>
      <c r="D39" s="78">
        <v>0</v>
      </c>
      <c r="E39" s="78">
        <v>0</v>
      </c>
      <c r="F39" s="78">
        <v>0</v>
      </c>
      <c r="G39" s="78">
        <v>0</v>
      </c>
      <c r="H39" s="78">
        <v>0</v>
      </c>
      <c r="I39" s="78">
        <v>0</v>
      </c>
      <c r="J39" s="78">
        <v>0</v>
      </c>
      <c r="K39" s="78">
        <v>0</v>
      </c>
      <c r="L39" s="78">
        <v>0</v>
      </c>
      <c r="M39" s="79">
        <v>0</v>
      </c>
      <c r="N39" s="156">
        <f t="shared" si="5"/>
        <v>0</v>
      </c>
      <c r="O39" s="106">
        <f ca="1"/>
        <v>0</v>
      </c>
    </row>
    <row r="40" spans="1:15">
      <c r="A40" s="144" t="str">
        <v>Otros suministros (gas, etc.)</v>
      </c>
      <c r="B40" s="77">
        <v>0</v>
      </c>
      <c r="C40" s="78">
        <v>0</v>
      </c>
      <c r="D40" s="78">
        <v>0</v>
      </c>
      <c r="E40" s="78">
        <v>0</v>
      </c>
      <c r="F40" s="78">
        <v>0</v>
      </c>
      <c r="G40" s="78">
        <v>0</v>
      </c>
      <c r="H40" s="78">
        <v>0</v>
      </c>
      <c r="I40" s="78">
        <v>0</v>
      </c>
      <c r="J40" s="78">
        <v>0</v>
      </c>
      <c r="K40" s="78">
        <v>0</v>
      </c>
      <c r="L40" s="78">
        <v>0</v>
      </c>
      <c r="M40" s="79">
        <v>0</v>
      </c>
      <c r="N40" s="156">
        <f t="shared" si="5"/>
        <v>0</v>
      </c>
      <c r="O40" s="106">
        <f ca="1"/>
        <v>0</v>
      </c>
    </row>
    <row r="41" spans="1:15">
      <c r="A41" s="144" t="str">
        <v>Telefonía / Internet / Comunicaciones</v>
      </c>
      <c r="B41" s="77">
        <v>0</v>
      </c>
      <c r="C41" s="78">
        <v>0</v>
      </c>
      <c r="D41" s="78">
        <v>0</v>
      </c>
      <c r="E41" s="78">
        <v>0</v>
      </c>
      <c r="F41" s="78">
        <v>0</v>
      </c>
      <c r="G41" s="78">
        <v>0</v>
      </c>
      <c r="H41" s="78">
        <v>0</v>
      </c>
      <c r="I41" s="78">
        <v>0</v>
      </c>
      <c r="J41" s="78">
        <v>0</v>
      </c>
      <c r="K41" s="78">
        <v>0</v>
      </c>
      <c r="L41" s="78">
        <v>0</v>
      </c>
      <c r="M41" s="79">
        <v>0</v>
      </c>
      <c r="N41" s="156">
        <f>SUM(B41:M41)</f>
        <v>0</v>
      </c>
      <c r="O41" s="106">
        <f ca="1"/>
        <v>0</v>
      </c>
    </row>
    <row r="42" spans="1:15">
      <c r="A42" s="144" t="str">
        <v>Alojamiento y servicios web</v>
      </c>
      <c r="B42" s="77">
        <v>0</v>
      </c>
      <c r="C42" s="78">
        <v>0</v>
      </c>
      <c r="D42" s="78">
        <v>0</v>
      </c>
      <c r="E42" s="78">
        <v>0</v>
      </c>
      <c r="F42" s="78">
        <v>0</v>
      </c>
      <c r="G42" s="78">
        <v>0</v>
      </c>
      <c r="H42" s="78">
        <v>0</v>
      </c>
      <c r="I42" s="78">
        <v>0</v>
      </c>
      <c r="J42" s="78">
        <v>0</v>
      </c>
      <c r="K42" s="78">
        <v>0</v>
      </c>
      <c r="L42" s="78">
        <v>0</v>
      </c>
      <c r="M42" s="79">
        <v>0</v>
      </c>
      <c r="N42" s="156">
        <f>SUM(B42:M42)</f>
        <v>0</v>
      </c>
      <c r="O42" s="106">
        <f ca="1"/>
        <v>0</v>
      </c>
    </row>
    <row r="43" spans="1:15">
      <c r="A43" s="144" t="str">
        <v>Alarma / Compañía de seguridad</v>
      </c>
      <c r="B43" s="77">
        <v>0</v>
      </c>
      <c r="C43" s="78">
        <v>0</v>
      </c>
      <c r="D43" s="78">
        <v>0</v>
      </c>
      <c r="E43" s="78">
        <v>0</v>
      </c>
      <c r="F43" s="78">
        <v>0</v>
      </c>
      <c r="G43" s="78">
        <v>0</v>
      </c>
      <c r="H43" s="78">
        <v>0</v>
      </c>
      <c r="I43" s="78">
        <v>0</v>
      </c>
      <c r="J43" s="78">
        <v>0</v>
      </c>
      <c r="K43" s="78">
        <v>0</v>
      </c>
      <c r="L43" s="78">
        <v>0</v>
      </c>
      <c r="M43" s="79">
        <v>0</v>
      </c>
      <c r="N43" s="156">
        <f>SUM(B43:M43)</f>
        <v>0</v>
      </c>
      <c r="O43" s="106">
        <f ca="1"/>
        <v>0</v>
      </c>
    </row>
    <row r="44" spans="1:15">
      <c r="A44" s="144" t="str">
        <v>Material de oficina / papelería</v>
      </c>
      <c r="B44" s="77">
        <v>0</v>
      </c>
      <c r="C44" s="78">
        <v>0</v>
      </c>
      <c r="D44" s="78">
        <v>0</v>
      </c>
      <c r="E44" s="78">
        <v>0</v>
      </c>
      <c r="F44" s="78">
        <v>0</v>
      </c>
      <c r="G44" s="78">
        <v>0</v>
      </c>
      <c r="H44" s="78">
        <v>0</v>
      </c>
      <c r="I44" s="78">
        <v>0</v>
      </c>
      <c r="J44" s="78">
        <v>0</v>
      </c>
      <c r="K44" s="78">
        <v>0</v>
      </c>
      <c r="L44" s="78">
        <v>0</v>
      </c>
      <c r="M44" s="79">
        <v>0</v>
      </c>
      <c r="N44" s="156">
        <f t="shared" si="5"/>
        <v>0</v>
      </c>
      <c r="O44" s="106">
        <f ca="1"/>
        <v>0</v>
      </c>
    </row>
    <row r="45" spans="1:15">
      <c r="A45" s="144" t="str">
        <v>Congresos / Ferias / Viajes</v>
      </c>
      <c r="B45" s="77">
        <v>0</v>
      </c>
      <c r="C45" s="78">
        <v>0</v>
      </c>
      <c r="D45" s="78">
        <v>0</v>
      </c>
      <c r="E45" s="78">
        <v>0</v>
      </c>
      <c r="F45" s="78">
        <v>0</v>
      </c>
      <c r="G45" s="78">
        <v>0</v>
      </c>
      <c r="H45" s="78">
        <v>0</v>
      </c>
      <c r="I45" s="78">
        <v>0</v>
      </c>
      <c r="J45" s="78">
        <v>0</v>
      </c>
      <c r="K45" s="78">
        <v>0</v>
      </c>
      <c r="L45" s="78">
        <v>0</v>
      </c>
      <c r="M45" s="79">
        <v>0</v>
      </c>
      <c r="N45" s="156">
        <f t="shared" si="5"/>
        <v>0</v>
      </c>
      <c r="O45" s="106">
        <f ca="1"/>
        <v>0</v>
      </c>
    </row>
    <row r="46" spans="1:15">
      <c r="A46" s="144" t="str">
        <v>Transporte y desplazamientos</v>
      </c>
      <c r="B46" s="77">
        <v>0</v>
      </c>
      <c r="C46" s="78">
        <v>0</v>
      </c>
      <c r="D46" s="78">
        <v>0</v>
      </c>
      <c r="E46" s="78">
        <v>0</v>
      </c>
      <c r="F46" s="78">
        <v>0</v>
      </c>
      <c r="G46" s="78">
        <v>0</v>
      </c>
      <c r="H46" s="78">
        <v>0</v>
      </c>
      <c r="I46" s="78">
        <v>0</v>
      </c>
      <c r="J46" s="78">
        <v>0</v>
      </c>
      <c r="K46" s="78">
        <v>0</v>
      </c>
      <c r="L46" s="78">
        <v>0</v>
      </c>
      <c r="M46" s="79">
        <v>0</v>
      </c>
      <c r="N46" s="156">
        <f t="shared" si="5"/>
        <v>0</v>
      </c>
      <c r="O46" s="106">
        <f ca="1"/>
        <v>0</v>
      </c>
    </row>
    <row r="47" spans="1:15">
      <c r="A47" s="144" t="str">
        <v>Asesoría y profesionales independientes</v>
      </c>
      <c r="B47" s="77">
        <v>0</v>
      </c>
      <c r="C47" s="78">
        <v>0</v>
      </c>
      <c r="D47" s="78">
        <v>0</v>
      </c>
      <c r="E47" s="78">
        <v>0</v>
      </c>
      <c r="F47" s="78">
        <v>0</v>
      </c>
      <c r="G47" s="78">
        <v>0</v>
      </c>
      <c r="H47" s="78">
        <v>0</v>
      </c>
      <c r="I47" s="78">
        <v>0</v>
      </c>
      <c r="J47" s="78">
        <v>0</v>
      </c>
      <c r="K47" s="78">
        <v>0</v>
      </c>
      <c r="L47" s="78">
        <v>0</v>
      </c>
      <c r="M47" s="79">
        <v>0</v>
      </c>
      <c r="N47" s="156">
        <f t="shared" si="5"/>
        <v>0</v>
      </c>
      <c r="O47" s="106">
        <f ca="1"/>
        <v>0</v>
      </c>
    </row>
    <row r="48" spans="1:15">
      <c r="A48" s="144" t="str">
        <v>Arrendamientos / alquileres</v>
      </c>
      <c r="B48" s="77">
        <v>0</v>
      </c>
      <c r="C48" s="78">
        <v>0</v>
      </c>
      <c r="D48" s="78">
        <v>0</v>
      </c>
      <c r="E48" s="78">
        <v>0</v>
      </c>
      <c r="F48" s="78">
        <v>0</v>
      </c>
      <c r="G48" s="78">
        <v>0</v>
      </c>
      <c r="H48" s="78">
        <v>0</v>
      </c>
      <c r="I48" s="78">
        <v>0</v>
      </c>
      <c r="J48" s="78">
        <v>0</v>
      </c>
      <c r="K48" s="78">
        <v>0</v>
      </c>
      <c r="L48" s="78">
        <v>0</v>
      </c>
      <c r="M48" s="79">
        <v>0</v>
      </c>
      <c r="N48" s="156">
        <f t="shared" si="5"/>
        <v>0</v>
      </c>
      <c r="O48" s="106">
        <f ca="1"/>
        <v>0</v>
      </c>
    </row>
    <row r="49" spans="1:15">
      <c r="A49" s="144" t="str">
        <v>Gastos Marketing online variables</v>
      </c>
      <c r="B49" s="77">
        <f ca="1"/>
        <v>45.804924242424242</v>
      </c>
      <c r="C49" s="78">
        <f ca="1"/>
        <v>45.804924242424242</v>
      </c>
      <c r="D49" s="78">
        <f ca="1"/>
        <v>45.804924242424242</v>
      </c>
      <c r="E49" s="78">
        <f ca="1"/>
        <v>45.804924242424242</v>
      </c>
      <c r="F49" s="78">
        <f ca="1"/>
        <v>45.804924242424242</v>
      </c>
      <c r="G49" s="78">
        <f ca="1"/>
        <v>45.804924242424242</v>
      </c>
      <c r="H49" s="78">
        <f ca="1"/>
        <v>45.804924242424242</v>
      </c>
      <c r="I49" s="78">
        <f ca="1"/>
        <v>45.804924242424242</v>
      </c>
      <c r="J49" s="78">
        <f ca="1"/>
        <v>45.804924242424242</v>
      </c>
      <c r="K49" s="78">
        <f ca="1"/>
        <v>45.804924242424242</v>
      </c>
      <c r="L49" s="78">
        <f ca="1"/>
        <v>45.804924242424242</v>
      </c>
      <c r="M49" s="79">
        <f ca="1"/>
        <v>45.804924242424242</v>
      </c>
      <c r="N49" s="156">
        <f t="shared" ca="1" si="5"/>
        <v>549.65909090909088</v>
      </c>
      <c r="O49" s="106">
        <f ca="1"/>
        <v>2.7155392621952244E-2</v>
      </c>
    </row>
    <row r="50" spans="1:15">
      <c r="A50" s="144" t="str">
        <v>Gastos Marketing online fijos</v>
      </c>
      <c r="B50" s="77">
        <v>0</v>
      </c>
      <c r="C50" s="78">
        <v>0</v>
      </c>
      <c r="D50" s="78">
        <v>0</v>
      </c>
      <c r="E50" s="78">
        <v>0</v>
      </c>
      <c r="F50" s="78">
        <v>0</v>
      </c>
      <c r="G50" s="78">
        <v>0</v>
      </c>
      <c r="H50" s="78">
        <v>0</v>
      </c>
      <c r="I50" s="78">
        <v>0</v>
      </c>
      <c r="J50" s="78">
        <v>0</v>
      </c>
      <c r="K50" s="78">
        <v>0</v>
      </c>
      <c r="L50" s="78">
        <v>0</v>
      </c>
      <c r="M50" s="79">
        <v>0</v>
      </c>
      <c r="N50" s="156">
        <f t="shared" si="5"/>
        <v>0</v>
      </c>
      <c r="O50" s="106">
        <f ca="1"/>
        <v>0</v>
      </c>
    </row>
    <row r="51" spans="1:15">
      <c r="A51" s="144" t="str">
        <v>Gastos Marketing off-line variables</v>
      </c>
      <c r="B51" s="77">
        <f ca="1"/>
        <v>45.804924242424242</v>
      </c>
      <c r="C51" s="78">
        <f ca="1"/>
        <v>45.804924242424242</v>
      </c>
      <c r="D51" s="78">
        <f ca="1"/>
        <v>45.804924242424242</v>
      </c>
      <c r="E51" s="78">
        <f ca="1"/>
        <v>45.804924242424242</v>
      </c>
      <c r="F51" s="78">
        <f ca="1"/>
        <v>45.804924242424242</v>
      </c>
      <c r="G51" s="78">
        <f ca="1"/>
        <v>45.804924242424242</v>
      </c>
      <c r="H51" s="78">
        <f ca="1"/>
        <v>45.804924242424242</v>
      </c>
      <c r="I51" s="78">
        <f ca="1"/>
        <v>45.804924242424242</v>
      </c>
      <c r="J51" s="78">
        <f ca="1"/>
        <v>45.804924242424242</v>
      </c>
      <c r="K51" s="78">
        <f ca="1"/>
        <v>45.804924242424242</v>
      </c>
      <c r="L51" s="78">
        <f ca="1"/>
        <v>45.804924242424242</v>
      </c>
      <c r="M51" s="79">
        <f ca="1"/>
        <v>45.804924242424242</v>
      </c>
      <c r="N51" s="156">
        <f t="shared" ca="1" si="5"/>
        <v>549.65909090909088</v>
      </c>
      <c r="O51" s="106">
        <f ca="1"/>
        <v>2.7155392621952244E-2</v>
      </c>
    </row>
    <row r="52" spans="1:15">
      <c r="A52" s="144" t="str">
        <v>Gastos Marketing off-line fijos</v>
      </c>
      <c r="B52" s="77">
        <v>0</v>
      </c>
      <c r="C52" s="78">
        <v>0</v>
      </c>
      <c r="D52" s="78">
        <v>0</v>
      </c>
      <c r="E52" s="78">
        <v>0</v>
      </c>
      <c r="F52" s="78">
        <v>0</v>
      </c>
      <c r="G52" s="78">
        <v>0</v>
      </c>
      <c r="H52" s="78">
        <v>0</v>
      </c>
      <c r="I52" s="78">
        <v>0</v>
      </c>
      <c r="J52" s="78">
        <v>0</v>
      </c>
      <c r="K52" s="78">
        <v>0</v>
      </c>
      <c r="L52" s="78">
        <v>0</v>
      </c>
      <c r="M52" s="79">
        <v>0</v>
      </c>
      <c r="N52" s="156">
        <f t="shared" si="5"/>
        <v>0</v>
      </c>
      <c r="O52" s="106">
        <f ca="1"/>
        <v>0</v>
      </c>
    </row>
    <row r="53" spans="1:15">
      <c r="A53" s="144" t="str">
        <v>Mantenimiento y reparaciones</v>
      </c>
      <c r="B53" s="77">
        <v>0</v>
      </c>
      <c r="C53" s="78">
        <v>0</v>
      </c>
      <c r="D53" s="78">
        <v>0</v>
      </c>
      <c r="E53" s="78">
        <v>0</v>
      </c>
      <c r="F53" s="78">
        <v>0</v>
      </c>
      <c r="G53" s="78">
        <v>0</v>
      </c>
      <c r="H53" s="78">
        <v>0</v>
      </c>
      <c r="I53" s="78">
        <v>0</v>
      </c>
      <c r="J53" s="78">
        <v>0</v>
      </c>
      <c r="K53" s="78">
        <v>0</v>
      </c>
      <c r="L53" s="78">
        <v>0</v>
      </c>
      <c r="M53" s="79">
        <v>0</v>
      </c>
      <c r="N53" s="156">
        <f t="shared" si="5"/>
        <v>0</v>
      </c>
      <c r="O53" s="106">
        <f ca="1"/>
        <v>0</v>
      </c>
    </row>
    <row r="54" spans="1:15" ht="15.75" thickBot="1">
      <c r="A54" s="144" t="str">
        <v>Otros gastos Imprevistos</v>
      </c>
      <c r="B54" s="77">
        <f ca="1"/>
        <v>9.1609848484848495</v>
      </c>
      <c r="C54" s="78">
        <f ca="1"/>
        <v>9.1609848484848495</v>
      </c>
      <c r="D54" s="78">
        <f ca="1"/>
        <v>9.1609848484848495</v>
      </c>
      <c r="E54" s="78">
        <f ca="1"/>
        <v>9.1609848484848495</v>
      </c>
      <c r="F54" s="78">
        <f ca="1"/>
        <v>9.1609848484848495</v>
      </c>
      <c r="G54" s="78">
        <f ca="1"/>
        <v>9.1609848484848495</v>
      </c>
      <c r="H54" s="78">
        <f ca="1"/>
        <v>9.1609848484848495</v>
      </c>
      <c r="I54" s="78">
        <f ca="1"/>
        <v>9.1609848484848495</v>
      </c>
      <c r="J54" s="78">
        <f ca="1"/>
        <v>9.1609848484848495</v>
      </c>
      <c r="K54" s="78">
        <f ca="1"/>
        <v>9.1609848484848495</v>
      </c>
      <c r="L54" s="78">
        <f ca="1"/>
        <v>9.1609848484848495</v>
      </c>
      <c r="M54" s="79">
        <f ca="1"/>
        <v>9.1609848484848495</v>
      </c>
      <c r="N54" s="156">
        <f t="shared" ca="1" si="5"/>
        <v>109.93181818181817</v>
      </c>
      <c r="O54" s="106">
        <f ca="1"/>
        <v>5.4310785243904492E-3</v>
      </c>
    </row>
    <row r="55" spans="1:15" ht="15.75" thickBot="1">
      <c r="A55" s="2450" t="str">
        <f>"Total "&amp;A32</f>
        <v>Total Otros gastos fijos</v>
      </c>
      <c r="B55" s="2932">
        <f ca="1">SUM(B33:B54)</f>
        <v>100.77083333333333</v>
      </c>
      <c r="C55" s="2933">
        <f t="shared" ref="C55:M55" ca="1" si="6">SUM(C33:C54)</f>
        <v>100.77083333333333</v>
      </c>
      <c r="D55" s="2933">
        <f t="shared" ca="1" si="6"/>
        <v>100.77083333333333</v>
      </c>
      <c r="E55" s="2933">
        <f t="shared" ca="1" si="6"/>
        <v>100.77083333333333</v>
      </c>
      <c r="F55" s="2933">
        <f t="shared" ca="1" si="6"/>
        <v>100.77083333333333</v>
      </c>
      <c r="G55" s="2933">
        <f t="shared" ca="1" si="6"/>
        <v>100.77083333333333</v>
      </c>
      <c r="H55" s="2933">
        <f t="shared" ca="1" si="6"/>
        <v>100.77083333333333</v>
      </c>
      <c r="I55" s="2933">
        <f t="shared" ca="1" si="6"/>
        <v>100.77083333333333</v>
      </c>
      <c r="J55" s="2933">
        <f t="shared" ca="1" si="6"/>
        <v>100.77083333333333</v>
      </c>
      <c r="K55" s="2933">
        <f t="shared" ca="1" si="6"/>
        <v>100.77083333333333</v>
      </c>
      <c r="L55" s="2933">
        <f t="shared" ca="1" si="6"/>
        <v>100.77083333333333</v>
      </c>
      <c r="M55" s="84">
        <f t="shared" ca="1" si="6"/>
        <v>100.77083333333333</v>
      </c>
      <c r="N55" s="86">
        <f ca="1">SUM(N33:N54)</f>
        <v>1209.25</v>
      </c>
      <c r="O55" s="110">
        <f ca="1">N55/$N$58</f>
        <v>5.9741863768294941E-2</v>
      </c>
    </row>
    <row r="56" spans="1:15">
      <c r="A56" s="87"/>
      <c r="B56" s="61"/>
      <c r="C56" s="61"/>
      <c r="D56" s="61"/>
      <c r="E56" s="61"/>
      <c r="F56" s="61"/>
      <c r="G56" s="61"/>
      <c r="H56" s="61"/>
      <c r="I56" s="61"/>
      <c r="J56" s="61"/>
      <c r="K56" s="61"/>
      <c r="L56" s="61"/>
      <c r="M56" s="61"/>
      <c r="N56" s="61"/>
      <c r="O56" s="99"/>
    </row>
    <row r="57" spans="1:15" ht="15.75" thickBot="1">
      <c r="A57" s="87"/>
      <c r="B57" s="61"/>
      <c r="C57" s="61"/>
      <c r="D57" s="61"/>
      <c r="E57" s="61"/>
      <c r="F57" s="61"/>
      <c r="G57" s="61"/>
      <c r="H57" s="61"/>
      <c r="I57" s="61"/>
      <c r="J57" s="61"/>
      <c r="K57" s="61"/>
      <c r="L57" s="61"/>
      <c r="M57" s="61"/>
      <c r="N57" s="61"/>
      <c r="O57" s="99"/>
    </row>
    <row r="58" spans="1:15" ht="15.75" thickBot="1">
      <c r="A58" s="2452" t="s">
        <v>303</v>
      </c>
      <c r="B58" s="2932">
        <f t="array" ref="B58:M58" ca="1">B27:M27+B55:M55</f>
        <v>1686.7708333333333</v>
      </c>
      <c r="C58" s="2933">
        <f ca="1"/>
        <v>1686.7708333333333</v>
      </c>
      <c r="D58" s="2933">
        <f ca="1"/>
        <v>1686.7708333333333</v>
      </c>
      <c r="E58" s="2933">
        <f ca="1"/>
        <v>1686.7708333333333</v>
      </c>
      <c r="F58" s="2933">
        <f ca="1"/>
        <v>1686.7708333333333</v>
      </c>
      <c r="G58" s="2933">
        <f ca="1"/>
        <v>1686.7708333333333</v>
      </c>
      <c r="H58" s="2933">
        <f ca="1"/>
        <v>1686.7708333333333</v>
      </c>
      <c r="I58" s="2933">
        <f ca="1"/>
        <v>1686.7708333333333</v>
      </c>
      <c r="J58" s="2933">
        <f ca="1"/>
        <v>1686.7708333333333</v>
      </c>
      <c r="K58" s="2933">
        <f ca="1"/>
        <v>1686.7708333333333</v>
      </c>
      <c r="L58" s="2933">
        <f ca="1"/>
        <v>1686.7708333333333</v>
      </c>
      <c r="M58" s="84">
        <f ca="1"/>
        <v>1686.7708333333333</v>
      </c>
      <c r="N58" s="83">
        <f ca="1">N27+N55</f>
        <v>20241.25</v>
      </c>
      <c r="O58" s="99"/>
    </row>
    <row r="59" spans="1:15" ht="16.5" customHeight="1" thickBot="1">
      <c r="O59" s="99"/>
    </row>
    <row r="60" spans="1:15" ht="15.75" thickBot="1">
      <c r="A60" s="146" t="str">
        <f>'Datos Básicos'!A28&amp;" deducible de Gastos fijos"</f>
        <v>IVA deducible de Gastos fijos</v>
      </c>
      <c r="B60" s="2940">
        <f ca="1">Parametros!$F$33*SUM(B37:B54)</f>
        <v>21.161874999999998</v>
      </c>
      <c r="C60" s="2941">
        <f ca="1">Parametros!$F$33*SUM(C37:C54)</f>
        <v>21.161874999999998</v>
      </c>
      <c r="D60" s="2941">
        <f ca="1">Parametros!$F$33*SUM(D37:D54)</f>
        <v>21.161874999999998</v>
      </c>
      <c r="E60" s="2941">
        <f ca="1">Parametros!$F$33*SUM(E37:E54)</f>
        <v>21.161874999999998</v>
      </c>
      <c r="F60" s="2941">
        <f ca="1">Parametros!$F$33*SUM(F37:F54)</f>
        <v>21.161874999999998</v>
      </c>
      <c r="G60" s="2941">
        <f ca="1">Parametros!$F$33*SUM(G37:G54)</f>
        <v>21.161874999999998</v>
      </c>
      <c r="H60" s="2941">
        <f ca="1">Parametros!$F$33*SUM(H37:H54)</f>
        <v>21.161874999999998</v>
      </c>
      <c r="I60" s="2941">
        <f ca="1">Parametros!$F$33*SUM(I37:I54)</f>
        <v>21.161874999999998</v>
      </c>
      <c r="J60" s="2941">
        <f ca="1">Parametros!$F$33*SUM(J37:J54)</f>
        <v>21.161874999999998</v>
      </c>
      <c r="K60" s="2941">
        <f ca="1">Parametros!$F$33*SUM(K37:K54)</f>
        <v>21.161874999999998</v>
      </c>
      <c r="L60" s="2941">
        <f ca="1">Parametros!$F$33*SUM(L37:L54)</f>
        <v>21.161874999999998</v>
      </c>
      <c r="M60" s="2942">
        <f ca="1">Parametros!$F$33*SUM(M37:M54)</f>
        <v>21.161874999999998</v>
      </c>
      <c r="N60" s="83">
        <f ca="1">SUM(B60:M60)</f>
        <v>253.94250000000002</v>
      </c>
    </row>
  </sheetData>
  <sheetProtection sheet="1" objects="1" scenarios="1"/>
  <phoneticPr fontId="6" type="noConversion"/>
  <conditionalFormatting sqref="B7:M15 B18:M20 B23:M25 B27:M27">
    <cfRule type="expression" dxfId="15" priority="3" stopIfTrue="1">
      <formula>COLUMN(B7)&lt;=mes0</formula>
    </cfRule>
  </conditionalFormatting>
  <conditionalFormatting sqref="B33:M55">
    <cfRule type="expression" dxfId="14" priority="1" stopIfTrue="1">
      <formula>COLUMN(B$32)&lt;=mes0</formula>
    </cfRule>
  </conditionalFormatting>
  <conditionalFormatting sqref="B58:M58 B60:M60">
    <cfRule type="expression" dxfId="13" priority="2" stopIfTrue="1">
      <formula>COLUMN(B$32)&lt;=mes0</formula>
    </cfRule>
  </conditionalFormatting>
  <dataValidations xWindow="31846" yWindow="125" count="1">
    <dataValidation allowBlank="1" showInputMessage="1" showErrorMessage="1" prompt="En esta hoja de gastos fijos para el año 0 se pueden modificar las etiquetas de las distintas partidas de gastos fijos y automáticamente se transladarán a las hojas de gastos fijos de los otros dos años." sqref="A33:A54 A1" xr:uid="{00000000-0002-0000-3300-000000000000}"/>
  </dataValidations>
  <printOptions horizontalCentered="1"/>
  <pageMargins left="0.75" right="0.75" top="0.49" bottom="0.52" header="0" footer="0"/>
  <pageSetup paperSize="9" scale="61" orientation="landscape" horizontalDpi="300" r:id="rId1"/>
  <headerFooter alignWithMargins="0"/>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24">
    <tabColor indexed="42"/>
    <pageSetUpPr fitToPage="1"/>
  </sheetPr>
  <dimension ref="A1:O60"/>
  <sheetViews>
    <sheetView workbookViewId="0"/>
  </sheetViews>
  <sheetFormatPr baseColWidth="10" defaultColWidth="11" defaultRowHeight="15"/>
  <cols>
    <col min="1" max="1" width="31.375" style="35" customWidth="1"/>
    <col min="2" max="14" width="11.125" style="35" customWidth="1"/>
    <col min="15" max="15" width="10.375" style="35" customWidth="1"/>
    <col min="16" max="16384" width="11" style="35"/>
  </cols>
  <sheetData>
    <row r="1" spans="1:15" s="98" customFormat="1" ht="22.5">
      <c r="A1" s="67" t="str">
        <f>'G.F. 0'!A1</f>
        <v>Previsión de Gastos Fijos de la empresa</v>
      </c>
      <c r="B1" s="67"/>
      <c r="C1" s="67"/>
      <c r="D1" s="67"/>
      <c r="E1" s="521" t="str">
        <f>Parametros!C$77</f>
        <v>Año 1:  2027</v>
      </c>
      <c r="F1" s="67"/>
    </row>
    <row r="2" spans="1:15" s="98" customFormat="1" ht="22.5">
      <c r="A2" s="67" t="str">
        <f>'Datos Básicos'!B9</f>
        <v>nombre empresa</v>
      </c>
      <c r="B2" s="67"/>
      <c r="C2" s="67"/>
      <c r="D2" s="67"/>
      <c r="E2" s="67"/>
      <c r="F2" s="67"/>
      <c r="G2" s="67"/>
    </row>
    <row r="3" spans="1:15" ht="15.75" thickBot="1">
      <c r="B3" s="61"/>
      <c r="C3" s="61"/>
      <c r="D3" s="61"/>
      <c r="E3" s="61"/>
      <c r="F3" s="61"/>
      <c r="G3" s="61"/>
    </row>
    <row r="4" spans="1:15" ht="15.75" thickBot="1">
      <c r="A4" s="2808" t="str">
        <f>'G.F. 0'!A4</f>
        <v>Gastos de personal</v>
      </c>
      <c r="B4" s="157" t="str">
        <f t="array" ref="B4:M4">meses</f>
        <v>enero</v>
      </c>
      <c r="C4" s="158" t="str">
        <v>febrero</v>
      </c>
      <c r="D4" s="158" t="str">
        <v>marzo</v>
      </c>
      <c r="E4" s="158" t="str">
        <v>abril</v>
      </c>
      <c r="F4" s="158" t="str">
        <v>mayo</v>
      </c>
      <c r="G4" s="158" t="str">
        <v>junio</v>
      </c>
      <c r="H4" s="158" t="str">
        <v>julio</v>
      </c>
      <c r="I4" s="158" t="str">
        <v>agosto</v>
      </c>
      <c r="J4" s="158" t="str">
        <v>septiembre</v>
      </c>
      <c r="K4" s="158" t="str">
        <v>octubre</v>
      </c>
      <c r="L4" s="158" t="str">
        <v>noviembre</v>
      </c>
      <c r="M4" s="159" t="str">
        <v>diciembre</v>
      </c>
      <c r="N4" s="103" t="str">
        <f>'G.F. 0'!$N$4</f>
        <v>Totales</v>
      </c>
      <c r="O4" s="103" t="s">
        <v>32</v>
      </c>
    </row>
    <row r="5" spans="1:15" ht="15.75" thickBot="1">
      <c r="A5" s="2117"/>
      <c r="B5" s="116"/>
      <c r="C5" s="117"/>
      <c r="D5" s="117"/>
      <c r="E5" s="117"/>
      <c r="F5" s="117"/>
      <c r="G5" s="117"/>
      <c r="H5" s="117"/>
      <c r="I5" s="117"/>
      <c r="J5" s="117"/>
      <c r="K5" s="117"/>
      <c r="L5" s="117"/>
      <c r="M5" s="118"/>
      <c r="N5" s="114"/>
      <c r="O5" s="115"/>
    </row>
    <row r="6" spans="1:15">
      <c r="A6" s="2809" t="str">
        <f>'G.F. 0'!A6</f>
        <v>Sueldos y salarios</v>
      </c>
      <c r="B6" s="88"/>
      <c r="C6" s="89"/>
      <c r="D6" s="89"/>
      <c r="E6" s="89"/>
      <c r="F6" s="89"/>
      <c r="G6" s="89"/>
      <c r="H6" s="89"/>
      <c r="I6" s="89"/>
      <c r="J6" s="89"/>
      <c r="K6" s="89"/>
      <c r="L6" s="89"/>
      <c r="M6" s="90"/>
      <c r="N6" s="76"/>
      <c r="O6" s="105"/>
    </row>
    <row r="7" spans="1:15">
      <c r="A7" s="2810" t="str">
        <f t="array" ref="A7:A14">catlaborales</f>
        <v>Socios/as gestores/as</v>
      </c>
      <c r="B7" s="91">
        <f>IF(COLUMN(B$4)-2&lt;mes0+'RR.HH.'!$D$33-12,0,
    IF(COLUMN(B$4)-2&lt;mes0+'RR.HH.'!$D$33+'RR.HH.'!$D$34-12, 'RR.HH.'!$C19*Plantilla!C28 /('RR.HH.'!$D$34)*(COLUMN(B$4)-'RR.HH.'!$D$33-mes0+12-2),
      'RR.HH.'!$C19*Plantilla!C28))</f>
        <v>1560</v>
      </c>
      <c r="C7" s="92">
        <f>IF(COLUMN(C$4)-2&lt;mes0+'RR.HH.'!$D$33-12,0,
    IF(COLUMN(C$4)-2&lt;mes0+'RR.HH.'!$D$33+'RR.HH.'!$D$34-12, 'RR.HH.'!$C19*Plantilla!D28 /('RR.HH.'!$D$34)*(COLUMN(C$4)-'RR.HH.'!$D$33-mes0+12-2),
      'RR.HH.'!$C19*Plantilla!D28))</f>
        <v>1560</v>
      </c>
      <c r="D7" s="92">
        <f>IF(COLUMN(D$4)-2&lt;mes0+'RR.HH.'!$D$33-12,0,
    IF(COLUMN(D$4)-2&lt;mes0+'RR.HH.'!$D$33+'RR.HH.'!$D$34-12, 'RR.HH.'!$C19*Plantilla!E28 /('RR.HH.'!$D$34)*(COLUMN(D$4)-'RR.HH.'!$D$33-mes0+12-2),
      'RR.HH.'!$C19*Plantilla!E28))</f>
        <v>1560</v>
      </c>
      <c r="E7" s="92">
        <f>IF(COLUMN(E$4)-2&lt;mes0+'RR.HH.'!$D$33-12,0,
    IF(COLUMN(E$4)-2&lt;mes0+'RR.HH.'!$D$33+'RR.HH.'!$D$34-12, 'RR.HH.'!$C19*Plantilla!F28 /('RR.HH.'!$D$34)*(COLUMN(E$4)-'RR.HH.'!$D$33-mes0+12-2),
      'RR.HH.'!$C19*Plantilla!F28))</f>
        <v>1560</v>
      </c>
      <c r="F7" s="92">
        <f>IF(COLUMN(F$4)-2&lt;mes0+'RR.HH.'!$D$33-12,0,
    IF(COLUMN(F$4)-2&lt;mes0+'RR.HH.'!$D$33+'RR.HH.'!$D$34-12, 'RR.HH.'!$C19*Plantilla!G28 /('RR.HH.'!$D$34)*(COLUMN(F$4)-'RR.HH.'!$D$33-mes0+12-2),
      'RR.HH.'!$C19*Plantilla!G28))</f>
        <v>1560</v>
      </c>
      <c r="G7" s="92">
        <f>IF(COLUMN(G$4)-2&lt;mes0+'RR.HH.'!$D$33-12,0,
    IF(COLUMN(G$4)-2&lt;mes0+'RR.HH.'!$D$33+'RR.HH.'!$D$34-12, 'RR.HH.'!$C19*Plantilla!H28 /('RR.HH.'!$D$34)*(COLUMN(G$4)-'RR.HH.'!$D$33-mes0+12-2),
      'RR.HH.'!$C19*Plantilla!H28))</f>
        <v>1560</v>
      </c>
      <c r="H7" s="92">
        <f>IF(COLUMN(H$4)-2&lt;mes0+'RR.HH.'!$D$33-12,0,
    IF(COLUMN(H$4)-2&lt;mes0+'RR.HH.'!$D$33+'RR.HH.'!$D$34-12, 'RR.HH.'!$C19*Plantilla!I28 /('RR.HH.'!$D$34)*(COLUMN(H$4)-'RR.HH.'!$D$33-mes0+12-2),
      'RR.HH.'!$C19*Plantilla!I28))</f>
        <v>1560</v>
      </c>
      <c r="I7" s="92">
        <f>IF(COLUMN(I$4)-2&lt;mes0+'RR.HH.'!$D$33-12,0,
    IF(COLUMN(I$4)-2&lt;mes0+'RR.HH.'!$D$33+'RR.HH.'!$D$34-12, 'RR.HH.'!$C19*Plantilla!J28 /('RR.HH.'!$D$34)*(COLUMN(I$4)-'RR.HH.'!$D$33-mes0+12-2),
      'RR.HH.'!$C19*Plantilla!J28))</f>
        <v>1560</v>
      </c>
      <c r="J7" s="92">
        <f>IF(COLUMN(J$4)-2&lt;mes0+'RR.HH.'!$D$33-12,0,
    IF(COLUMN(J$4)-2&lt;mes0+'RR.HH.'!$D$33+'RR.HH.'!$D$34-12, 'RR.HH.'!$C19*Plantilla!K28 /('RR.HH.'!$D$34)*(COLUMN(J$4)-'RR.HH.'!$D$33-mes0+12-2),
      'RR.HH.'!$C19*Plantilla!K28))</f>
        <v>1560</v>
      </c>
      <c r="K7" s="92">
        <f>IF(COLUMN(K$4)-2&lt;mes0+'RR.HH.'!$D$33-12,0,
    IF(COLUMN(K$4)-2&lt;mes0+'RR.HH.'!$D$33+'RR.HH.'!$D$34-12, 'RR.HH.'!$C19*Plantilla!L28 /('RR.HH.'!$D$34)*(COLUMN(K$4)-'RR.HH.'!$D$33-mes0+12-2),
      'RR.HH.'!$C19*Plantilla!L28))</f>
        <v>1560</v>
      </c>
      <c r="L7" s="92">
        <f>IF(COLUMN(L$4)-2&lt;mes0+'RR.HH.'!$D$33-12,0,
    IF(COLUMN(L$4)-2&lt;mes0+'RR.HH.'!$D$33+'RR.HH.'!$D$34-12, 'RR.HH.'!$C19*Plantilla!M28 /('RR.HH.'!$D$34)*(COLUMN(L$4)-'RR.HH.'!$D$33-mes0+12-2),
      'RR.HH.'!$C19*Plantilla!M28))</f>
        <v>1560</v>
      </c>
      <c r="M7" s="93">
        <f>IF(COLUMN(M$4)-2&lt;mes0+'RR.HH.'!$D$33-12,0,
    IF(COLUMN(M$4)-2&lt;mes0+'RR.HH.'!$D$33+'RR.HH.'!$D$34-12, 'RR.HH.'!$C19*Plantilla!N28 /('RR.HH.'!$D$34)*(COLUMN(M$4)-'RR.HH.'!$D$33-mes0+12-2),
      'RR.HH.'!$C19*Plantilla!N28))</f>
        <v>1560</v>
      </c>
      <c r="N7" s="97">
        <f t="shared" ref="N7:N14" si="0">SUM(B7:M7)</f>
        <v>18720</v>
      </c>
      <c r="O7" s="106">
        <f t="array" ref="O7:O15">N7:N15/$N$27</f>
        <v>0.94775212636695016</v>
      </c>
    </row>
    <row r="8" spans="1:15">
      <c r="A8" s="2810" t="str">
        <v>Otros personas en RETA</v>
      </c>
      <c r="B8" s="91">
        <f t="array" ref="B8:M14">'RR.HH.'!$C20:$C26*Plantilla!C29:N35</f>
        <v>0</v>
      </c>
      <c r="C8" s="92">
        <v>0</v>
      </c>
      <c r="D8" s="92">
        <v>0</v>
      </c>
      <c r="E8" s="92">
        <v>0</v>
      </c>
      <c r="F8" s="92">
        <v>0</v>
      </c>
      <c r="G8" s="92">
        <v>0</v>
      </c>
      <c r="H8" s="92">
        <v>0</v>
      </c>
      <c r="I8" s="92">
        <v>0</v>
      </c>
      <c r="J8" s="92">
        <v>0</v>
      </c>
      <c r="K8" s="92">
        <v>0</v>
      </c>
      <c r="L8" s="92">
        <v>0</v>
      </c>
      <c r="M8" s="93">
        <v>0</v>
      </c>
      <c r="N8" s="97">
        <f t="shared" si="0"/>
        <v>0</v>
      </c>
      <c r="O8" s="106">
        <v>0</v>
      </c>
    </row>
    <row r="9" spans="1:15">
      <c r="A9" s="2810" t="str">
        <v>empleado</v>
      </c>
      <c r="B9" s="91">
        <v>0</v>
      </c>
      <c r="C9" s="92">
        <v>0</v>
      </c>
      <c r="D9" s="92">
        <v>0</v>
      </c>
      <c r="E9" s="92">
        <v>0</v>
      </c>
      <c r="F9" s="92">
        <v>0</v>
      </c>
      <c r="G9" s="92">
        <v>0</v>
      </c>
      <c r="H9" s="92">
        <v>0</v>
      </c>
      <c r="I9" s="92">
        <v>0</v>
      </c>
      <c r="J9" s="92">
        <v>0</v>
      </c>
      <c r="K9" s="92">
        <v>0</v>
      </c>
      <c r="L9" s="92">
        <v>0</v>
      </c>
      <c r="M9" s="93">
        <v>0</v>
      </c>
      <c r="N9" s="97">
        <f t="shared" si="0"/>
        <v>0</v>
      </c>
      <c r="O9" s="106">
        <v>0</v>
      </c>
    </row>
    <row r="10" spans="1:15">
      <c r="A10" s="2810" t="str">
        <v>encargado</v>
      </c>
      <c r="B10" s="91">
        <v>0</v>
      </c>
      <c r="C10" s="92">
        <v>0</v>
      </c>
      <c r="D10" s="92">
        <v>0</v>
      </c>
      <c r="E10" s="92">
        <v>0</v>
      </c>
      <c r="F10" s="92">
        <v>0</v>
      </c>
      <c r="G10" s="92">
        <v>0</v>
      </c>
      <c r="H10" s="92">
        <v>0</v>
      </c>
      <c r="I10" s="92">
        <v>0</v>
      </c>
      <c r="J10" s="92">
        <v>0</v>
      </c>
      <c r="K10" s="92">
        <v>0</v>
      </c>
      <c r="L10" s="92">
        <v>0</v>
      </c>
      <c r="M10" s="93">
        <v>0</v>
      </c>
      <c r="N10" s="97">
        <f t="shared" si="0"/>
        <v>0</v>
      </c>
      <c r="O10" s="106">
        <v>0</v>
      </c>
    </row>
    <row r="11" spans="1:15">
      <c r="A11" s="2810" t="str">
        <v/>
      </c>
      <c r="B11" s="91">
        <v>0</v>
      </c>
      <c r="C11" s="92">
        <v>0</v>
      </c>
      <c r="D11" s="92">
        <v>0</v>
      </c>
      <c r="E11" s="92">
        <v>0</v>
      </c>
      <c r="F11" s="92">
        <v>0</v>
      </c>
      <c r="G11" s="92">
        <v>0</v>
      </c>
      <c r="H11" s="92">
        <v>0</v>
      </c>
      <c r="I11" s="92">
        <v>0</v>
      </c>
      <c r="J11" s="92">
        <v>0</v>
      </c>
      <c r="K11" s="92">
        <v>0</v>
      </c>
      <c r="L11" s="92">
        <v>0</v>
      </c>
      <c r="M11" s="93">
        <v>0</v>
      </c>
      <c r="N11" s="97">
        <f t="shared" si="0"/>
        <v>0</v>
      </c>
      <c r="O11" s="106">
        <v>0</v>
      </c>
    </row>
    <row r="12" spans="1:15">
      <c r="A12" s="2810" t="str">
        <v/>
      </c>
      <c r="B12" s="91">
        <v>0</v>
      </c>
      <c r="C12" s="92">
        <v>0</v>
      </c>
      <c r="D12" s="92">
        <v>0</v>
      </c>
      <c r="E12" s="92">
        <v>0</v>
      </c>
      <c r="F12" s="92">
        <v>0</v>
      </c>
      <c r="G12" s="92">
        <v>0</v>
      </c>
      <c r="H12" s="92">
        <v>0</v>
      </c>
      <c r="I12" s="92">
        <v>0</v>
      </c>
      <c r="J12" s="92">
        <v>0</v>
      </c>
      <c r="K12" s="92">
        <v>0</v>
      </c>
      <c r="L12" s="92">
        <v>0</v>
      </c>
      <c r="M12" s="93">
        <v>0</v>
      </c>
      <c r="N12" s="97">
        <f t="shared" si="0"/>
        <v>0</v>
      </c>
      <c r="O12" s="106">
        <v>0</v>
      </c>
    </row>
    <row r="13" spans="1:15">
      <c r="A13" s="2810" t="str">
        <v/>
      </c>
      <c r="B13" s="91">
        <v>0</v>
      </c>
      <c r="C13" s="92">
        <v>0</v>
      </c>
      <c r="D13" s="92">
        <v>0</v>
      </c>
      <c r="E13" s="92">
        <v>0</v>
      </c>
      <c r="F13" s="92">
        <v>0</v>
      </c>
      <c r="G13" s="92">
        <v>0</v>
      </c>
      <c r="H13" s="92">
        <v>0</v>
      </c>
      <c r="I13" s="92">
        <v>0</v>
      </c>
      <c r="J13" s="92">
        <v>0</v>
      </c>
      <c r="K13" s="92">
        <v>0</v>
      </c>
      <c r="L13" s="92">
        <v>0</v>
      </c>
      <c r="M13" s="93">
        <v>0</v>
      </c>
      <c r="N13" s="97">
        <f t="shared" si="0"/>
        <v>0</v>
      </c>
      <c r="O13" s="106">
        <v>0</v>
      </c>
    </row>
    <row r="14" spans="1:15">
      <c r="A14" s="2810" t="str">
        <v/>
      </c>
      <c r="B14" s="91">
        <v>0</v>
      </c>
      <c r="C14" s="92">
        <v>0</v>
      </c>
      <c r="D14" s="92">
        <v>0</v>
      </c>
      <c r="E14" s="92">
        <v>0</v>
      </c>
      <c r="F14" s="92">
        <v>0</v>
      </c>
      <c r="G14" s="92">
        <v>0</v>
      </c>
      <c r="H14" s="92">
        <v>0</v>
      </c>
      <c r="I14" s="92">
        <v>0</v>
      </c>
      <c r="J14" s="92">
        <v>0</v>
      </c>
      <c r="K14" s="92">
        <v>0</v>
      </c>
      <c r="L14" s="92">
        <v>0</v>
      </c>
      <c r="M14" s="93">
        <v>0</v>
      </c>
      <c r="N14" s="97">
        <f t="shared" si="0"/>
        <v>0</v>
      </c>
      <c r="O14" s="106">
        <v>0</v>
      </c>
    </row>
    <row r="15" spans="1:15" ht="15.75" thickBot="1">
      <c r="A15" s="2811" t="str">
        <f>'G.F. 0'!A15</f>
        <v>Total Sueldos y salarios</v>
      </c>
      <c r="B15" s="138">
        <f t="shared" ref="B15:M15" si="1">SUM(B7:B14)</f>
        <v>1560</v>
      </c>
      <c r="C15" s="139">
        <f t="shared" si="1"/>
        <v>1560</v>
      </c>
      <c r="D15" s="139">
        <f t="shared" si="1"/>
        <v>1560</v>
      </c>
      <c r="E15" s="139">
        <f t="shared" si="1"/>
        <v>1560</v>
      </c>
      <c r="F15" s="139">
        <f t="shared" si="1"/>
        <v>1560</v>
      </c>
      <c r="G15" s="139">
        <f t="shared" si="1"/>
        <v>1560</v>
      </c>
      <c r="H15" s="139">
        <f t="shared" si="1"/>
        <v>1560</v>
      </c>
      <c r="I15" s="139">
        <f t="shared" si="1"/>
        <v>1560</v>
      </c>
      <c r="J15" s="139">
        <f t="shared" si="1"/>
        <v>1560</v>
      </c>
      <c r="K15" s="139">
        <f t="shared" si="1"/>
        <v>1560</v>
      </c>
      <c r="L15" s="139">
        <f t="shared" si="1"/>
        <v>1560</v>
      </c>
      <c r="M15" s="140">
        <f t="shared" si="1"/>
        <v>1560</v>
      </c>
      <c r="N15" s="137">
        <f>SUM(B15:M15)</f>
        <v>18720</v>
      </c>
      <c r="O15" s="109">
        <v>0.94775212636695016</v>
      </c>
    </row>
    <row r="16" spans="1:15" ht="15.75" thickBot="1">
      <c r="A16" s="2812"/>
      <c r="B16" s="130"/>
      <c r="C16" s="131"/>
      <c r="D16" s="131"/>
      <c r="E16" s="131"/>
      <c r="F16" s="131"/>
      <c r="G16" s="131"/>
      <c r="H16" s="131"/>
      <c r="I16" s="131"/>
      <c r="J16" s="131"/>
      <c r="K16" s="131"/>
      <c r="L16" s="131"/>
      <c r="M16" s="132"/>
      <c r="N16" s="126"/>
      <c r="O16" s="127"/>
    </row>
    <row r="17" spans="1:15">
      <c r="A17" s="2809" t="str">
        <f t="array" ref="A17:A20">'G.F. 0'!A17:A20</f>
        <v>Seguros Sociales</v>
      </c>
      <c r="B17" s="88"/>
      <c r="C17" s="89"/>
      <c r="D17" s="89"/>
      <c r="E17" s="89"/>
      <c r="F17" s="89"/>
      <c r="G17" s="3245">
        <f>+'IRPF Prof y Autónomos'!$C$40</f>
        <v>0</v>
      </c>
      <c r="H17" s="89"/>
      <c r="I17" s="89"/>
      <c r="J17" s="89"/>
      <c r="K17" s="89"/>
      <c r="L17" s="89"/>
      <c r="M17" s="90"/>
      <c r="N17" s="133"/>
      <c r="O17" s="105"/>
    </row>
    <row r="18" spans="1:15">
      <c r="A18" s="144" t="str">
        <v>Seg. Social Socios (R.E.T.A.)</v>
      </c>
      <c r="B18" s="91">
        <f t="array" ref="B18">SUM('RR.HH.'!$C37:$C38*Plantilla!C28:C29)</f>
        <v>86</v>
      </c>
      <c r="C18" s="92">
        <f t="array" ref="C18">SUM('RR.HH.'!$C37:$C38*Plantilla!D28:D29)</f>
        <v>86</v>
      </c>
      <c r="D18" s="92">
        <f t="array" ref="D18">SUM('RR.HH.'!$C37:$C38*Plantilla!E28:E29)</f>
        <v>86</v>
      </c>
      <c r="E18" s="92">
        <f t="array" ref="E18">SUM('RR.HH.'!$C37:$C38*Plantilla!F28:F29)</f>
        <v>86</v>
      </c>
      <c r="F18" s="92">
        <f t="array" ref="F18">SUM('RR.HH.'!$C37:$C38*Plantilla!G28:G29)</f>
        <v>86</v>
      </c>
      <c r="G18" s="92">
        <f t="array" ref="G18">SUM('RR.HH.'!$C37:$C38*Plantilla!H28:H29)</f>
        <v>86</v>
      </c>
      <c r="H18" s="92">
        <f t="array" ref="H18">SUM('RR.HH.'!$C37:$C38*Plantilla!I28:I29)</f>
        <v>86</v>
      </c>
      <c r="I18" s="92">
        <f t="array" ref="I18">SUM('RR.HH.'!$C37:$C38*Plantilla!J28:J29)</f>
        <v>86</v>
      </c>
      <c r="J18" s="92">
        <f t="array" ref="J18">SUM('RR.HH.'!$C37:$C38*Plantilla!K28:K29)</f>
        <v>86</v>
      </c>
      <c r="K18" s="92">
        <f t="array" ref="K18">SUM('RR.HH.'!$C37:$C38*Plantilla!L28:L29)</f>
        <v>86</v>
      </c>
      <c r="L18" s="92">
        <f t="array" ref="L18">SUM('RR.HH.'!$C37:$C38*Plantilla!M28:M29)</f>
        <v>86</v>
      </c>
      <c r="M18" s="93">
        <f t="array" ref="M18">SUM('RR.HH.'!$C37:$C38*Plantilla!N28:N29)</f>
        <v>86</v>
      </c>
      <c r="N18" s="97">
        <f>SUM(B18:M18)</f>
        <v>1032</v>
      </c>
      <c r="O18" s="106">
        <f t="array" ref="O18:O20">N18:N20/$N$27</f>
        <v>5.2247873633049821E-2</v>
      </c>
    </row>
    <row r="19" spans="1:15">
      <c r="A19" s="144" t="str">
        <v>Seg. Social Empleados</v>
      </c>
      <c r="B19" s="91">
        <f t="array" ref="B19">SUM(B9:B14*'RR.HH.'!$C39:$C44)</f>
        <v>0</v>
      </c>
      <c r="C19" s="92">
        <f t="array" ref="C19">SUM(C9:C14*'RR.HH.'!$C39:$C44)</f>
        <v>0</v>
      </c>
      <c r="D19" s="92">
        <f t="array" ref="D19">SUM(D9:D14*'RR.HH.'!$C39:$C44)</f>
        <v>0</v>
      </c>
      <c r="E19" s="92">
        <f t="array" ref="E19">SUM(E9:E14*'RR.HH.'!$C39:$C44)</f>
        <v>0</v>
      </c>
      <c r="F19" s="92">
        <f t="array" ref="F19">SUM(F9:F14*'RR.HH.'!$C39:$C44)</f>
        <v>0</v>
      </c>
      <c r="G19" s="92">
        <f t="array" ref="G19">SUM(G9:G14*'RR.HH.'!$C39:$C44)</f>
        <v>0</v>
      </c>
      <c r="H19" s="92">
        <f t="array" ref="H19">SUM(H9:H14*'RR.HH.'!$C39:$C44)</f>
        <v>0</v>
      </c>
      <c r="I19" s="92">
        <f t="array" ref="I19">SUM(I9:I14*'RR.HH.'!$C39:$C44)</f>
        <v>0</v>
      </c>
      <c r="J19" s="92">
        <f t="array" ref="J19">SUM(J9:J14*'RR.HH.'!$C39:$C44)</f>
        <v>0</v>
      </c>
      <c r="K19" s="92">
        <f t="array" ref="K19">SUM(K9:K14*'RR.HH.'!$C39:$C44)</f>
        <v>0</v>
      </c>
      <c r="L19" s="92">
        <f t="array" ref="L19">SUM(L9:L14*'RR.HH.'!$C39:$C44)</f>
        <v>0</v>
      </c>
      <c r="M19" s="93">
        <f t="array" ref="M19">SUM(M9:M14*'RR.HH.'!$C39:$C44)</f>
        <v>0</v>
      </c>
      <c r="N19" s="97">
        <f>SUM(B19:M19)</f>
        <v>0</v>
      </c>
      <c r="O19" s="106">
        <v>0</v>
      </c>
    </row>
    <row r="20" spans="1:15" ht="15.75" thickBot="1">
      <c r="A20" s="2811" t="str">
        <v>Total Seguros Sociales</v>
      </c>
      <c r="B20" s="138">
        <f t="shared" ref="B20:M20" si="2">SUM(B18:B19)</f>
        <v>86</v>
      </c>
      <c r="C20" s="139">
        <f t="shared" si="2"/>
        <v>86</v>
      </c>
      <c r="D20" s="139">
        <f t="shared" si="2"/>
        <v>86</v>
      </c>
      <c r="E20" s="139">
        <f t="shared" si="2"/>
        <v>86</v>
      </c>
      <c r="F20" s="139">
        <f t="shared" si="2"/>
        <v>86</v>
      </c>
      <c r="G20" s="139">
        <f>SUM(G17:G19)</f>
        <v>86</v>
      </c>
      <c r="H20" s="139">
        <f t="shared" si="2"/>
        <v>86</v>
      </c>
      <c r="I20" s="139">
        <f t="shared" si="2"/>
        <v>86</v>
      </c>
      <c r="J20" s="139">
        <f t="shared" si="2"/>
        <v>86</v>
      </c>
      <c r="K20" s="139">
        <f t="shared" si="2"/>
        <v>86</v>
      </c>
      <c r="L20" s="139">
        <f t="shared" si="2"/>
        <v>86</v>
      </c>
      <c r="M20" s="140">
        <f t="shared" si="2"/>
        <v>86</v>
      </c>
      <c r="N20" s="137">
        <f>SUM(B20:M20)</f>
        <v>1032</v>
      </c>
      <c r="O20" s="109">
        <v>5.2247873633049821E-2</v>
      </c>
    </row>
    <row r="21" spans="1:15" ht="15.75" thickBot="1">
      <c r="A21" s="2812"/>
      <c r="B21" s="130"/>
      <c r="C21" s="131"/>
      <c r="D21" s="131"/>
      <c r="E21" s="131"/>
      <c r="F21" s="131"/>
      <c r="G21" s="131"/>
      <c r="H21" s="131"/>
      <c r="I21" s="131"/>
      <c r="J21" s="131"/>
      <c r="K21" s="131"/>
      <c r="L21" s="131"/>
      <c r="M21" s="132"/>
      <c r="N21" s="126"/>
      <c r="O21" s="127"/>
    </row>
    <row r="22" spans="1:15">
      <c r="A22" s="2809" t="str">
        <f t="array" ref="A22:A25">'G.F. 0'!A22:A25</f>
        <v>Altas y bajas de personal</v>
      </c>
      <c r="B22" s="88"/>
      <c r="C22" s="89"/>
      <c r="D22" s="89"/>
      <c r="E22" s="89"/>
      <c r="F22" s="89"/>
      <c r="G22" s="89"/>
      <c r="H22" s="89"/>
      <c r="I22" s="89"/>
      <c r="J22" s="89"/>
      <c r="K22" s="89"/>
      <c r="L22" s="89"/>
      <c r="M22" s="90"/>
      <c r="N22" s="133"/>
      <c r="O22" s="105"/>
    </row>
    <row r="23" spans="1:15">
      <c r="A23" s="144" t="str">
        <v>Altas y bajas de socios</v>
      </c>
      <c r="B23" s="94">
        <f t="array" ref="B23:M24">'RR.HH.'!$C53:$C54*Plantilla!C39:N40</f>
        <v>0</v>
      </c>
      <c r="C23" s="95">
        <v>0</v>
      </c>
      <c r="D23" s="95">
        <v>0</v>
      </c>
      <c r="E23" s="95">
        <v>0</v>
      </c>
      <c r="F23" s="95">
        <v>0</v>
      </c>
      <c r="G23" s="95">
        <v>0</v>
      </c>
      <c r="H23" s="95">
        <v>0</v>
      </c>
      <c r="I23" s="95">
        <v>0</v>
      </c>
      <c r="J23" s="95">
        <v>0</v>
      </c>
      <c r="K23" s="95">
        <v>0</v>
      </c>
      <c r="L23" s="95">
        <v>0</v>
      </c>
      <c r="M23" s="96">
        <v>0</v>
      </c>
      <c r="N23" s="97">
        <f>SUM(B23:M23)</f>
        <v>0</v>
      </c>
      <c r="O23" s="106">
        <f t="array" ref="O23:O25">N23:N25/$N$27</f>
        <v>0</v>
      </c>
    </row>
    <row r="24" spans="1:15">
      <c r="A24" s="144" t="str">
        <v>Altas de empleados</v>
      </c>
      <c r="B24" s="94">
        <v>0</v>
      </c>
      <c r="C24" s="95">
        <v>0</v>
      </c>
      <c r="D24" s="95">
        <v>0</v>
      </c>
      <c r="E24" s="95">
        <v>0</v>
      </c>
      <c r="F24" s="95">
        <v>0</v>
      </c>
      <c r="G24" s="95">
        <v>0</v>
      </c>
      <c r="H24" s="95">
        <v>0</v>
      </c>
      <c r="I24" s="95">
        <v>0</v>
      </c>
      <c r="J24" s="95">
        <v>0</v>
      </c>
      <c r="K24" s="95">
        <v>0</v>
      </c>
      <c r="L24" s="95">
        <v>0</v>
      </c>
      <c r="M24" s="96">
        <v>0</v>
      </c>
      <c r="N24" s="97">
        <f>SUM(B24:M24)</f>
        <v>0</v>
      </c>
      <c r="O24" s="106">
        <v>0</v>
      </c>
    </row>
    <row r="25" spans="1:15" ht="15.75" thickBot="1">
      <c r="A25" s="2811" t="str">
        <v>Total Altas y bajas de personal</v>
      </c>
      <c r="B25" s="138">
        <f>SUM(B23:B24)</f>
        <v>0</v>
      </c>
      <c r="C25" s="139">
        <f t="shared" ref="C25:M25" si="3">SUM(C23:C24)</f>
        <v>0</v>
      </c>
      <c r="D25" s="139">
        <f t="shared" si="3"/>
        <v>0</v>
      </c>
      <c r="E25" s="139">
        <f t="shared" si="3"/>
        <v>0</v>
      </c>
      <c r="F25" s="139">
        <f t="shared" si="3"/>
        <v>0</v>
      </c>
      <c r="G25" s="139">
        <f t="shared" si="3"/>
        <v>0</v>
      </c>
      <c r="H25" s="139">
        <f t="shared" si="3"/>
        <v>0</v>
      </c>
      <c r="I25" s="139">
        <f t="shared" si="3"/>
        <v>0</v>
      </c>
      <c r="J25" s="139">
        <f t="shared" si="3"/>
        <v>0</v>
      </c>
      <c r="K25" s="139">
        <f t="shared" si="3"/>
        <v>0</v>
      </c>
      <c r="L25" s="139">
        <f t="shared" si="3"/>
        <v>0</v>
      </c>
      <c r="M25" s="140">
        <f t="shared" si="3"/>
        <v>0</v>
      </c>
      <c r="N25" s="137">
        <f>SUM(B25:M25)</f>
        <v>0</v>
      </c>
      <c r="O25" s="109">
        <v>0</v>
      </c>
    </row>
    <row r="26" spans="1:15" ht="15.75" thickBot="1">
      <c r="A26" s="2813"/>
      <c r="B26" s="142"/>
      <c r="C26" s="128"/>
      <c r="D26" s="128"/>
      <c r="E26" s="128"/>
      <c r="F26" s="128"/>
      <c r="G26" s="128"/>
      <c r="H26" s="128"/>
      <c r="I26" s="128"/>
      <c r="J26" s="128"/>
      <c r="K26" s="128"/>
      <c r="L26" s="128"/>
      <c r="M26" s="129"/>
      <c r="N26" s="121"/>
      <c r="O26" s="122"/>
    </row>
    <row r="27" spans="1:15" ht="15.75" thickBot="1">
      <c r="A27" s="2450" t="str">
        <f>'G.F. 0'!A27</f>
        <v>Total Gastos de personal</v>
      </c>
      <c r="B27" s="2932">
        <f t="shared" ref="B27:N27" si="4">B25+B20+B15</f>
        <v>1646</v>
      </c>
      <c r="C27" s="2933">
        <f t="shared" si="4"/>
        <v>1646</v>
      </c>
      <c r="D27" s="2933">
        <f t="shared" si="4"/>
        <v>1646</v>
      </c>
      <c r="E27" s="2933">
        <f t="shared" si="4"/>
        <v>1646</v>
      </c>
      <c r="F27" s="2933">
        <f t="shared" si="4"/>
        <v>1646</v>
      </c>
      <c r="G27" s="2933">
        <f t="shared" si="4"/>
        <v>1646</v>
      </c>
      <c r="H27" s="2933">
        <f t="shared" si="4"/>
        <v>1646</v>
      </c>
      <c r="I27" s="2933">
        <f t="shared" si="4"/>
        <v>1646</v>
      </c>
      <c r="J27" s="2933">
        <f t="shared" si="4"/>
        <v>1646</v>
      </c>
      <c r="K27" s="2933">
        <f t="shared" si="4"/>
        <v>1646</v>
      </c>
      <c r="L27" s="2933">
        <f t="shared" si="4"/>
        <v>1646</v>
      </c>
      <c r="M27" s="84">
        <f t="shared" si="4"/>
        <v>1646</v>
      </c>
      <c r="N27" s="83">
        <f t="shared" si="4"/>
        <v>19752</v>
      </c>
      <c r="O27" s="110">
        <f ca="1">N27/$N$58</f>
        <v>0.92241612297387243</v>
      </c>
    </row>
    <row r="28" spans="1:15">
      <c r="A28" s="101"/>
      <c r="B28" s="85"/>
      <c r="C28" s="85"/>
      <c r="D28" s="85"/>
      <c r="E28" s="85"/>
      <c r="F28" s="85"/>
      <c r="G28" s="85"/>
      <c r="H28" s="85"/>
      <c r="I28" s="85"/>
      <c r="J28" s="85"/>
      <c r="K28" s="85"/>
      <c r="L28" s="85"/>
      <c r="M28" s="85"/>
      <c r="N28" s="85"/>
      <c r="O28" s="102"/>
    </row>
    <row r="29" spans="1:15">
      <c r="A29" s="87"/>
      <c r="B29" s="85"/>
      <c r="C29" s="85"/>
      <c r="D29" s="85"/>
      <c r="E29" s="85"/>
      <c r="F29" s="85"/>
      <c r="G29" s="85"/>
      <c r="H29" s="85"/>
      <c r="I29" s="85"/>
      <c r="J29" s="85"/>
      <c r="K29" s="85"/>
      <c r="L29" s="85"/>
      <c r="M29" s="85"/>
      <c r="N29" s="85"/>
      <c r="O29" s="99"/>
    </row>
    <row r="30" spans="1:15">
      <c r="A30" s="87"/>
      <c r="B30" s="85"/>
      <c r="C30" s="85"/>
      <c r="D30" s="85"/>
      <c r="E30" s="85"/>
      <c r="F30" s="85"/>
      <c r="G30" s="85"/>
      <c r="H30" s="85"/>
      <c r="I30" s="85"/>
      <c r="J30" s="85"/>
      <c r="K30" s="85"/>
      <c r="L30" s="85"/>
      <c r="M30" s="85"/>
      <c r="N30" s="85"/>
      <c r="O30" s="99"/>
    </row>
    <row r="31" spans="1:15" ht="15.75" thickBot="1">
      <c r="A31" s="87"/>
      <c r="B31" s="85"/>
      <c r="C31" s="85"/>
      <c r="D31" s="85"/>
      <c r="E31" s="85"/>
      <c r="F31" s="85"/>
      <c r="G31" s="85"/>
      <c r="H31" s="85"/>
      <c r="I31" s="85"/>
      <c r="J31" s="85"/>
      <c r="K31" s="85"/>
      <c r="L31" s="85"/>
      <c r="M31" s="85"/>
      <c r="N31" s="85"/>
      <c r="O31" s="99"/>
    </row>
    <row r="32" spans="1:15" ht="15.75" thickBot="1">
      <c r="A32" s="148" t="str">
        <f>'G.F. 0'!A32</f>
        <v>Otros gastos fijos</v>
      </c>
      <c r="B32" s="157" t="str">
        <f t="array" ref="B32:M32">meses</f>
        <v>enero</v>
      </c>
      <c r="C32" s="158" t="str">
        <v>febrero</v>
      </c>
      <c r="D32" s="158" t="str">
        <v>marzo</v>
      </c>
      <c r="E32" s="158" t="str">
        <v>abril</v>
      </c>
      <c r="F32" s="158" t="str">
        <v>mayo</v>
      </c>
      <c r="G32" s="158" t="str">
        <v>junio</v>
      </c>
      <c r="H32" s="158" t="str">
        <v>julio</v>
      </c>
      <c r="I32" s="158" t="str">
        <v>agosto</v>
      </c>
      <c r="J32" s="158" t="str">
        <v>septiembre</v>
      </c>
      <c r="K32" s="158" t="str">
        <v>octubre</v>
      </c>
      <c r="L32" s="158" t="str">
        <v>noviembre</v>
      </c>
      <c r="M32" s="159" t="str">
        <v>diciembre</v>
      </c>
      <c r="N32" s="103" t="str">
        <f>'G.F. 0'!$N$4</f>
        <v>Totales</v>
      </c>
      <c r="O32" s="103" t="s">
        <v>32</v>
      </c>
    </row>
    <row r="33" spans="1:15">
      <c r="A33" s="108" t="str">
        <f t="array" ref="A33:A54">'Gastos Fijos Datos'!A6:A27</f>
        <v>Tributos: IAE, IBI, ...</v>
      </c>
      <c r="B33" s="152">
        <f t="array" ref="B33:M54">IFERROR('Gastos Fijos Datos'!$U6:$U27*'Gastos Fijos Datos'!E6:P27/'Gastos Fijos Datos'!$Q6:$Q27,'Gastos Fijos Datos'!$U6:$U27/12)</f>
        <v>0</v>
      </c>
      <c r="C33" s="153">
        <v>0</v>
      </c>
      <c r="D33" s="153">
        <v>0</v>
      </c>
      <c r="E33" s="153">
        <v>0</v>
      </c>
      <c r="F33" s="153">
        <v>0</v>
      </c>
      <c r="G33" s="153">
        <v>0</v>
      </c>
      <c r="H33" s="153">
        <v>0</v>
      </c>
      <c r="I33" s="153">
        <v>0</v>
      </c>
      <c r="J33" s="153">
        <v>0</v>
      </c>
      <c r="K33" s="153">
        <v>0</v>
      </c>
      <c r="L33" s="153">
        <v>0</v>
      </c>
      <c r="M33" s="154">
        <v>0</v>
      </c>
      <c r="N33" s="155">
        <f t="shared" ref="N33:N43" si="5">SUM(B33:M33)</f>
        <v>0</v>
      </c>
      <c r="O33" s="105">
        <f t="array" aca="1" ref="O33:O54" ca="1">N33:N54/$N$58</f>
        <v>0</v>
      </c>
    </row>
    <row r="34" spans="1:15">
      <c r="A34" s="107" t="str">
        <v>Otras gastos fijos ( SIN IVA )</v>
      </c>
      <c r="B34" s="91">
        <v>0</v>
      </c>
      <c r="C34" s="92">
        <v>0</v>
      </c>
      <c r="D34" s="92">
        <v>0</v>
      </c>
      <c r="E34" s="92">
        <v>0</v>
      </c>
      <c r="F34" s="92">
        <v>0</v>
      </c>
      <c r="G34" s="92">
        <v>0</v>
      </c>
      <c r="H34" s="92">
        <v>0</v>
      </c>
      <c r="I34" s="92">
        <v>0</v>
      </c>
      <c r="J34" s="92">
        <v>0</v>
      </c>
      <c r="K34" s="92">
        <v>0</v>
      </c>
      <c r="L34" s="92">
        <v>0</v>
      </c>
      <c r="M34" s="93">
        <v>0</v>
      </c>
      <c r="N34" s="156">
        <f t="shared" si="5"/>
        <v>0</v>
      </c>
      <c r="O34" s="106">
        <f ca="1"/>
        <v>0</v>
      </c>
    </row>
    <row r="35" spans="1:15">
      <c r="A35" s="107" t="str">
        <v>Primas de Seguros</v>
      </c>
      <c r="B35" s="91">
        <v>0</v>
      </c>
      <c r="C35" s="92">
        <v>0</v>
      </c>
      <c r="D35" s="92">
        <v>0</v>
      </c>
      <c r="E35" s="92">
        <v>0</v>
      </c>
      <c r="F35" s="92">
        <v>0</v>
      </c>
      <c r="G35" s="92">
        <v>0</v>
      </c>
      <c r="H35" s="92">
        <v>0</v>
      </c>
      <c r="I35" s="92">
        <v>0</v>
      </c>
      <c r="J35" s="92">
        <v>0</v>
      </c>
      <c r="K35" s="92">
        <v>0</v>
      </c>
      <c r="L35" s="92">
        <v>0</v>
      </c>
      <c r="M35" s="93">
        <v>0</v>
      </c>
      <c r="N35" s="156">
        <f t="shared" si="5"/>
        <v>0</v>
      </c>
      <c r="O35" s="106">
        <f ca="1"/>
        <v>0</v>
      </c>
    </row>
    <row r="36" spans="1:15">
      <c r="A36" s="107" t="str">
        <v>Colegio / asociación profesional</v>
      </c>
      <c r="B36" s="91">
        <v>0</v>
      </c>
      <c r="C36" s="92">
        <v>0</v>
      </c>
      <c r="D36" s="92">
        <v>0</v>
      </c>
      <c r="E36" s="92">
        <v>0</v>
      </c>
      <c r="F36" s="92">
        <v>0</v>
      </c>
      <c r="G36" s="92">
        <v>0</v>
      </c>
      <c r="H36" s="92">
        <v>0</v>
      </c>
      <c r="I36" s="92">
        <v>0</v>
      </c>
      <c r="J36" s="92">
        <v>0</v>
      </c>
      <c r="K36" s="92">
        <v>0</v>
      </c>
      <c r="L36" s="92">
        <v>0</v>
      </c>
      <c r="M36" s="93">
        <v>0</v>
      </c>
      <c r="N36" s="156">
        <f t="shared" si="5"/>
        <v>0</v>
      </c>
      <c r="O36" s="106">
        <f ca="1"/>
        <v>0</v>
      </c>
    </row>
    <row r="37" spans="1:15">
      <c r="A37" s="107" t="str">
        <v>Suministro de Electricidad</v>
      </c>
      <c r="B37" s="91">
        <v>0</v>
      </c>
      <c r="C37" s="92">
        <v>0</v>
      </c>
      <c r="D37" s="92">
        <v>0</v>
      </c>
      <c r="E37" s="92">
        <v>0</v>
      </c>
      <c r="F37" s="92">
        <v>0</v>
      </c>
      <c r="G37" s="92">
        <v>0</v>
      </c>
      <c r="H37" s="92">
        <v>0</v>
      </c>
      <c r="I37" s="92">
        <v>0</v>
      </c>
      <c r="J37" s="92">
        <v>0</v>
      </c>
      <c r="K37" s="92">
        <v>0</v>
      </c>
      <c r="L37" s="92">
        <v>0</v>
      </c>
      <c r="M37" s="93">
        <v>0</v>
      </c>
      <c r="N37" s="156">
        <f t="shared" si="5"/>
        <v>0</v>
      </c>
      <c r="O37" s="106">
        <f ca="1"/>
        <v>0</v>
      </c>
    </row>
    <row r="38" spans="1:15">
      <c r="A38" s="107" t="str">
        <v>Cuotas periódicas de software</v>
      </c>
      <c r="B38" s="91">
        <v>0</v>
      </c>
      <c r="C38" s="92">
        <v>0</v>
      </c>
      <c r="D38" s="92">
        <v>0</v>
      </c>
      <c r="E38" s="92">
        <v>0</v>
      </c>
      <c r="F38" s="92">
        <v>0</v>
      </c>
      <c r="G38" s="92">
        <v>0</v>
      </c>
      <c r="H38" s="92">
        <v>0</v>
      </c>
      <c r="I38" s="92">
        <v>0</v>
      </c>
      <c r="J38" s="92">
        <v>0</v>
      </c>
      <c r="K38" s="92">
        <v>0</v>
      </c>
      <c r="L38" s="92">
        <v>0</v>
      </c>
      <c r="M38" s="93">
        <v>0</v>
      </c>
      <c r="N38" s="156">
        <f t="shared" si="5"/>
        <v>0</v>
      </c>
      <c r="O38" s="106">
        <f ca="1"/>
        <v>0</v>
      </c>
    </row>
    <row r="39" spans="1:15">
      <c r="A39" s="107" t="str">
        <v>Agua, saneamiento y basura</v>
      </c>
      <c r="B39" s="91">
        <v>0</v>
      </c>
      <c r="C39" s="92">
        <v>0</v>
      </c>
      <c r="D39" s="92">
        <v>0</v>
      </c>
      <c r="E39" s="92">
        <v>0</v>
      </c>
      <c r="F39" s="92">
        <v>0</v>
      </c>
      <c r="G39" s="92">
        <v>0</v>
      </c>
      <c r="H39" s="92">
        <v>0</v>
      </c>
      <c r="I39" s="92">
        <v>0</v>
      </c>
      <c r="J39" s="92">
        <v>0</v>
      </c>
      <c r="K39" s="92">
        <v>0</v>
      </c>
      <c r="L39" s="92">
        <v>0</v>
      </c>
      <c r="M39" s="93">
        <v>0</v>
      </c>
      <c r="N39" s="156">
        <f t="shared" si="5"/>
        <v>0</v>
      </c>
      <c r="O39" s="106">
        <f ca="1"/>
        <v>0</v>
      </c>
    </row>
    <row r="40" spans="1:15">
      <c r="A40" s="107" t="str">
        <v>Otros suministros (gas, etc.)</v>
      </c>
      <c r="B40" s="91">
        <v>0</v>
      </c>
      <c r="C40" s="92">
        <v>0</v>
      </c>
      <c r="D40" s="92">
        <v>0</v>
      </c>
      <c r="E40" s="92">
        <v>0</v>
      </c>
      <c r="F40" s="92">
        <v>0</v>
      </c>
      <c r="G40" s="92">
        <v>0</v>
      </c>
      <c r="H40" s="92">
        <v>0</v>
      </c>
      <c r="I40" s="92">
        <v>0</v>
      </c>
      <c r="J40" s="92">
        <v>0</v>
      </c>
      <c r="K40" s="92">
        <v>0</v>
      </c>
      <c r="L40" s="92">
        <v>0</v>
      </c>
      <c r="M40" s="93">
        <v>0</v>
      </c>
      <c r="N40" s="156">
        <f t="shared" si="5"/>
        <v>0</v>
      </c>
      <c r="O40" s="106">
        <f ca="1"/>
        <v>0</v>
      </c>
    </row>
    <row r="41" spans="1:15">
      <c r="A41" s="107" t="str">
        <v>Telefonía / Internet / Comunicaciones</v>
      </c>
      <c r="B41" s="91">
        <v>0</v>
      </c>
      <c r="C41" s="92">
        <v>0</v>
      </c>
      <c r="D41" s="92">
        <v>0</v>
      </c>
      <c r="E41" s="92">
        <v>0</v>
      </c>
      <c r="F41" s="92">
        <v>0</v>
      </c>
      <c r="G41" s="92">
        <v>0</v>
      </c>
      <c r="H41" s="92">
        <v>0</v>
      </c>
      <c r="I41" s="92">
        <v>0</v>
      </c>
      <c r="J41" s="92">
        <v>0</v>
      </c>
      <c r="K41" s="92">
        <v>0</v>
      </c>
      <c r="L41" s="92">
        <v>0</v>
      </c>
      <c r="M41" s="93">
        <v>0</v>
      </c>
      <c r="N41" s="156">
        <f t="shared" si="5"/>
        <v>0</v>
      </c>
      <c r="O41" s="106">
        <f ca="1"/>
        <v>0</v>
      </c>
    </row>
    <row r="42" spans="1:15">
      <c r="A42" s="107" t="str">
        <v>Alojamiento y servicios web</v>
      </c>
      <c r="B42" s="91">
        <v>0</v>
      </c>
      <c r="C42" s="92">
        <v>0</v>
      </c>
      <c r="D42" s="92">
        <v>0</v>
      </c>
      <c r="E42" s="92">
        <v>0</v>
      </c>
      <c r="F42" s="92">
        <v>0</v>
      </c>
      <c r="G42" s="92">
        <v>0</v>
      </c>
      <c r="H42" s="92">
        <v>0</v>
      </c>
      <c r="I42" s="92">
        <v>0</v>
      </c>
      <c r="J42" s="92">
        <v>0</v>
      </c>
      <c r="K42" s="92">
        <v>0</v>
      </c>
      <c r="L42" s="92">
        <v>0</v>
      </c>
      <c r="M42" s="93">
        <v>0</v>
      </c>
      <c r="N42" s="156">
        <f t="shared" si="5"/>
        <v>0</v>
      </c>
      <c r="O42" s="106">
        <f ca="1"/>
        <v>0</v>
      </c>
    </row>
    <row r="43" spans="1:15">
      <c r="A43" s="107" t="str">
        <v>Alarma / Compañía de seguridad</v>
      </c>
      <c r="B43" s="91">
        <v>0</v>
      </c>
      <c r="C43" s="92">
        <v>0</v>
      </c>
      <c r="D43" s="92">
        <v>0</v>
      </c>
      <c r="E43" s="92">
        <v>0</v>
      </c>
      <c r="F43" s="92">
        <v>0</v>
      </c>
      <c r="G43" s="92">
        <v>0</v>
      </c>
      <c r="H43" s="92">
        <v>0</v>
      </c>
      <c r="I43" s="92">
        <v>0</v>
      </c>
      <c r="J43" s="92">
        <v>0</v>
      </c>
      <c r="K43" s="92">
        <v>0</v>
      </c>
      <c r="L43" s="92">
        <v>0</v>
      </c>
      <c r="M43" s="93">
        <v>0</v>
      </c>
      <c r="N43" s="156">
        <f t="shared" si="5"/>
        <v>0</v>
      </c>
      <c r="O43" s="106">
        <f ca="1"/>
        <v>0</v>
      </c>
    </row>
    <row r="44" spans="1:15">
      <c r="A44" s="107" t="str">
        <v>Material de oficina / papelería</v>
      </c>
      <c r="B44" s="91">
        <v>0</v>
      </c>
      <c r="C44" s="92">
        <v>0</v>
      </c>
      <c r="D44" s="92">
        <v>0</v>
      </c>
      <c r="E44" s="92">
        <v>0</v>
      </c>
      <c r="F44" s="92">
        <v>0</v>
      </c>
      <c r="G44" s="92">
        <v>0</v>
      </c>
      <c r="H44" s="92">
        <v>0</v>
      </c>
      <c r="I44" s="92">
        <v>0</v>
      </c>
      <c r="J44" s="92">
        <v>0</v>
      </c>
      <c r="K44" s="92">
        <v>0</v>
      </c>
      <c r="L44" s="92">
        <v>0</v>
      </c>
      <c r="M44" s="93">
        <v>0</v>
      </c>
      <c r="N44" s="156">
        <f t="shared" ref="N44:N50" si="6">SUM(B44:M44)</f>
        <v>0</v>
      </c>
      <c r="O44" s="106">
        <f ca="1"/>
        <v>0</v>
      </c>
    </row>
    <row r="45" spans="1:15">
      <c r="A45" s="107" t="str">
        <v>Congresos / Ferias / Viajes</v>
      </c>
      <c r="B45" s="91">
        <v>0</v>
      </c>
      <c r="C45" s="92">
        <v>0</v>
      </c>
      <c r="D45" s="92">
        <v>0</v>
      </c>
      <c r="E45" s="92">
        <v>0</v>
      </c>
      <c r="F45" s="92">
        <v>0</v>
      </c>
      <c r="G45" s="92">
        <v>0</v>
      </c>
      <c r="H45" s="92">
        <v>0</v>
      </c>
      <c r="I45" s="92">
        <v>0</v>
      </c>
      <c r="J45" s="92">
        <v>0</v>
      </c>
      <c r="K45" s="92">
        <v>0</v>
      </c>
      <c r="L45" s="92">
        <v>0</v>
      </c>
      <c r="M45" s="93">
        <v>0</v>
      </c>
      <c r="N45" s="156">
        <f t="shared" si="6"/>
        <v>0</v>
      </c>
      <c r="O45" s="106">
        <f ca="1"/>
        <v>0</v>
      </c>
    </row>
    <row r="46" spans="1:15">
      <c r="A46" s="107" t="str">
        <v>Transporte y desplazamientos</v>
      </c>
      <c r="B46" s="91">
        <v>0</v>
      </c>
      <c r="C46" s="92">
        <v>0</v>
      </c>
      <c r="D46" s="92">
        <v>0</v>
      </c>
      <c r="E46" s="92">
        <v>0</v>
      </c>
      <c r="F46" s="92">
        <v>0</v>
      </c>
      <c r="G46" s="92">
        <v>0</v>
      </c>
      <c r="H46" s="92">
        <v>0</v>
      </c>
      <c r="I46" s="92">
        <v>0</v>
      </c>
      <c r="J46" s="92">
        <v>0</v>
      </c>
      <c r="K46" s="92">
        <v>0</v>
      </c>
      <c r="L46" s="92">
        <v>0</v>
      </c>
      <c r="M46" s="93">
        <v>0</v>
      </c>
      <c r="N46" s="156">
        <f t="shared" si="6"/>
        <v>0</v>
      </c>
      <c r="O46" s="106">
        <f ca="1"/>
        <v>0</v>
      </c>
    </row>
    <row r="47" spans="1:15">
      <c r="A47" s="107" t="str">
        <v>Asesoría y profesionales independientes</v>
      </c>
      <c r="B47" s="91">
        <v>0</v>
      </c>
      <c r="C47" s="92">
        <v>0</v>
      </c>
      <c r="D47" s="92">
        <v>0</v>
      </c>
      <c r="E47" s="92">
        <v>0</v>
      </c>
      <c r="F47" s="92">
        <v>0</v>
      </c>
      <c r="G47" s="92">
        <v>0</v>
      </c>
      <c r="H47" s="92">
        <v>0</v>
      </c>
      <c r="I47" s="92">
        <v>0</v>
      </c>
      <c r="J47" s="92">
        <v>0</v>
      </c>
      <c r="K47" s="92">
        <v>0</v>
      </c>
      <c r="L47" s="92">
        <v>0</v>
      </c>
      <c r="M47" s="93">
        <v>0</v>
      </c>
      <c r="N47" s="156">
        <f t="shared" si="6"/>
        <v>0</v>
      </c>
      <c r="O47" s="106">
        <f ca="1"/>
        <v>0</v>
      </c>
    </row>
    <row r="48" spans="1:15">
      <c r="A48" s="107" t="str">
        <v>Arrendamientos / alquileres</v>
      </c>
      <c r="B48" s="91">
        <v>0</v>
      </c>
      <c r="C48" s="92">
        <v>0</v>
      </c>
      <c r="D48" s="92">
        <v>0</v>
      </c>
      <c r="E48" s="92">
        <v>0</v>
      </c>
      <c r="F48" s="92">
        <v>0</v>
      </c>
      <c r="G48" s="92">
        <v>0</v>
      </c>
      <c r="H48" s="92">
        <v>0</v>
      </c>
      <c r="I48" s="92">
        <v>0</v>
      </c>
      <c r="J48" s="92">
        <v>0</v>
      </c>
      <c r="K48" s="92">
        <v>0</v>
      </c>
      <c r="L48" s="92">
        <v>0</v>
      </c>
      <c r="M48" s="93">
        <v>0</v>
      </c>
      <c r="N48" s="156">
        <f t="shared" si="6"/>
        <v>0</v>
      </c>
      <c r="O48" s="106">
        <f ca="1"/>
        <v>0</v>
      </c>
    </row>
    <row r="49" spans="1:15">
      <c r="A49" s="107" t="str">
        <v>Gastos Marketing online variables</v>
      </c>
      <c r="B49" s="91">
        <f ca="1"/>
        <v>64.458333333333343</v>
      </c>
      <c r="C49" s="92">
        <f ca="1"/>
        <v>64.458333333333343</v>
      </c>
      <c r="D49" s="92">
        <f ca="1"/>
        <v>64.458333333333343</v>
      </c>
      <c r="E49" s="92">
        <f ca="1"/>
        <v>64.458333333333343</v>
      </c>
      <c r="F49" s="92">
        <f ca="1"/>
        <v>64.458333333333343</v>
      </c>
      <c r="G49" s="92">
        <f ca="1"/>
        <v>64.458333333333343</v>
      </c>
      <c r="H49" s="92">
        <f ca="1"/>
        <v>64.458333333333343</v>
      </c>
      <c r="I49" s="92">
        <f ca="1"/>
        <v>64.458333333333343</v>
      </c>
      <c r="J49" s="92">
        <f ca="1"/>
        <v>64.458333333333343</v>
      </c>
      <c r="K49" s="92">
        <f ca="1"/>
        <v>64.458333333333343</v>
      </c>
      <c r="L49" s="92">
        <f ca="1"/>
        <v>64.458333333333343</v>
      </c>
      <c r="M49" s="93">
        <f ca="1"/>
        <v>64.458333333333343</v>
      </c>
      <c r="N49" s="156">
        <f t="shared" ca="1" si="6"/>
        <v>773.50000000000034</v>
      </c>
      <c r="O49" s="106">
        <f ca="1"/>
        <v>3.6122360830310382E-2</v>
      </c>
    </row>
    <row r="50" spans="1:15">
      <c r="A50" s="107" t="str">
        <v>Gastos Marketing online fijos</v>
      </c>
      <c r="B50" s="91">
        <v>0</v>
      </c>
      <c r="C50" s="92">
        <v>0</v>
      </c>
      <c r="D50" s="92">
        <v>0</v>
      </c>
      <c r="E50" s="92">
        <v>0</v>
      </c>
      <c r="F50" s="92">
        <v>0</v>
      </c>
      <c r="G50" s="92">
        <v>0</v>
      </c>
      <c r="H50" s="92">
        <v>0</v>
      </c>
      <c r="I50" s="92">
        <v>0</v>
      </c>
      <c r="J50" s="92">
        <v>0</v>
      </c>
      <c r="K50" s="92">
        <v>0</v>
      </c>
      <c r="L50" s="92">
        <v>0</v>
      </c>
      <c r="M50" s="93">
        <v>0</v>
      </c>
      <c r="N50" s="156">
        <f t="shared" si="6"/>
        <v>0</v>
      </c>
      <c r="O50" s="106">
        <f ca="1"/>
        <v>0</v>
      </c>
    </row>
    <row r="51" spans="1:15">
      <c r="A51" s="107" t="str">
        <v>Gastos Marketing off-line variables</v>
      </c>
      <c r="B51" s="91">
        <f ca="1"/>
        <v>64.458333333333343</v>
      </c>
      <c r="C51" s="92">
        <f ca="1"/>
        <v>64.458333333333343</v>
      </c>
      <c r="D51" s="92">
        <f ca="1"/>
        <v>64.458333333333343</v>
      </c>
      <c r="E51" s="92">
        <f ca="1"/>
        <v>64.458333333333343</v>
      </c>
      <c r="F51" s="92">
        <f ca="1"/>
        <v>64.458333333333343</v>
      </c>
      <c r="G51" s="92">
        <f ca="1"/>
        <v>64.458333333333343</v>
      </c>
      <c r="H51" s="92">
        <f ca="1"/>
        <v>64.458333333333343</v>
      </c>
      <c r="I51" s="92">
        <f ca="1"/>
        <v>64.458333333333343</v>
      </c>
      <c r="J51" s="92">
        <f ca="1"/>
        <v>64.458333333333343</v>
      </c>
      <c r="K51" s="92">
        <f ca="1"/>
        <v>64.458333333333343</v>
      </c>
      <c r="L51" s="92">
        <f ca="1"/>
        <v>64.458333333333343</v>
      </c>
      <c r="M51" s="93">
        <f ca="1"/>
        <v>64.458333333333343</v>
      </c>
      <c r="N51" s="156">
        <f ca="1">SUM(B51:M51)</f>
        <v>773.50000000000034</v>
      </c>
      <c r="O51" s="106">
        <f ca="1"/>
        <v>3.6122360830310382E-2</v>
      </c>
    </row>
    <row r="52" spans="1:15">
      <c r="A52" s="107" t="str">
        <v>Gastos Marketing off-line fijos</v>
      </c>
      <c r="B52" s="91">
        <v>0</v>
      </c>
      <c r="C52" s="92">
        <v>0</v>
      </c>
      <c r="D52" s="92">
        <v>0</v>
      </c>
      <c r="E52" s="92">
        <v>0</v>
      </c>
      <c r="F52" s="92">
        <v>0</v>
      </c>
      <c r="G52" s="92">
        <v>0</v>
      </c>
      <c r="H52" s="92">
        <v>0</v>
      </c>
      <c r="I52" s="92">
        <v>0</v>
      </c>
      <c r="J52" s="92">
        <v>0</v>
      </c>
      <c r="K52" s="92">
        <v>0</v>
      </c>
      <c r="L52" s="92">
        <v>0</v>
      </c>
      <c r="M52" s="93">
        <v>0</v>
      </c>
      <c r="N52" s="156">
        <f t="shared" ref="N52:N54" si="7">SUM(B52:M52)</f>
        <v>0</v>
      </c>
      <c r="O52" s="106">
        <f ca="1"/>
        <v>0</v>
      </c>
    </row>
    <row r="53" spans="1:15">
      <c r="A53" s="107" t="str">
        <v>Mantenimiento y reparaciones</v>
      </c>
      <c r="B53" s="91">
        <v>0</v>
      </c>
      <c r="C53" s="92">
        <v>0</v>
      </c>
      <c r="D53" s="92">
        <v>0</v>
      </c>
      <c r="E53" s="92">
        <v>0</v>
      </c>
      <c r="F53" s="92">
        <v>0</v>
      </c>
      <c r="G53" s="92">
        <v>0</v>
      </c>
      <c r="H53" s="92">
        <v>0</v>
      </c>
      <c r="I53" s="92">
        <v>0</v>
      </c>
      <c r="J53" s="92">
        <v>0</v>
      </c>
      <c r="K53" s="92">
        <v>0</v>
      </c>
      <c r="L53" s="92">
        <v>0</v>
      </c>
      <c r="M53" s="93">
        <v>0</v>
      </c>
      <c r="N53" s="156">
        <f t="shared" si="7"/>
        <v>0</v>
      </c>
      <c r="O53" s="106">
        <f ca="1"/>
        <v>0</v>
      </c>
    </row>
    <row r="54" spans="1:15" ht="15.75" thickBot="1">
      <c r="A54" s="107" t="str">
        <v>Otros gastos Imprevistos</v>
      </c>
      <c r="B54" s="91">
        <f ca="1"/>
        <v>9.5274242424242459</v>
      </c>
      <c r="C54" s="92">
        <f ca="1"/>
        <v>9.5274242424242459</v>
      </c>
      <c r="D54" s="92">
        <f ca="1"/>
        <v>9.5274242424242459</v>
      </c>
      <c r="E54" s="92">
        <f ca="1"/>
        <v>9.5274242424242459</v>
      </c>
      <c r="F54" s="92">
        <f ca="1"/>
        <v>9.5274242424242459</v>
      </c>
      <c r="G54" s="92">
        <f ca="1"/>
        <v>9.5274242424242459</v>
      </c>
      <c r="H54" s="92">
        <f ca="1"/>
        <v>9.5274242424242459</v>
      </c>
      <c r="I54" s="92">
        <f ca="1"/>
        <v>9.5274242424242459</v>
      </c>
      <c r="J54" s="92">
        <f ca="1"/>
        <v>9.5274242424242459</v>
      </c>
      <c r="K54" s="92">
        <f ca="1"/>
        <v>9.5274242424242459</v>
      </c>
      <c r="L54" s="92">
        <f ca="1"/>
        <v>9.5274242424242459</v>
      </c>
      <c r="M54" s="93">
        <f ca="1"/>
        <v>9.5274242424242459</v>
      </c>
      <c r="N54" s="156">
        <f t="shared" ca="1" si="7"/>
        <v>114.32909090909095</v>
      </c>
      <c r="O54" s="106">
        <f ca="1"/>
        <v>5.3391553655068391E-3</v>
      </c>
    </row>
    <row r="55" spans="1:15" ht="15.75" thickBot="1">
      <c r="A55" s="2450" t="str">
        <f>'G.F. 0'!A55</f>
        <v>Total Otros gastos fijos</v>
      </c>
      <c r="B55" s="2932">
        <f ca="1">SUM(B33:B54)</f>
        <v>138.44409090909093</v>
      </c>
      <c r="C55" s="2933">
        <f t="shared" ref="C55:M55" ca="1" si="8">SUM(C33:C54)</f>
        <v>138.44409090909093</v>
      </c>
      <c r="D55" s="2933">
        <f t="shared" ca="1" si="8"/>
        <v>138.44409090909093</v>
      </c>
      <c r="E55" s="2933">
        <f t="shared" ca="1" si="8"/>
        <v>138.44409090909093</v>
      </c>
      <c r="F55" s="2933">
        <f t="shared" ca="1" si="8"/>
        <v>138.44409090909093</v>
      </c>
      <c r="G55" s="2933">
        <f t="shared" ca="1" si="8"/>
        <v>138.44409090909093</v>
      </c>
      <c r="H55" s="2933">
        <f t="shared" ca="1" si="8"/>
        <v>138.44409090909093</v>
      </c>
      <c r="I55" s="2933">
        <f t="shared" ca="1" si="8"/>
        <v>138.44409090909093</v>
      </c>
      <c r="J55" s="2933">
        <f t="shared" ca="1" si="8"/>
        <v>138.44409090909093</v>
      </c>
      <c r="K55" s="2933">
        <f t="shared" ca="1" si="8"/>
        <v>138.44409090909093</v>
      </c>
      <c r="L55" s="2933">
        <f t="shared" ca="1" si="8"/>
        <v>138.44409090909093</v>
      </c>
      <c r="M55" s="84">
        <f t="shared" ca="1" si="8"/>
        <v>138.44409090909093</v>
      </c>
      <c r="N55" s="86">
        <f ca="1">SUM(N33:N54)</f>
        <v>1661.3290909090915</v>
      </c>
      <c r="O55" s="110">
        <f ca="1">N55/$N$58</f>
        <v>7.7583877026127596E-2</v>
      </c>
    </row>
    <row r="56" spans="1:15">
      <c r="A56" s="87"/>
      <c r="B56" s="100"/>
      <c r="C56" s="100"/>
      <c r="D56" s="100"/>
      <c r="E56" s="100"/>
      <c r="F56" s="100"/>
      <c r="G56" s="100"/>
      <c r="H56" s="100"/>
      <c r="I56" s="100"/>
      <c r="J56" s="100"/>
      <c r="K56" s="100"/>
      <c r="L56" s="100"/>
      <c r="M56" s="100"/>
      <c r="N56" s="61"/>
      <c r="O56" s="99"/>
    </row>
    <row r="57" spans="1:15" ht="15.75" thickBot="1">
      <c r="A57" s="87"/>
      <c r="B57" s="100"/>
      <c r="C57" s="100"/>
      <c r="D57" s="100"/>
      <c r="E57" s="100"/>
      <c r="F57" s="100"/>
      <c r="G57" s="100"/>
      <c r="H57" s="100"/>
      <c r="I57" s="100"/>
      <c r="J57" s="100"/>
      <c r="K57" s="100"/>
      <c r="L57" s="100"/>
      <c r="M57" s="100"/>
      <c r="N57" s="61"/>
      <c r="O57" s="99"/>
    </row>
    <row r="58" spans="1:15" ht="15.75" thickBot="1">
      <c r="A58" s="2452" t="str">
        <f>'G.F. 0'!A58</f>
        <v>Total Gastos Fijos</v>
      </c>
      <c r="B58" s="2934">
        <f t="array" aca="1" ref="B58:M58" ca="1">B27:M27+B55:M55</f>
        <v>1784.4440909090908</v>
      </c>
      <c r="C58" s="2935">
        <f ca="1"/>
        <v>1784.4440909090908</v>
      </c>
      <c r="D58" s="2935">
        <f ca="1"/>
        <v>1784.4440909090908</v>
      </c>
      <c r="E58" s="2935">
        <f ca="1"/>
        <v>1784.4440909090908</v>
      </c>
      <c r="F58" s="2935">
        <f ca="1"/>
        <v>1784.4440909090908</v>
      </c>
      <c r="G58" s="2935">
        <f ca="1"/>
        <v>1784.4440909090908</v>
      </c>
      <c r="H58" s="2935">
        <f ca="1"/>
        <v>1784.4440909090908</v>
      </c>
      <c r="I58" s="2935">
        <f ca="1"/>
        <v>1784.4440909090908</v>
      </c>
      <c r="J58" s="2935">
        <f ca="1"/>
        <v>1784.4440909090908</v>
      </c>
      <c r="K58" s="2935">
        <f ca="1"/>
        <v>1784.4440909090908</v>
      </c>
      <c r="L58" s="2935">
        <f ca="1"/>
        <v>1784.4440909090908</v>
      </c>
      <c r="M58" s="2936">
        <f ca="1"/>
        <v>1784.4440909090908</v>
      </c>
      <c r="N58" s="145">
        <f ca="1">N27+N55</f>
        <v>21413.32909090909</v>
      </c>
      <c r="O58" s="99"/>
    </row>
    <row r="59" spans="1:15" ht="15.75" thickBot="1">
      <c r="O59" s="99"/>
    </row>
    <row r="60" spans="1:15" ht="15.75" thickBot="1">
      <c r="A60" s="146" t="str">
        <f>'G.F. 0'!A60</f>
        <v>IVA deducible de Gastos fijos</v>
      </c>
      <c r="B60" s="2937">
        <f ca="1">Parametros!$F$33*SUM(B37:B54)</f>
        <v>29.073259090909094</v>
      </c>
      <c r="C60" s="2938">
        <f ca="1">Parametros!$F$33*SUM(C37:C54)</f>
        <v>29.073259090909094</v>
      </c>
      <c r="D60" s="2938">
        <f ca="1">Parametros!$F$33*SUM(D37:D54)</f>
        <v>29.073259090909094</v>
      </c>
      <c r="E60" s="2938">
        <f ca="1">Parametros!$F$33*SUM(E37:E54)</f>
        <v>29.073259090909094</v>
      </c>
      <c r="F60" s="2938">
        <f ca="1">Parametros!$F$33*SUM(F37:F54)</f>
        <v>29.073259090909094</v>
      </c>
      <c r="G60" s="2938">
        <f ca="1">Parametros!$F$33*SUM(G37:G54)</f>
        <v>29.073259090909094</v>
      </c>
      <c r="H60" s="2938">
        <f ca="1">Parametros!$F$33*SUM(H37:H54)</f>
        <v>29.073259090909094</v>
      </c>
      <c r="I60" s="2938">
        <f ca="1">Parametros!$F$33*SUM(I37:I54)</f>
        <v>29.073259090909094</v>
      </c>
      <c r="J60" s="2938">
        <f ca="1">Parametros!$F$33*SUM(J37:J54)</f>
        <v>29.073259090909094</v>
      </c>
      <c r="K60" s="2938">
        <f ca="1">Parametros!$F$33*SUM(K37:K54)</f>
        <v>29.073259090909094</v>
      </c>
      <c r="L60" s="2938">
        <f ca="1">Parametros!$F$33*SUM(L37:L54)</f>
        <v>29.073259090909094</v>
      </c>
      <c r="M60" s="2939">
        <f ca="1">Parametros!$F$33*SUM(M37:M54)</f>
        <v>29.073259090909094</v>
      </c>
      <c r="N60" s="145">
        <f ca="1">SUM(B60:M60)</f>
        <v>348.8791090909092</v>
      </c>
    </row>
  </sheetData>
  <sheetProtection sheet="1" objects="1" scenarios="1"/>
  <phoneticPr fontId="6" type="noConversion"/>
  <printOptions horizontalCentered="1"/>
  <pageMargins left="0.75" right="0.75" top="0.56999999999999995" bottom="0.52" header="0" footer="0"/>
  <pageSetup paperSize="9" scale="60" orientation="landscape" horizontalDpi="300" r:id="rId1"/>
  <headerFooter alignWithMargins="0"/>
  <legacyDrawing r:id="rId2"/>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indexed="42"/>
    <pageSetUpPr fitToPage="1"/>
  </sheetPr>
  <dimension ref="A1:O60"/>
  <sheetViews>
    <sheetView workbookViewId="0"/>
  </sheetViews>
  <sheetFormatPr baseColWidth="10" defaultColWidth="11" defaultRowHeight="15"/>
  <cols>
    <col min="1" max="1" width="31.375" style="35" customWidth="1"/>
    <col min="2" max="13" width="11.125" style="35" customWidth="1"/>
    <col min="14" max="14" width="12.75" style="35" customWidth="1"/>
    <col min="15" max="15" width="10.375" style="35" customWidth="1"/>
    <col min="16" max="16384" width="11" style="35"/>
  </cols>
  <sheetData>
    <row r="1" spans="1:15" s="98" customFormat="1" ht="22.5">
      <c r="A1" s="67" t="str">
        <f>'G.F. 0'!A1</f>
        <v>Previsión de Gastos Fijos de la empresa</v>
      </c>
      <c r="B1" s="67"/>
      <c r="C1" s="67"/>
      <c r="D1" s="67"/>
      <c r="E1" s="521" t="str">
        <f>Parametros!D$77</f>
        <v>Año 2:  2028</v>
      </c>
      <c r="F1" s="67"/>
    </row>
    <row r="2" spans="1:15" s="98" customFormat="1" ht="22.5">
      <c r="A2" s="67" t="str">
        <f>'Datos Básicos'!B9</f>
        <v>nombre empresa</v>
      </c>
      <c r="B2" s="67"/>
      <c r="C2" s="67"/>
      <c r="D2" s="67"/>
      <c r="E2" s="67"/>
      <c r="F2" s="67"/>
      <c r="G2" s="67"/>
    </row>
    <row r="3" spans="1:15" ht="15.75" thickBot="1">
      <c r="B3" s="61"/>
      <c r="C3" s="61"/>
      <c r="D3" s="61"/>
      <c r="E3" s="61"/>
      <c r="F3" s="61"/>
      <c r="G3" s="61"/>
    </row>
    <row r="4" spans="1:15" ht="15.75" thickBot="1">
      <c r="A4" s="2808" t="str">
        <f>'G.F. 0'!A4</f>
        <v>Gastos de personal</v>
      </c>
      <c r="B4" s="157" t="str">
        <f t="array" ref="B4:M4">meses</f>
        <v>enero</v>
      </c>
      <c r="C4" s="158" t="str">
        <v>febrero</v>
      </c>
      <c r="D4" s="158" t="str">
        <v>marzo</v>
      </c>
      <c r="E4" s="158" t="str">
        <v>abril</v>
      </c>
      <c r="F4" s="158" t="str">
        <v>mayo</v>
      </c>
      <c r="G4" s="158" t="str">
        <v>junio</v>
      </c>
      <c r="H4" s="158" t="str">
        <v>julio</v>
      </c>
      <c r="I4" s="158" t="str">
        <v>agosto</v>
      </c>
      <c r="J4" s="158" t="str">
        <v>septiembre</v>
      </c>
      <c r="K4" s="158" t="str">
        <v>octubre</v>
      </c>
      <c r="L4" s="158" t="str">
        <v>noviembre</v>
      </c>
      <c r="M4" s="159" t="str">
        <v>diciembre</v>
      </c>
      <c r="N4" s="103" t="str">
        <f>'G.F. 0'!$N$4</f>
        <v>Totales</v>
      </c>
      <c r="O4" s="103" t="s">
        <v>32</v>
      </c>
    </row>
    <row r="5" spans="1:15" ht="15.75" thickBot="1">
      <c r="A5" s="2117"/>
      <c r="B5" s="116"/>
      <c r="C5" s="117"/>
      <c r="D5" s="117"/>
      <c r="E5" s="117"/>
      <c r="F5" s="117"/>
      <c r="G5" s="117"/>
      <c r="H5" s="117"/>
      <c r="I5" s="117"/>
      <c r="J5" s="117"/>
      <c r="K5" s="117"/>
      <c r="L5" s="117"/>
      <c r="M5" s="118"/>
      <c r="N5" s="114"/>
      <c r="O5" s="115"/>
    </row>
    <row r="6" spans="1:15">
      <c r="A6" s="2809" t="str">
        <f>'G.F. 0'!A6</f>
        <v>Sueldos y salarios</v>
      </c>
      <c r="B6" s="88"/>
      <c r="C6" s="89"/>
      <c r="D6" s="89"/>
      <c r="E6" s="89"/>
      <c r="F6" s="89"/>
      <c r="G6" s="89"/>
      <c r="H6" s="89"/>
      <c r="I6" s="89"/>
      <c r="J6" s="89"/>
      <c r="K6" s="89"/>
      <c r="L6" s="89"/>
      <c r="M6" s="90"/>
      <c r="N6" s="76"/>
      <c r="O6" s="105"/>
    </row>
    <row r="7" spans="1:15">
      <c r="A7" s="2810" t="str">
        <f t="array" ref="A7:A14">catlaborales</f>
        <v>Socios/as gestores/as</v>
      </c>
      <c r="B7" s="91">
        <f t="array" ref="B7:M14">'RR.HH.'!$D19:$D26*Plantilla!C47:N54</f>
        <v>1622.4</v>
      </c>
      <c r="C7" s="92">
        <v>1622.4</v>
      </c>
      <c r="D7" s="92">
        <v>1622.4</v>
      </c>
      <c r="E7" s="92">
        <v>1622.4</v>
      </c>
      <c r="F7" s="92">
        <v>1622.4</v>
      </c>
      <c r="G7" s="92">
        <v>1622.4</v>
      </c>
      <c r="H7" s="92">
        <v>1622.4</v>
      </c>
      <c r="I7" s="92">
        <v>1622.4</v>
      </c>
      <c r="J7" s="92">
        <v>1622.4</v>
      </c>
      <c r="K7" s="92">
        <v>1622.4</v>
      </c>
      <c r="L7" s="92">
        <v>1622.4</v>
      </c>
      <c r="M7" s="93">
        <v>1622.4</v>
      </c>
      <c r="N7" s="97">
        <f t="shared" ref="N7:N14" si="0">SUM(B7:M7)</f>
        <v>19468.8</v>
      </c>
      <c r="O7" s="106">
        <f t="array" aca="1" ref="O7:O15" ca="1">N7:N15/$N$27</f>
        <v>0.76441764040708626</v>
      </c>
    </row>
    <row r="8" spans="1:15">
      <c r="A8" s="2810" t="str">
        <v>Otros personas en RETA</v>
      </c>
      <c r="B8" s="91">
        <v>0</v>
      </c>
      <c r="C8" s="92">
        <v>0</v>
      </c>
      <c r="D8" s="92">
        <v>0</v>
      </c>
      <c r="E8" s="92">
        <v>0</v>
      </c>
      <c r="F8" s="92">
        <v>0</v>
      </c>
      <c r="G8" s="92">
        <v>0</v>
      </c>
      <c r="H8" s="92">
        <v>0</v>
      </c>
      <c r="I8" s="92">
        <v>0</v>
      </c>
      <c r="J8" s="92">
        <v>0</v>
      </c>
      <c r="K8" s="92">
        <v>0</v>
      </c>
      <c r="L8" s="92">
        <v>0</v>
      </c>
      <c r="M8" s="93">
        <v>0</v>
      </c>
      <c r="N8" s="97">
        <f t="shared" si="0"/>
        <v>0</v>
      </c>
      <c r="O8" s="106">
        <f ca="1"/>
        <v>0</v>
      </c>
    </row>
    <row r="9" spans="1:15">
      <c r="A9" s="2810" t="str">
        <v>empleado</v>
      </c>
      <c r="B9" s="91">
        <v>0</v>
      </c>
      <c r="C9" s="92">
        <v>0</v>
      </c>
      <c r="D9" s="92">
        <v>0</v>
      </c>
      <c r="E9" s="92">
        <v>0</v>
      </c>
      <c r="F9" s="92">
        <v>0</v>
      </c>
      <c r="G9" s="92">
        <v>0</v>
      </c>
      <c r="H9" s="92">
        <v>0</v>
      </c>
      <c r="I9" s="92">
        <v>0</v>
      </c>
      <c r="J9" s="92">
        <v>0</v>
      </c>
      <c r="K9" s="92">
        <v>0</v>
      </c>
      <c r="L9" s="92">
        <v>0</v>
      </c>
      <c r="M9" s="93">
        <v>0</v>
      </c>
      <c r="N9" s="97">
        <f t="shared" si="0"/>
        <v>0</v>
      </c>
      <c r="O9" s="106">
        <f ca="1"/>
        <v>0</v>
      </c>
    </row>
    <row r="10" spans="1:15">
      <c r="A10" s="2810" t="str">
        <v>encargado</v>
      </c>
      <c r="B10" s="91">
        <v>0</v>
      </c>
      <c r="C10" s="92">
        <v>0</v>
      </c>
      <c r="D10" s="92">
        <v>0</v>
      </c>
      <c r="E10" s="92">
        <v>0</v>
      </c>
      <c r="F10" s="92">
        <v>0</v>
      </c>
      <c r="G10" s="92">
        <v>0</v>
      </c>
      <c r="H10" s="92">
        <v>0</v>
      </c>
      <c r="I10" s="92">
        <v>0</v>
      </c>
      <c r="J10" s="92">
        <v>0</v>
      </c>
      <c r="K10" s="92">
        <v>0</v>
      </c>
      <c r="L10" s="92">
        <v>0</v>
      </c>
      <c r="M10" s="93">
        <v>0</v>
      </c>
      <c r="N10" s="97">
        <f t="shared" si="0"/>
        <v>0</v>
      </c>
      <c r="O10" s="106">
        <f ca="1"/>
        <v>0</v>
      </c>
    </row>
    <row r="11" spans="1:15">
      <c r="A11" s="2810" t="str">
        <v/>
      </c>
      <c r="B11" s="91">
        <v>0</v>
      </c>
      <c r="C11" s="92">
        <v>0</v>
      </c>
      <c r="D11" s="92">
        <v>0</v>
      </c>
      <c r="E11" s="92">
        <v>0</v>
      </c>
      <c r="F11" s="92">
        <v>0</v>
      </c>
      <c r="G11" s="92">
        <v>0</v>
      </c>
      <c r="H11" s="92">
        <v>0</v>
      </c>
      <c r="I11" s="92">
        <v>0</v>
      </c>
      <c r="J11" s="92">
        <v>0</v>
      </c>
      <c r="K11" s="92">
        <v>0</v>
      </c>
      <c r="L11" s="92">
        <v>0</v>
      </c>
      <c r="M11" s="93">
        <v>0</v>
      </c>
      <c r="N11" s="97">
        <f t="shared" si="0"/>
        <v>0</v>
      </c>
      <c r="O11" s="106">
        <f ca="1"/>
        <v>0</v>
      </c>
    </row>
    <row r="12" spans="1:15">
      <c r="A12" s="2810" t="str">
        <v/>
      </c>
      <c r="B12" s="91">
        <v>0</v>
      </c>
      <c r="C12" s="92">
        <v>0</v>
      </c>
      <c r="D12" s="92">
        <v>0</v>
      </c>
      <c r="E12" s="92">
        <v>0</v>
      </c>
      <c r="F12" s="92">
        <v>0</v>
      </c>
      <c r="G12" s="92">
        <v>0</v>
      </c>
      <c r="H12" s="92">
        <v>0</v>
      </c>
      <c r="I12" s="92">
        <v>0</v>
      </c>
      <c r="J12" s="92">
        <v>0</v>
      </c>
      <c r="K12" s="92">
        <v>0</v>
      </c>
      <c r="L12" s="92">
        <v>0</v>
      </c>
      <c r="M12" s="93">
        <v>0</v>
      </c>
      <c r="N12" s="97">
        <f t="shared" si="0"/>
        <v>0</v>
      </c>
      <c r="O12" s="106">
        <f ca="1"/>
        <v>0</v>
      </c>
    </row>
    <row r="13" spans="1:15">
      <c r="A13" s="2810" t="str">
        <v/>
      </c>
      <c r="B13" s="91">
        <v>0</v>
      </c>
      <c r="C13" s="92">
        <v>0</v>
      </c>
      <c r="D13" s="92">
        <v>0</v>
      </c>
      <c r="E13" s="92">
        <v>0</v>
      </c>
      <c r="F13" s="92">
        <v>0</v>
      </c>
      <c r="G13" s="92">
        <v>0</v>
      </c>
      <c r="H13" s="92">
        <v>0</v>
      </c>
      <c r="I13" s="92">
        <v>0</v>
      </c>
      <c r="J13" s="92">
        <v>0</v>
      </c>
      <c r="K13" s="92">
        <v>0</v>
      </c>
      <c r="L13" s="92">
        <v>0</v>
      </c>
      <c r="M13" s="93">
        <v>0</v>
      </c>
      <c r="N13" s="97">
        <f t="shared" si="0"/>
        <v>0</v>
      </c>
      <c r="O13" s="106">
        <f ca="1"/>
        <v>0</v>
      </c>
    </row>
    <row r="14" spans="1:15">
      <c r="A14" s="2810" t="str">
        <v/>
      </c>
      <c r="B14" s="91">
        <v>0</v>
      </c>
      <c r="C14" s="92">
        <v>0</v>
      </c>
      <c r="D14" s="92">
        <v>0</v>
      </c>
      <c r="E14" s="92">
        <v>0</v>
      </c>
      <c r="F14" s="92">
        <v>0</v>
      </c>
      <c r="G14" s="92">
        <v>0</v>
      </c>
      <c r="H14" s="92">
        <v>0</v>
      </c>
      <c r="I14" s="92">
        <v>0</v>
      </c>
      <c r="J14" s="92">
        <v>0</v>
      </c>
      <c r="K14" s="92">
        <v>0</v>
      </c>
      <c r="L14" s="92">
        <v>0</v>
      </c>
      <c r="M14" s="93">
        <v>0</v>
      </c>
      <c r="N14" s="97">
        <f t="shared" si="0"/>
        <v>0</v>
      </c>
      <c r="O14" s="106">
        <f ca="1"/>
        <v>0</v>
      </c>
    </row>
    <row r="15" spans="1:15" ht="15.75" thickBot="1">
      <c r="A15" s="2811" t="str">
        <f>'G.F. 0'!A15</f>
        <v>Total Sueldos y salarios</v>
      </c>
      <c r="B15" s="138">
        <f t="shared" ref="B15:M15" si="1">SUM(B7:B14)</f>
        <v>1622.4</v>
      </c>
      <c r="C15" s="139">
        <f t="shared" si="1"/>
        <v>1622.4</v>
      </c>
      <c r="D15" s="139">
        <f t="shared" si="1"/>
        <v>1622.4</v>
      </c>
      <c r="E15" s="139">
        <f t="shared" si="1"/>
        <v>1622.4</v>
      </c>
      <c r="F15" s="139">
        <f t="shared" si="1"/>
        <v>1622.4</v>
      </c>
      <c r="G15" s="139">
        <f t="shared" si="1"/>
        <v>1622.4</v>
      </c>
      <c r="H15" s="139">
        <f t="shared" si="1"/>
        <v>1622.4</v>
      </c>
      <c r="I15" s="139">
        <f t="shared" si="1"/>
        <v>1622.4</v>
      </c>
      <c r="J15" s="139">
        <f t="shared" si="1"/>
        <v>1622.4</v>
      </c>
      <c r="K15" s="139">
        <f t="shared" si="1"/>
        <v>1622.4</v>
      </c>
      <c r="L15" s="139">
        <f t="shared" si="1"/>
        <v>1622.4</v>
      </c>
      <c r="M15" s="140">
        <f t="shared" si="1"/>
        <v>1622.4</v>
      </c>
      <c r="N15" s="137">
        <f>SUM(B15:M15)</f>
        <v>19468.8</v>
      </c>
      <c r="O15" s="109">
        <f ca="1"/>
        <v>0.76441764040708626</v>
      </c>
    </row>
    <row r="16" spans="1:15" ht="15.75" thickBot="1">
      <c r="A16" s="2812"/>
      <c r="B16" s="130"/>
      <c r="C16" s="131"/>
      <c r="D16" s="131"/>
      <c r="E16" s="131"/>
      <c r="F16" s="131"/>
      <c r="G16" s="131"/>
      <c r="H16" s="131"/>
      <c r="I16" s="131"/>
      <c r="J16" s="131"/>
      <c r="K16" s="131"/>
      <c r="L16" s="131"/>
      <c r="M16" s="132"/>
      <c r="N16" s="126"/>
      <c r="O16" s="127"/>
    </row>
    <row r="17" spans="1:15">
      <c r="A17" s="2809" t="str">
        <f t="array" ref="A17:A20">'G.F. 0'!A17:A20</f>
        <v>Seguros Sociales</v>
      </c>
      <c r="B17" s="88"/>
      <c r="C17" s="89"/>
      <c r="D17" s="89"/>
      <c r="E17" s="89"/>
      <c r="F17" s="89"/>
      <c r="G17" s="3245">
        <f ca="1">+'IRPF Prof y Autónomos'!$D$40</f>
        <v>1320</v>
      </c>
      <c r="H17" s="89"/>
      <c r="I17" s="89"/>
      <c r="J17" s="89"/>
      <c r="K17" s="89"/>
      <c r="L17" s="89"/>
      <c r="M17" s="90"/>
      <c r="N17" s="133"/>
      <c r="O17" s="105"/>
    </row>
    <row r="18" spans="1:15">
      <c r="A18" s="144" t="str">
        <v>Seg. Social Socios (R.E.T.A.)</v>
      </c>
      <c r="B18" s="91">
        <f t="array" aca="1" ref="B18" ca="1">SUM('RR.HH.'!$D37:$D38*Plantilla!C47:C48)</f>
        <v>390</v>
      </c>
      <c r="C18" s="92">
        <f t="array" aca="1" ref="C18" ca="1">SUM('RR.HH.'!$D37:$D38*Plantilla!D47:D48)</f>
        <v>390</v>
      </c>
      <c r="D18" s="92">
        <f t="array" aca="1" ref="D18" ca="1">SUM('RR.HH.'!$D37:$D38*Plantilla!E47:E48)</f>
        <v>390</v>
      </c>
      <c r="E18" s="92">
        <f t="array" aca="1" ref="E18" ca="1">SUM('RR.HH.'!$D37:$D38*Plantilla!F47:F48)</f>
        <v>390</v>
      </c>
      <c r="F18" s="92">
        <f t="array" aca="1" ref="F18" ca="1">SUM('RR.HH.'!$D37:$D38*Plantilla!G47:G48)</f>
        <v>390</v>
      </c>
      <c r="G18" s="92">
        <f t="array" aca="1" ref="G18" ca="1">SUM('RR.HH.'!$D37:$D38*Plantilla!H47:H48)</f>
        <v>390</v>
      </c>
      <c r="H18" s="92">
        <f t="array" aca="1" ref="H18" ca="1">SUM('RR.HH.'!$D37:$D38*Plantilla!I47:I48)</f>
        <v>390</v>
      </c>
      <c r="I18" s="92">
        <f t="array" aca="1" ref="I18" ca="1">SUM('RR.HH.'!$D37:$D38*Plantilla!J47:J48)</f>
        <v>390</v>
      </c>
      <c r="J18" s="92">
        <f t="array" aca="1" ref="J18" ca="1">SUM('RR.HH.'!$D37:$D38*Plantilla!K47:K48)</f>
        <v>390</v>
      </c>
      <c r="K18" s="92">
        <f t="array" aca="1" ref="K18" ca="1">SUM('RR.HH.'!$D37:$D38*Plantilla!L47:L48)</f>
        <v>390</v>
      </c>
      <c r="L18" s="92">
        <f t="array" aca="1" ref="L18" ca="1">SUM('RR.HH.'!$D37:$D38*Plantilla!M47:M48)</f>
        <v>390</v>
      </c>
      <c r="M18" s="93">
        <f t="array" aca="1" ref="M18" ca="1">SUM('RR.HH.'!$D37:$D38*Plantilla!N47:N48)</f>
        <v>390</v>
      </c>
      <c r="N18" s="97">
        <f ca="1">SUM(B18:M18)</f>
        <v>4680</v>
      </c>
      <c r="O18" s="106">
        <f t="array" ref="O18:O20" ca="1">N18:N20/$N$27</f>
        <v>0.18375424048247269</v>
      </c>
    </row>
    <row r="19" spans="1:15">
      <c r="A19" s="144" t="str">
        <v>Seg. Social Empleados</v>
      </c>
      <c r="B19" s="91">
        <f t="array" ref="B19">SUM(B9:B14*'RR.HH.'!$D39:$D44)</f>
        <v>0</v>
      </c>
      <c r="C19" s="92">
        <f t="array" ref="C19">SUM(C9:C14*'RR.HH.'!$D39:$D44)</f>
        <v>0</v>
      </c>
      <c r="D19" s="92">
        <f t="array" ref="D19">SUM(D9:D14*'RR.HH.'!$D39:$D44)</f>
        <v>0</v>
      </c>
      <c r="E19" s="92">
        <f t="array" ref="E19">SUM(E9:E14*'RR.HH.'!$D39:$D44)</f>
        <v>0</v>
      </c>
      <c r="F19" s="92">
        <f t="array" ref="F19">SUM(F9:F14*'RR.HH.'!$D39:$D44)</f>
        <v>0</v>
      </c>
      <c r="G19" s="92">
        <f t="array" ref="G19">SUM(G9:G14*'RR.HH.'!$D39:$D44)</f>
        <v>0</v>
      </c>
      <c r="H19" s="92">
        <f t="array" ref="H19">SUM(H9:H14*'RR.HH.'!$D39:$D44)</f>
        <v>0</v>
      </c>
      <c r="I19" s="92">
        <f t="array" ref="I19">SUM(I9:I14*'RR.HH.'!$D39:$D44)</f>
        <v>0</v>
      </c>
      <c r="J19" s="92">
        <f t="array" ref="J19">SUM(J9:J14*'RR.HH.'!$D39:$D44)</f>
        <v>0</v>
      </c>
      <c r="K19" s="92">
        <f t="array" ref="K19">SUM(K9:K14*'RR.HH.'!$D39:$D44)</f>
        <v>0</v>
      </c>
      <c r="L19" s="92">
        <f t="array" ref="L19">SUM(L9:L14*'RR.HH.'!$D39:$D44)</f>
        <v>0</v>
      </c>
      <c r="M19" s="93">
        <f t="array" ref="M19">SUM(M9:M14*'RR.HH.'!$D39:$D44)</f>
        <v>0</v>
      </c>
      <c r="N19" s="97">
        <f>SUM(B19:M19)</f>
        <v>0</v>
      </c>
      <c r="O19" s="106">
        <f ca="1"/>
        <v>0</v>
      </c>
    </row>
    <row r="20" spans="1:15" ht="15.75" thickBot="1">
      <c r="A20" s="2811" t="str">
        <v>Total Seguros Sociales</v>
      </c>
      <c r="B20" s="138">
        <f t="shared" ref="B20:M20" ca="1" si="2">SUM(B18:B19)</f>
        <v>390</v>
      </c>
      <c r="C20" s="139">
        <f t="shared" ca="1" si="2"/>
        <v>390</v>
      </c>
      <c r="D20" s="139">
        <f t="shared" ca="1" si="2"/>
        <v>390</v>
      </c>
      <c r="E20" s="139">
        <f t="shared" ca="1" si="2"/>
        <v>390</v>
      </c>
      <c r="F20" s="139">
        <f t="shared" ca="1" si="2"/>
        <v>390</v>
      </c>
      <c r="G20" s="139">
        <f ca="1">SUM(G17:G19)</f>
        <v>1710</v>
      </c>
      <c r="H20" s="139">
        <f t="shared" ca="1" si="2"/>
        <v>390</v>
      </c>
      <c r="I20" s="139">
        <f t="shared" ca="1" si="2"/>
        <v>390</v>
      </c>
      <c r="J20" s="139">
        <f t="shared" ca="1" si="2"/>
        <v>390</v>
      </c>
      <c r="K20" s="139">
        <f t="shared" ca="1" si="2"/>
        <v>390</v>
      </c>
      <c r="L20" s="139">
        <f t="shared" ca="1" si="2"/>
        <v>390</v>
      </c>
      <c r="M20" s="140">
        <f t="shared" ca="1" si="2"/>
        <v>390</v>
      </c>
      <c r="N20" s="137">
        <f ca="1">SUM(B20:M20)</f>
        <v>6000</v>
      </c>
      <c r="O20" s="109">
        <f ca="1"/>
        <v>0.23558235959291368</v>
      </c>
    </row>
    <row r="21" spans="1:15" ht="15.75" thickBot="1">
      <c r="A21" s="2812"/>
      <c r="B21" s="130"/>
      <c r="C21" s="131"/>
      <c r="D21" s="131"/>
      <c r="E21" s="131"/>
      <c r="F21" s="131"/>
      <c r="G21" s="131"/>
      <c r="H21" s="131"/>
      <c r="I21" s="131"/>
      <c r="J21" s="131"/>
      <c r="K21" s="131"/>
      <c r="L21" s="131"/>
      <c r="M21" s="132"/>
      <c r="N21" s="126"/>
      <c r="O21" s="127"/>
    </row>
    <row r="22" spans="1:15">
      <c r="A22" s="2809" t="str">
        <f t="array" ref="A22:A25">'G.F. 0'!A22:A25</f>
        <v>Altas y bajas de personal</v>
      </c>
      <c r="B22" s="88"/>
      <c r="C22" s="89"/>
      <c r="D22" s="89"/>
      <c r="E22" s="89"/>
      <c r="F22" s="89"/>
      <c r="G22" s="89"/>
      <c r="H22" s="89"/>
      <c r="I22" s="89"/>
      <c r="J22" s="89"/>
      <c r="K22" s="89"/>
      <c r="L22" s="89"/>
      <c r="M22" s="90"/>
      <c r="N22" s="133"/>
      <c r="O22" s="105"/>
    </row>
    <row r="23" spans="1:15">
      <c r="A23" s="144" t="str">
        <v>Altas y bajas de socios</v>
      </c>
      <c r="B23" s="94">
        <f t="array" ref="B23:M24">'RR.HH.'!$D53:$D54*Plantilla!C58:N59</f>
        <v>0</v>
      </c>
      <c r="C23" s="95">
        <v>0</v>
      </c>
      <c r="D23" s="95">
        <v>0</v>
      </c>
      <c r="E23" s="95">
        <v>0</v>
      </c>
      <c r="F23" s="95">
        <v>0</v>
      </c>
      <c r="G23" s="95">
        <v>0</v>
      </c>
      <c r="H23" s="95">
        <v>0</v>
      </c>
      <c r="I23" s="95">
        <v>0</v>
      </c>
      <c r="J23" s="95">
        <v>0</v>
      </c>
      <c r="K23" s="95">
        <v>0</v>
      </c>
      <c r="L23" s="95">
        <v>0</v>
      </c>
      <c r="M23" s="96">
        <v>0</v>
      </c>
      <c r="N23" s="97">
        <f>SUM(B23:M23)</f>
        <v>0</v>
      </c>
      <c r="O23" s="106">
        <f t="array" aca="1" ref="O23:O25" ca="1">N23:N25/$N$27</f>
        <v>0</v>
      </c>
    </row>
    <row r="24" spans="1:15">
      <c r="A24" s="144" t="str">
        <v>Altas de empleados</v>
      </c>
      <c r="B24" s="94">
        <v>0</v>
      </c>
      <c r="C24" s="95">
        <v>0</v>
      </c>
      <c r="D24" s="95">
        <v>0</v>
      </c>
      <c r="E24" s="95">
        <v>0</v>
      </c>
      <c r="F24" s="95">
        <v>0</v>
      </c>
      <c r="G24" s="95">
        <v>0</v>
      </c>
      <c r="H24" s="95">
        <v>0</v>
      </c>
      <c r="I24" s="95">
        <v>0</v>
      </c>
      <c r="J24" s="95">
        <v>0</v>
      </c>
      <c r="K24" s="95">
        <v>0</v>
      </c>
      <c r="L24" s="95">
        <v>0</v>
      </c>
      <c r="M24" s="96">
        <v>0</v>
      </c>
      <c r="N24" s="97">
        <f>SUM(B24:M24)</f>
        <v>0</v>
      </c>
      <c r="O24" s="106">
        <f ca="1"/>
        <v>0</v>
      </c>
    </row>
    <row r="25" spans="1:15" ht="15.75" thickBot="1">
      <c r="A25" s="2811" t="str">
        <v>Total Altas y bajas de personal</v>
      </c>
      <c r="B25" s="138">
        <f>SUM(B23:B24)</f>
        <v>0</v>
      </c>
      <c r="C25" s="139">
        <f t="shared" ref="C25:M25" si="3">SUM(C23:C24)</f>
        <v>0</v>
      </c>
      <c r="D25" s="139">
        <f t="shared" si="3"/>
        <v>0</v>
      </c>
      <c r="E25" s="139">
        <f t="shared" si="3"/>
        <v>0</v>
      </c>
      <c r="F25" s="139">
        <f t="shared" si="3"/>
        <v>0</v>
      </c>
      <c r="G25" s="139">
        <f t="shared" si="3"/>
        <v>0</v>
      </c>
      <c r="H25" s="139">
        <f t="shared" si="3"/>
        <v>0</v>
      </c>
      <c r="I25" s="139">
        <f t="shared" si="3"/>
        <v>0</v>
      </c>
      <c r="J25" s="139">
        <f t="shared" si="3"/>
        <v>0</v>
      </c>
      <c r="K25" s="139">
        <f t="shared" si="3"/>
        <v>0</v>
      </c>
      <c r="L25" s="139">
        <f t="shared" si="3"/>
        <v>0</v>
      </c>
      <c r="M25" s="140">
        <f t="shared" si="3"/>
        <v>0</v>
      </c>
      <c r="N25" s="137">
        <f>SUM(B25:M25)</f>
        <v>0</v>
      </c>
      <c r="O25" s="109">
        <f ca="1"/>
        <v>0</v>
      </c>
    </row>
    <row r="26" spans="1:15" ht="15.75" thickBot="1">
      <c r="A26" s="2813"/>
      <c r="B26" s="142"/>
      <c r="C26" s="128"/>
      <c r="D26" s="128"/>
      <c r="E26" s="128"/>
      <c r="F26" s="128"/>
      <c r="G26" s="128"/>
      <c r="H26" s="128"/>
      <c r="I26" s="128"/>
      <c r="J26" s="128"/>
      <c r="K26" s="128"/>
      <c r="L26" s="128"/>
      <c r="M26" s="129"/>
      <c r="N26" s="121"/>
      <c r="O26" s="122"/>
    </row>
    <row r="27" spans="1:15" ht="15.75" thickBot="1">
      <c r="A27" s="2450" t="str">
        <f>'G.F. 0'!A27</f>
        <v>Total Gastos de personal</v>
      </c>
      <c r="B27" s="2932">
        <f t="shared" ref="B27:N27" ca="1" si="4">B25+B20+B15</f>
        <v>2012.4</v>
      </c>
      <c r="C27" s="2933">
        <f t="shared" ca="1" si="4"/>
        <v>2012.4</v>
      </c>
      <c r="D27" s="2933">
        <f t="shared" ca="1" si="4"/>
        <v>2012.4</v>
      </c>
      <c r="E27" s="2933">
        <f t="shared" ca="1" si="4"/>
        <v>2012.4</v>
      </c>
      <c r="F27" s="2933">
        <f t="shared" ca="1" si="4"/>
        <v>2012.4</v>
      </c>
      <c r="G27" s="2933">
        <f t="shared" ca="1" si="4"/>
        <v>3332.4</v>
      </c>
      <c r="H27" s="2933">
        <f t="shared" ca="1" si="4"/>
        <v>2012.4</v>
      </c>
      <c r="I27" s="2933">
        <f t="shared" ca="1" si="4"/>
        <v>2012.4</v>
      </c>
      <c r="J27" s="2933">
        <f t="shared" ca="1" si="4"/>
        <v>2012.4</v>
      </c>
      <c r="K27" s="2933">
        <f t="shared" ca="1" si="4"/>
        <v>2012.4</v>
      </c>
      <c r="L27" s="2933">
        <f t="shared" ca="1" si="4"/>
        <v>2012.4</v>
      </c>
      <c r="M27" s="84">
        <f t="shared" ca="1" si="4"/>
        <v>2012.4</v>
      </c>
      <c r="N27" s="83">
        <f t="shared" ca="1" si="4"/>
        <v>25468.799999999999</v>
      </c>
      <c r="O27" s="110">
        <f ca="1">N27/$N$58</f>
        <v>0.93700359873025041</v>
      </c>
    </row>
    <row r="28" spans="1:15">
      <c r="A28" s="101"/>
      <c r="B28" s="85"/>
      <c r="C28" s="85"/>
      <c r="D28" s="85"/>
      <c r="E28" s="85"/>
      <c r="F28" s="85"/>
      <c r="G28" s="85"/>
      <c r="H28" s="85"/>
      <c r="I28" s="85"/>
      <c r="J28" s="85"/>
      <c r="K28" s="85"/>
      <c r="L28" s="85"/>
      <c r="M28" s="85"/>
      <c r="N28" s="85"/>
      <c r="O28" s="102"/>
    </row>
    <row r="29" spans="1:15">
      <c r="A29" s="87"/>
      <c r="B29" s="85"/>
      <c r="C29" s="85"/>
      <c r="D29" s="85"/>
      <c r="E29" s="85"/>
      <c r="F29" s="85"/>
      <c r="G29" s="85"/>
      <c r="H29" s="85"/>
      <c r="I29" s="85"/>
      <c r="J29" s="85"/>
      <c r="K29" s="85"/>
      <c r="L29" s="85"/>
      <c r="M29" s="85"/>
      <c r="N29" s="85"/>
      <c r="O29" s="99"/>
    </row>
    <row r="30" spans="1:15">
      <c r="A30" s="87"/>
      <c r="B30" s="85"/>
      <c r="C30" s="85"/>
      <c r="D30" s="85"/>
      <c r="E30" s="85"/>
      <c r="F30" s="85"/>
      <c r="G30" s="85"/>
      <c r="H30" s="85"/>
      <c r="I30" s="85"/>
      <c r="J30" s="85"/>
      <c r="K30" s="85"/>
      <c r="L30" s="85"/>
      <c r="M30" s="85"/>
      <c r="N30" s="85"/>
      <c r="O30" s="99"/>
    </row>
    <row r="31" spans="1:15" ht="15.75" thickBot="1">
      <c r="A31" s="87"/>
      <c r="B31" s="85"/>
      <c r="C31" s="85"/>
      <c r="D31" s="85"/>
      <c r="E31" s="85"/>
      <c r="F31" s="85"/>
      <c r="G31" s="85"/>
      <c r="H31" s="85"/>
      <c r="I31" s="85"/>
      <c r="J31" s="85"/>
      <c r="K31" s="85"/>
      <c r="L31" s="85"/>
      <c r="M31" s="85"/>
      <c r="N31" s="85"/>
      <c r="O31" s="99"/>
    </row>
    <row r="32" spans="1:15" ht="15.75" thickBot="1">
      <c r="A32" s="148" t="str">
        <f>'G.F. 0'!A32</f>
        <v>Otros gastos fijos</v>
      </c>
      <c r="B32" s="157" t="str">
        <f t="array" ref="B32:M32">meses</f>
        <v>enero</v>
      </c>
      <c r="C32" s="158" t="str">
        <v>febrero</v>
      </c>
      <c r="D32" s="158" t="str">
        <v>marzo</v>
      </c>
      <c r="E32" s="158" t="str">
        <v>abril</v>
      </c>
      <c r="F32" s="158" t="str">
        <v>mayo</v>
      </c>
      <c r="G32" s="158" t="str">
        <v>junio</v>
      </c>
      <c r="H32" s="158" t="str">
        <v>julio</v>
      </c>
      <c r="I32" s="158" t="str">
        <v>agosto</v>
      </c>
      <c r="J32" s="158" t="str">
        <v>septiembre</v>
      </c>
      <c r="K32" s="158" t="str">
        <v>octubre</v>
      </c>
      <c r="L32" s="158" t="str">
        <v>noviembre</v>
      </c>
      <c r="M32" s="159" t="str">
        <v>diciembre</v>
      </c>
      <c r="N32" s="103" t="str">
        <f>'G.F. 0'!$N$4</f>
        <v>Totales</v>
      </c>
      <c r="O32" s="103" t="s">
        <v>32</v>
      </c>
    </row>
    <row r="33" spans="1:15">
      <c r="A33" s="108" t="str">
        <f t="array" ref="A33:A54">'Gastos Fijos Datos'!A6:A27</f>
        <v>Tributos: IAE, IBI, ...</v>
      </c>
      <c r="B33" s="149">
        <f t="array" ref="B33:M54">IFERROR('Gastos Fijos Datos'!$V6:$V27*'G.F. 1'!$B33:$M54/'G.F. 1'!$N33:$N54,'Gastos Fijos Datos'!$V6:$V27/12)</f>
        <v>0</v>
      </c>
      <c r="C33" s="150">
        <v>0</v>
      </c>
      <c r="D33" s="150">
        <v>0</v>
      </c>
      <c r="E33" s="150">
        <v>0</v>
      </c>
      <c r="F33" s="150">
        <v>0</v>
      </c>
      <c r="G33" s="150">
        <v>0</v>
      </c>
      <c r="H33" s="150">
        <v>0</v>
      </c>
      <c r="I33" s="150">
        <v>0</v>
      </c>
      <c r="J33" s="150">
        <v>0</v>
      </c>
      <c r="K33" s="150">
        <v>0</v>
      </c>
      <c r="L33" s="150">
        <v>0</v>
      </c>
      <c r="M33" s="151">
        <v>0</v>
      </c>
      <c r="N33" s="155">
        <f>SUM(B33:M33)</f>
        <v>0</v>
      </c>
      <c r="O33" s="105">
        <f t="array" aca="1" ref="O33:O54" ca="1">N33:N54/$N$58</f>
        <v>0</v>
      </c>
    </row>
    <row r="34" spans="1:15">
      <c r="A34" s="107" t="str">
        <v>Otras gastos fijos ( SIN IVA )</v>
      </c>
      <c r="B34" s="77">
        <v>0</v>
      </c>
      <c r="C34" s="78">
        <v>0</v>
      </c>
      <c r="D34" s="78">
        <v>0</v>
      </c>
      <c r="E34" s="78">
        <v>0</v>
      </c>
      <c r="F34" s="78">
        <v>0</v>
      </c>
      <c r="G34" s="78">
        <v>0</v>
      </c>
      <c r="H34" s="78">
        <v>0</v>
      </c>
      <c r="I34" s="78">
        <v>0</v>
      </c>
      <c r="J34" s="78">
        <v>0</v>
      </c>
      <c r="K34" s="78">
        <v>0</v>
      </c>
      <c r="L34" s="78">
        <v>0</v>
      </c>
      <c r="M34" s="79">
        <v>0</v>
      </c>
      <c r="N34" s="156">
        <f>SUM(B34:M34)</f>
        <v>0</v>
      </c>
      <c r="O34" s="106">
        <f ca="1"/>
        <v>0</v>
      </c>
    </row>
    <row r="35" spans="1:15">
      <c r="A35" s="107" t="str">
        <v>Primas de Seguros</v>
      </c>
      <c r="B35" s="77">
        <v>0</v>
      </c>
      <c r="C35" s="78">
        <v>0</v>
      </c>
      <c r="D35" s="78">
        <v>0</v>
      </c>
      <c r="E35" s="78">
        <v>0</v>
      </c>
      <c r="F35" s="78">
        <v>0</v>
      </c>
      <c r="G35" s="78">
        <v>0</v>
      </c>
      <c r="H35" s="78">
        <v>0</v>
      </c>
      <c r="I35" s="78">
        <v>0</v>
      </c>
      <c r="J35" s="78">
        <v>0</v>
      </c>
      <c r="K35" s="78">
        <v>0</v>
      </c>
      <c r="L35" s="78">
        <v>0</v>
      </c>
      <c r="M35" s="79">
        <v>0</v>
      </c>
      <c r="N35" s="156">
        <f>SUM(B35:M35)</f>
        <v>0</v>
      </c>
      <c r="O35" s="106">
        <f ca="1"/>
        <v>0</v>
      </c>
    </row>
    <row r="36" spans="1:15">
      <c r="A36" s="107" t="str">
        <v>Colegio / asociación profesional</v>
      </c>
      <c r="B36" s="77">
        <v>0</v>
      </c>
      <c r="C36" s="78">
        <v>0</v>
      </c>
      <c r="D36" s="78">
        <v>0</v>
      </c>
      <c r="E36" s="78">
        <v>0</v>
      </c>
      <c r="F36" s="78">
        <v>0</v>
      </c>
      <c r="G36" s="78">
        <v>0</v>
      </c>
      <c r="H36" s="78">
        <v>0</v>
      </c>
      <c r="I36" s="78">
        <v>0</v>
      </c>
      <c r="J36" s="78">
        <v>0</v>
      </c>
      <c r="K36" s="78">
        <v>0</v>
      </c>
      <c r="L36" s="78">
        <v>0</v>
      </c>
      <c r="M36" s="79">
        <v>0</v>
      </c>
      <c r="N36" s="156">
        <f>SUM(B36:M36)</f>
        <v>0</v>
      </c>
      <c r="O36" s="106">
        <f ca="1"/>
        <v>0</v>
      </c>
    </row>
    <row r="37" spans="1:15">
      <c r="A37" s="107" t="str">
        <v>Suministro de Electricidad</v>
      </c>
      <c r="B37" s="77">
        <v>0</v>
      </c>
      <c r="C37" s="78">
        <v>0</v>
      </c>
      <c r="D37" s="78">
        <v>0</v>
      </c>
      <c r="E37" s="78">
        <v>0</v>
      </c>
      <c r="F37" s="78">
        <v>0</v>
      </c>
      <c r="G37" s="78">
        <v>0</v>
      </c>
      <c r="H37" s="78">
        <v>0</v>
      </c>
      <c r="I37" s="78">
        <v>0</v>
      </c>
      <c r="J37" s="78">
        <v>0</v>
      </c>
      <c r="K37" s="78">
        <v>0</v>
      </c>
      <c r="L37" s="78">
        <v>0</v>
      </c>
      <c r="M37" s="79">
        <v>0</v>
      </c>
      <c r="N37" s="156">
        <f t="shared" ref="N37:N54" si="5">SUM(B37:M37)</f>
        <v>0</v>
      </c>
      <c r="O37" s="106">
        <f ca="1"/>
        <v>0</v>
      </c>
    </row>
    <row r="38" spans="1:15">
      <c r="A38" s="107" t="str">
        <v>Cuotas periódicas de software</v>
      </c>
      <c r="B38" s="77">
        <v>0</v>
      </c>
      <c r="C38" s="78">
        <v>0</v>
      </c>
      <c r="D38" s="78">
        <v>0</v>
      </c>
      <c r="E38" s="78">
        <v>0</v>
      </c>
      <c r="F38" s="78">
        <v>0</v>
      </c>
      <c r="G38" s="78">
        <v>0</v>
      </c>
      <c r="H38" s="78">
        <v>0</v>
      </c>
      <c r="I38" s="78">
        <v>0</v>
      </c>
      <c r="J38" s="78">
        <v>0</v>
      </c>
      <c r="K38" s="78">
        <v>0</v>
      </c>
      <c r="L38" s="78">
        <v>0</v>
      </c>
      <c r="M38" s="79">
        <v>0</v>
      </c>
      <c r="N38" s="156">
        <f t="shared" si="5"/>
        <v>0</v>
      </c>
      <c r="O38" s="106">
        <f ca="1"/>
        <v>0</v>
      </c>
    </row>
    <row r="39" spans="1:15">
      <c r="A39" s="107" t="str">
        <v>Agua, saneamiento y basura</v>
      </c>
      <c r="B39" s="77">
        <v>0</v>
      </c>
      <c r="C39" s="78">
        <v>0</v>
      </c>
      <c r="D39" s="78">
        <v>0</v>
      </c>
      <c r="E39" s="78">
        <v>0</v>
      </c>
      <c r="F39" s="78">
        <v>0</v>
      </c>
      <c r="G39" s="78">
        <v>0</v>
      </c>
      <c r="H39" s="78">
        <v>0</v>
      </c>
      <c r="I39" s="78">
        <v>0</v>
      </c>
      <c r="J39" s="78">
        <v>0</v>
      </c>
      <c r="K39" s="78">
        <v>0</v>
      </c>
      <c r="L39" s="78">
        <v>0</v>
      </c>
      <c r="M39" s="79">
        <v>0</v>
      </c>
      <c r="N39" s="156">
        <f t="shared" si="5"/>
        <v>0</v>
      </c>
      <c r="O39" s="106">
        <f ca="1"/>
        <v>0</v>
      </c>
    </row>
    <row r="40" spans="1:15">
      <c r="A40" s="107" t="str">
        <v>Otros suministros (gas, etc.)</v>
      </c>
      <c r="B40" s="77">
        <v>0</v>
      </c>
      <c r="C40" s="78">
        <v>0</v>
      </c>
      <c r="D40" s="78">
        <v>0</v>
      </c>
      <c r="E40" s="78">
        <v>0</v>
      </c>
      <c r="F40" s="78">
        <v>0</v>
      </c>
      <c r="G40" s="78">
        <v>0</v>
      </c>
      <c r="H40" s="78">
        <v>0</v>
      </c>
      <c r="I40" s="78">
        <v>0</v>
      </c>
      <c r="J40" s="78">
        <v>0</v>
      </c>
      <c r="K40" s="78">
        <v>0</v>
      </c>
      <c r="L40" s="78">
        <v>0</v>
      </c>
      <c r="M40" s="79">
        <v>0</v>
      </c>
      <c r="N40" s="156">
        <f t="shared" si="5"/>
        <v>0</v>
      </c>
      <c r="O40" s="106">
        <f ca="1"/>
        <v>0</v>
      </c>
    </row>
    <row r="41" spans="1:15">
      <c r="A41" s="107" t="str">
        <v>Telefonía / Internet / Comunicaciones</v>
      </c>
      <c r="B41" s="77">
        <v>0</v>
      </c>
      <c r="C41" s="78">
        <v>0</v>
      </c>
      <c r="D41" s="78">
        <v>0</v>
      </c>
      <c r="E41" s="78">
        <v>0</v>
      </c>
      <c r="F41" s="78">
        <v>0</v>
      </c>
      <c r="G41" s="78">
        <v>0</v>
      </c>
      <c r="H41" s="78">
        <v>0</v>
      </c>
      <c r="I41" s="78">
        <v>0</v>
      </c>
      <c r="J41" s="78">
        <v>0</v>
      </c>
      <c r="K41" s="78">
        <v>0</v>
      </c>
      <c r="L41" s="78">
        <v>0</v>
      </c>
      <c r="M41" s="79">
        <v>0</v>
      </c>
      <c r="N41" s="156">
        <f>SUM(B41:M41)</f>
        <v>0</v>
      </c>
      <c r="O41" s="106">
        <f ca="1"/>
        <v>0</v>
      </c>
    </row>
    <row r="42" spans="1:15">
      <c r="A42" s="107" t="str">
        <v>Alojamiento y servicios web</v>
      </c>
      <c r="B42" s="77">
        <v>0</v>
      </c>
      <c r="C42" s="78">
        <v>0</v>
      </c>
      <c r="D42" s="78">
        <v>0</v>
      </c>
      <c r="E42" s="78">
        <v>0</v>
      </c>
      <c r="F42" s="78">
        <v>0</v>
      </c>
      <c r="G42" s="78">
        <v>0</v>
      </c>
      <c r="H42" s="78">
        <v>0</v>
      </c>
      <c r="I42" s="78">
        <v>0</v>
      </c>
      <c r="J42" s="78">
        <v>0</v>
      </c>
      <c r="K42" s="78">
        <v>0</v>
      </c>
      <c r="L42" s="78">
        <v>0</v>
      </c>
      <c r="M42" s="79">
        <v>0</v>
      </c>
      <c r="N42" s="156">
        <f>SUM(B42:M42)</f>
        <v>0</v>
      </c>
      <c r="O42" s="106">
        <f ca="1"/>
        <v>0</v>
      </c>
    </row>
    <row r="43" spans="1:15">
      <c r="A43" s="107" t="str">
        <v>Alarma / Compañía de seguridad</v>
      </c>
      <c r="B43" s="77">
        <v>0</v>
      </c>
      <c r="C43" s="78">
        <v>0</v>
      </c>
      <c r="D43" s="78">
        <v>0</v>
      </c>
      <c r="E43" s="78">
        <v>0</v>
      </c>
      <c r="F43" s="78">
        <v>0</v>
      </c>
      <c r="G43" s="78">
        <v>0</v>
      </c>
      <c r="H43" s="78">
        <v>0</v>
      </c>
      <c r="I43" s="78">
        <v>0</v>
      </c>
      <c r="J43" s="78">
        <v>0</v>
      </c>
      <c r="K43" s="78">
        <v>0</v>
      </c>
      <c r="L43" s="78">
        <v>0</v>
      </c>
      <c r="M43" s="79">
        <v>0</v>
      </c>
      <c r="N43" s="156">
        <f>SUM(B43:M43)</f>
        <v>0</v>
      </c>
      <c r="O43" s="106">
        <f ca="1"/>
        <v>0</v>
      </c>
    </row>
    <row r="44" spans="1:15">
      <c r="A44" s="107" t="str">
        <v>Material de oficina / papelería</v>
      </c>
      <c r="B44" s="77">
        <v>0</v>
      </c>
      <c r="C44" s="78">
        <v>0</v>
      </c>
      <c r="D44" s="78">
        <v>0</v>
      </c>
      <c r="E44" s="78">
        <v>0</v>
      </c>
      <c r="F44" s="78">
        <v>0</v>
      </c>
      <c r="G44" s="78">
        <v>0</v>
      </c>
      <c r="H44" s="78">
        <v>0</v>
      </c>
      <c r="I44" s="78">
        <v>0</v>
      </c>
      <c r="J44" s="78">
        <v>0</v>
      </c>
      <c r="K44" s="78">
        <v>0</v>
      </c>
      <c r="L44" s="78">
        <v>0</v>
      </c>
      <c r="M44" s="79">
        <v>0</v>
      </c>
      <c r="N44" s="156">
        <f t="shared" si="5"/>
        <v>0</v>
      </c>
      <c r="O44" s="106">
        <f ca="1"/>
        <v>0</v>
      </c>
    </row>
    <row r="45" spans="1:15">
      <c r="A45" s="107" t="str">
        <v>Congresos / Ferias / Viajes</v>
      </c>
      <c r="B45" s="77">
        <v>0</v>
      </c>
      <c r="C45" s="78">
        <v>0</v>
      </c>
      <c r="D45" s="78">
        <v>0</v>
      </c>
      <c r="E45" s="78">
        <v>0</v>
      </c>
      <c r="F45" s="78">
        <v>0</v>
      </c>
      <c r="G45" s="78">
        <v>0</v>
      </c>
      <c r="H45" s="78">
        <v>0</v>
      </c>
      <c r="I45" s="78">
        <v>0</v>
      </c>
      <c r="J45" s="78">
        <v>0</v>
      </c>
      <c r="K45" s="78">
        <v>0</v>
      </c>
      <c r="L45" s="78">
        <v>0</v>
      </c>
      <c r="M45" s="79">
        <v>0</v>
      </c>
      <c r="N45" s="156">
        <f t="shared" si="5"/>
        <v>0</v>
      </c>
      <c r="O45" s="106">
        <f ca="1"/>
        <v>0</v>
      </c>
    </row>
    <row r="46" spans="1:15">
      <c r="A46" s="107" t="str">
        <v>Transporte y desplazamientos</v>
      </c>
      <c r="B46" s="77">
        <v>0</v>
      </c>
      <c r="C46" s="78">
        <v>0</v>
      </c>
      <c r="D46" s="78">
        <v>0</v>
      </c>
      <c r="E46" s="78">
        <v>0</v>
      </c>
      <c r="F46" s="78">
        <v>0</v>
      </c>
      <c r="G46" s="78">
        <v>0</v>
      </c>
      <c r="H46" s="78">
        <v>0</v>
      </c>
      <c r="I46" s="78">
        <v>0</v>
      </c>
      <c r="J46" s="78">
        <v>0</v>
      </c>
      <c r="K46" s="78">
        <v>0</v>
      </c>
      <c r="L46" s="78">
        <v>0</v>
      </c>
      <c r="M46" s="79">
        <v>0</v>
      </c>
      <c r="N46" s="156">
        <f>SUM(B46:M46)</f>
        <v>0</v>
      </c>
      <c r="O46" s="106">
        <f ca="1"/>
        <v>0</v>
      </c>
    </row>
    <row r="47" spans="1:15">
      <c r="A47" s="107" t="str">
        <v>Asesoría y profesionales independientes</v>
      </c>
      <c r="B47" s="77">
        <v>0</v>
      </c>
      <c r="C47" s="78">
        <v>0</v>
      </c>
      <c r="D47" s="78">
        <v>0</v>
      </c>
      <c r="E47" s="78">
        <v>0</v>
      </c>
      <c r="F47" s="78">
        <v>0</v>
      </c>
      <c r="G47" s="78">
        <v>0</v>
      </c>
      <c r="H47" s="78">
        <v>0</v>
      </c>
      <c r="I47" s="78">
        <v>0</v>
      </c>
      <c r="J47" s="78">
        <v>0</v>
      </c>
      <c r="K47" s="78">
        <v>0</v>
      </c>
      <c r="L47" s="78">
        <v>0</v>
      </c>
      <c r="M47" s="79">
        <v>0</v>
      </c>
      <c r="N47" s="156">
        <f t="shared" si="5"/>
        <v>0</v>
      </c>
      <c r="O47" s="106">
        <f ca="1"/>
        <v>0</v>
      </c>
    </row>
    <row r="48" spans="1:15">
      <c r="A48" s="107" t="str">
        <v>Arrendamientos / alquileres</v>
      </c>
      <c r="B48" s="77">
        <v>0</v>
      </c>
      <c r="C48" s="78">
        <v>0</v>
      </c>
      <c r="D48" s="78">
        <v>0</v>
      </c>
      <c r="E48" s="78">
        <v>0</v>
      </c>
      <c r="F48" s="78">
        <v>0</v>
      </c>
      <c r="G48" s="78">
        <v>0</v>
      </c>
      <c r="H48" s="78">
        <v>0</v>
      </c>
      <c r="I48" s="78">
        <v>0</v>
      </c>
      <c r="J48" s="78">
        <v>0</v>
      </c>
      <c r="K48" s="78">
        <v>0</v>
      </c>
      <c r="L48" s="78">
        <v>0</v>
      </c>
      <c r="M48" s="79">
        <v>0</v>
      </c>
      <c r="N48" s="156">
        <f t="shared" si="5"/>
        <v>0</v>
      </c>
      <c r="O48" s="106">
        <f ca="1"/>
        <v>0</v>
      </c>
    </row>
    <row r="49" spans="1:15">
      <c r="A49" s="107" t="str">
        <v>Gastos Marketing online variables</v>
      </c>
      <c r="B49" s="77">
        <f ca="1"/>
        <v>66.392083333333318</v>
      </c>
      <c r="C49" s="78">
        <f ca="1"/>
        <v>66.392083333333318</v>
      </c>
      <c r="D49" s="78">
        <f ca="1"/>
        <v>66.392083333333318</v>
      </c>
      <c r="E49" s="78">
        <f ca="1"/>
        <v>66.392083333333318</v>
      </c>
      <c r="F49" s="78">
        <f ca="1"/>
        <v>66.392083333333318</v>
      </c>
      <c r="G49" s="78">
        <f ca="1"/>
        <v>66.392083333333318</v>
      </c>
      <c r="H49" s="78">
        <f ca="1"/>
        <v>66.392083333333318</v>
      </c>
      <c r="I49" s="78">
        <f ca="1"/>
        <v>66.392083333333318</v>
      </c>
      <c r="J49" s="78">
        <f ca="1"/>
        <v>66.392083333333318</v>
      </c>
      <c r="K49" s="78">
        <f ca="1"/>
        <v>66.392083333333318</v>
      </c>
      <c r="L49" s="78">
        <f ca="1"/>
        <v>66.392083333333318</v>
      </c>
      <c r="M49" s="79">
        <f ca="1"/>
        <v>66.392083333333318</v>
      </c>
      <c r="N49" s="156">
        <f t="shared" ca="1" si="5"/>
        <v>796.70499999999959</v>
      </c>
      <c r="O49" s="106">
        <f ca="1"/>
        <v>2.9310978614084049E-2</v>
      </c>
    </row>
    <row r="50" spans="1:15">
      <c r="A50" s="107" t="str">
        <v>Gastos Marketing online fijos</v>
      </c>
      <c r="B50" s="77">
        <v>0</v>
      </c>
      <c r="C50" s="78">
        <v>0</v>
      </c>
      <c r="D50" s="78">
        <v>0</v>
      </c>
      <c r="E50" s="78">
        <v>0</v>
      </c>
      <c r="F50" s="78">
        <v>0</v>
      </c>
      <c r="G50" s="78">
        <v>0</v>
      </c>
      <c r="H50" s="78">
        <v>0</v>
      </c>
      <c r="I50" s="78">
        <v>0</v>
      </c>
      <c r="J50" s="78">
        <v>0</v>
      </c>
      <c r="K50" s="78">
        <v>0</v>
      </c>
      <c r="L50" s="78">
        <v>0</v>
      </c>
      <c r="M50" s="79">
        <v>0</v>
      </c>
      <c r="N50" s="156">
        <f t="shared" si="5"/>
        <v>0</v>
      </c>
      <c r="O50" s="106">
        <f ca="1"/>
        <v>0</v>
      </c>
    </row>
    <row r="51" spans="1:15">
      <c r="A51" s="107" t="str">
        <v>Gastos Marketing off-line variables</v>
      </c>
      <c r="B51" s="77">
        <f ca="1"/>
        <v>66.392083333333318</v>
      </c>
      <c r="C51" s="78">
        <f ca="1"/>
        <v>66.392083333333318</v>
      </c>
      <c r="D51" s="78">
        <f ca="1"/>
        <v>66.392083333333318</v>
      </c>
      <c r="E51" s="78">
        <f ca="1"/>
        <v>66.392083333333318</v>
      </c>
      <c r="F51" s="78">
        <f ca="1"/>
        <v>66.392083333333318</v>
      </c>
      <c r="G51" s="78">
        <f ca="1"/>
        <v>66.392083333333318</v>
      </c>
      <c r="H51" s="78">
        <f ca="1"/>
        <v>66.392083333333318</v>
      </c>
      <c r="I51" s="78">
        <f ca="1"/>
        <v>66.392083333333318</v>
      </c>
      <c r="J51" s="78">
        <f ca="1"/>
        <v>66.392083333333318</v>
      </c>
      <c r="K51" s="78">
        <f ca="1"/>
        <v>66.392083333333318</v>
      </c>
      <c r="L51" s="78">
        <f ca="1"/>
        <v>66.392083333333318</v>
      </c>
      <c r="M51" s="79">
        <f ca="1"/>
        <v>66.392083333333318</v>
      </c>
      <c r="N51" s="156">
        <f t="shared" ca="1" si="5"/>
        <v>796.70499999999959</v>
      </c>
      <c r="O51" s="106">
        <f ca="1"/>
        <v>2.9310978614084049E-2</v>
      </c>
    </row>
    <row r="52" spans="1:15">
      <c r="A52" s="107" t="str">
        <v>Gastos Marketing off-line fijos</v>
      </c>
      <c r="B52" s="77">
        <v>0</v>
      </c>
      <c r="C52" s="78">
        <v>0</v>
      </c>
      <c r="D52" s="78">
        <v>0</v>
      </c>
      <c r="E52" s="78">
        <v>0</v>
      </c>
      <c r="F52" s="78">
        <v>0</v>
      </c>
      <c r="G52" s="78">
        <v>0</v>
      </c>
      <c r="H52" s="78">
        <v>0</v>
      </c>
      <c r="I52" s="78">
        <v>0</v>
      </c>
      <c r="J52" s="78">
        <v>0</v>
      </c>
      <c r="K52" s="78">
        <v>0</v>
      </c>
      <c r="L52" s="78">
        <v>0</v>
      </c>
      <c r="M52" s="79">
        <v>0</v>
      </c>
      <c r="N52" s="156">
        <f t="shared" si="5"/>
        <v>0</v>
      </c>
      <c r="O52" s="106">
        <f ca="1"/>
        <v>0</v>
      </c>
    </row>
    <row r="53" spans="1:15">
      <c r="A53" s="107" t="str">
        <v>Mantenimiento y reparaciones</v>
      </c>
      <c r="B53" s="77">
        <v>0</v>
      </c>
      <c r="C53" s="78">
        <v>0</v>
      </c>
      <c r="D53" s="78">
        <v>0</v>
      </c>
      <c r="E53" s="78">
        <v>0</v>
      </c>
      <c r="F53" s="78">
        <v>0</v>
      </c>
      <c r="G53" s="78">
        <v>0</v>
      </c>
      <c r="H53" s="78">
        <v>0</v>
      </c>
      <c r="I53" s="78">
        <v>0</v>
      </c>
      <c r="J53" s="78">
        <v>0</v>
      </c>
      <c r="K53" s="78">
        <v>0</v>
      </c>
      <c r="L53" s="78">
        <v>0</v>
      </c>
      <c r="M53" s="79">
        <v>0</v>
      </c>
      <c r="N53" s="156">
        <f t="shared" si="5"/>
        <v>0</v>
      </c>
      <c r="O53" s="106">
        <f ca="1"/>
        <v>0</v>
      </c>
    </row>
    <row r="54" spans="1:15" ht="15.75" thickBot="1">
      <c r="A54" s="107" t="str">
        <v>Otros gastos Imprevistos</v>
      </c>
      <c r="B54" s="77">
        <f ca="1"/>
        <v>9.9085212121212116</v>
      </c>
      <c r="C54" s="78">
        <f ca="1"/>
        <v>9.9085212121212116</v>
      </c>
      <c r="D54" s="78">
        <f ca="1"/>
        <v>9.9085212121212116</v>
      </c>
      <c r="E54" s="78">
        <f ca="1"/>
        <v>9.9085212121212116</v>
      </c>
      <c r="F54" s="78">
        <f ca="1"/>
        <v>9.9085212121212116</v>
      </c>
      <c r="G54" s="78">
        <f ca="1"/>
        <v>9.9085212121212116</v>
      </c>
      <c r="H54" s="78">
        <f ca="1"/>
        <v>9.9085212121212116</v>
      </c>
      <c r="I54" s="78">
        <f ca="1"/>
        <v>9.9085212121212116</v>
      </c>
      <c r="J54" s="78">
        <f ca="1"/>
        <v>9.9085212121212116</v>
      </c>
      <c r="K54" s="78">
        <f ca="1"/>
        <v>9.9085212121212116</v>
      </c>
      <c r="L54" s="78">
        <f ca="1"/>
        <v>9.9085212121212116</v>
      </c>
      <c r="M54" s="79">
        <f ca="1"/>
        <v>9.9085212121212116</v>
      </c>
      <c r="N54" s="156">
        <f t="shared" ca="1" si="5"/>
        <v>118.90225454545457</v>
      </c>
      <c r="O54" s="106">
        <f ca="1"/>
        <v>4.3744440415815116E-3</v>
      </c>
    </row>
    <row r="55" spans="1:15" ht="15.75" thickBot="1">
      <c r="A55" s="2450" t="str">
        <f>'G.F. 0'!A55</f>
        <v>Total Otros gastos fijos</v>
      </c>
      <c r="B55" s="2932">
        <f t="shared" ref="B55:M55" ca="1" si="6">SUM(B33:B54)</f>
        <v>142.69268787878784</v>
      </c>
      <c r="C55" s="2933">
        <f t="shared" ca="1" si="6"/>
        <v>142.69268787878784</v>
      </c>
      <c r="D55" s="2933">
        <f t="shared" ca="1" si="6"/>
        <v>142.69268787878784</v>
      </c>
      <c r="E55" s="2933">
        <f t="shared" ca="1" si="6"/>
        <v>142.69268787878784</v>
      </c>
      <c r="F55" s="2933">
        <f t="shared" ca="1" si="6"/>
        <v>142.69268787878784</v>
      </c>
      <c r="G55" s="2933">
        <f t="shared" ca="1" si="6"/>
        <v>142.69268787878784</v>
      </c>
      <c r="H55" s="2933">
        <f t="shared" ca="1" si="6"/>
        <v>142.69268787878784</v>
      </c>
      <c r="I55" s="2933">
        <f t="shared" ca="1" si="6"/>
        <v>142.69268787878784</v>
      </c>
      <c r="J55" s="2933">
        <f t="shared" ca="1" si="6"/>
        <v>142.69268787878784</v>
      </c>
      <c r="K55" s="2933">
        <f t="shared" ca="1" si="6"/>
        <v>142.69268787878784</v>
      </c>
      <c r="L55" s="2933">
        <f t="shared" ca="1" si="6"/>
        <v>142.69268787878784</v>
      </c>
      <c r="M55" s="84">
        <f t="shared" ca="1" si="6"/>
        <v>142.69268787878784</v>
      </c>
      <c r="N55" s="86">
        <f ca="1">SUM(N33:N54)</f>
        <v>1712.3122545454537</v>
      </c>
      <c r="O55" s="110">
        <f ca="1">N55/$N$58</f>
        <v>6.2996401269749605E-2</v>
      </c>
    </row>
    <row r="56" spans="1:15">
      <c r="A56" s="87"/>
      <c r="B56" s="100"/>
      <c r="C56" s="100"/>
      <c r="D56" s="100"/>
      <c r="E56" s="100"/>
      <c r="F56" s="100"/>
      <c r="G56" s="100"/>
      <c r="H56" s="100"/>
      <c r="I56" s="100"/>
      <c r="J56" s="100"/>
      <c r="K56" s="100"/>
      <c r="L56" s="100"/>
      <c r="M56" s="100"/>
      <c r="N56" s="61"/>
      <c r="O56" s="99"/>
    </row>
    <row r="57" spans="1:15" ht="15.75" thickBot="1">
      <c r="A57" s="87"/>
      <c r="B57" s="100"/>
      <c r="C57" s="100"/>
      <c r="D57" s="100"/>
      <c r="E57" s="100"/>
      <c r="F57" s="100"/>
      <c r="G57" s="100"/>
      <c r="H57" s="100"/>
      <c r="I57" s="100"/>
      <c r="J57" s="100"/>
      <c r="K57" s="100"/>
      <c r="L57" s="100"/>
      <c r="M57" s="100"/>
      <c r="N57" s="61"/>
      <c r="O57" s="99"/>
    </row>
    <row r="58" spans="1:15" ht="15.75" thickBot="1">
      <c r="A58" s="2452" t="str">
        <f>'G.F. 0'!A58</f>
        <v>Total Gastos Fijos</v>
      </c>
      <c r="B58" s="2934">
        <f t="array" ref="B58:M58" ca="1">B27:M27+B55:M55</f>
        <v>2155.0926878787877</v>
      </c>
      <c r="C58" s="2935">
        <f ca="1"/>
        <v>2155.0926878787877</v>
      </c>
      <c r="D58" s="2935">
        <f ca="1"/>
        <v>2155.0926878787877</v>
      </c>
      <c r="E58" s="2935">
        <f ca="1"/>
        <v>2155.0926878787877</v>
      </c>
      <c r="F58" s="2935">
        <f ca="1"/>
        <v>2155.0926878787877</v>
      </c>
      <c r="G58" s="2935">
        <f ca="1"/>
        <v>3475.0926878787877</v>
      </c>
      <c r="H58" s="2935">
        <f ca="1"/>
        <v>2155.0926878787877</v>
      </c>
      <c r="I58" s="2935">
        <f ca="1"/>
        <v>2155.0926878787877</v>
      </c>
      <c r="J58" s="2935">
        <f ca="1"/>
        <v>2155.0926878787877</v>
      </c>
      <c r="K58" s="2935">
        <f ca="1"/>
        <v>2155.0926878787877</v>
      </c>
      <c r="L58" s="2935">
        <f ca="1"/>
        <v>2155.0926878787877</v>
      </c>
      <c r="M58" s="2936">
        <f ca="1"/>
        <v>2155.0926878787877</v>
      </c>
      <c r="N58" s="145">
        <f ca="1">N27+N55</f>
        <v>27181.112254545453</v>
      </c>
      <c r="O58" s="99"/>
    </row>
    <row r="59" spans="1:15" ht="15.75" thickBot="1">
      <c r="O59" s="99"/>
    </row>
    <row r="60" spans="1:15" ht="15.75" thickBot="1">
      <c r="A60" s="146" t="str">
        <f>'G.F. 0'!A60</f>
        <v>IVA deducible de Gastos fijos</v>
      </c>
      <c r="B60" s="2937">
        <f ca="1">Parametros!$F$33*SUM(B37:B54)</f>
        <v>29.965464454545444</v>
      </c>
      <c r="C60" s="2938">
        <f ca="1">Parametros!$F$33*SUM(C37:C54)</f>
        <v>29.965464454545444</v>
      </c>
      <c r="D60" s="2938">
        <f ca="1">Parametros!$F$33*SUM(D37:D54)</f>
        <v>29.965464454545444</v>
      </c>
      <c r="E60" s="2938">
        <f ca="1">Parametros!$F$33*SUM(E37:E54)</f>
        <v>29.965464454545444</v>
      </c>
      <c r="F60" s="2938">
        <f ca="1">Parametros!$F$33*SUM(F37:F54)</f>
        <v>29.965464454545444</v>
      </c>
      <c r="G60" s="2938">
        <f ca="1">Parametros!$F$33*SUM(G37:G54)</f>
        <v>29.965464454545444</v>
      </c>
      <c r="H60" s="2938">
        <f ca="1">Parametros!$F$33*SUM(H37:H54)</f>
        <v>29.965464454545444</v>
      </c>
      <c r="I60" s="2938">
        <f ca="1">Parametros!$F$33*SUM(I37:I54)</f>
        <v>29.965464454545444</v>
      </c>
      <c r="J60" s="2938">
        <f ca="1">Parametros!$F$33*SUM(J37:J54)</f>
        <v>29.965464454545444</v>
      </c>
      <c r="K60" s="2938">
        <f ca="1">Parametros!$F$33*SUM(K37:K54)</f>
        <v>29.965464454545444</v>
      </c>
      <c r="L60" s="2938">
        <f ca="1">Parametros!$F$33*SUM(L37:L54)</f>
        <v>29.965464454545444</v>
      </c>
      <c r="M60" s="2939">
        <f ca="1">Parametros!$F$33*SUM(M37:M54)</f>
        <v>29.965464454545444</v>
      </c>
      <c r="N60" s="145">
        <f ca="1">SUM(B60:M60)</f>
        <v>359.58557345454534</v>
      </c>
    </row>
  </sheetData>
  <phoneticPr fontId="6" type="noConversion"/>
  <printOptions horizontalCentered="1"/>
  <pageMargins left="0.75" right="0.75" top="0.6692913385826772" bottom="0.52" header="0" footer="0"/>
  <pageSetup paperSize="9" scale="59" orientation="landscape" horizontalDpi="300" r:id="rId1"/>
  <headerFooter alignWithMargins="0"/>
  <legacyDrawing r:id="rId2"/>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5">
    <tabColor indexed="42"/>
    <pageSetUpPr fitToPage="1"/>
  </sheetPr>
  <dimension ref="A1:O60"/>
  <sheetViews>
    <sheetView workbookViewId="0"/>
  </sheetViews>
  <sheetFormatPr baseColWidth="10" defaultColWidth="11" defaultRowHeight="15"/>
  <cols>
    <col min="1" max="1" width="31.375" style="35" customWidth="1"/>
    <col min="2" max="13" width="11.125" style="35" customWidth="1"/>
    <col min="14" max="14" width="12.75" style="35" customWidth="1"/>
    <col min="15" max="15" width="10.375" style="35" customWidth="1"/>
    <col min="16" max="16384" width="11" style="35"/>
  </cols>
  <sheetData>
    <row r="1" spans="1:15" s="98" customFormat="1" ht="22.5">
      <c r="A1" s="67" t="str">
        <f>'G.F. 0'!A1</f>
        <v>Previsión de Gastos Fijos de la empresa</v>
      </c>
      <c r="B1" s="67"/>
      <c r="C1" s="67"/>
      <c r="D1" s="67"/>
      <c r="E1" s="521" t="str">
        <f>Parametros!E$77</f>
        <v>Año 3:  2029</v>
      </c>
      <c r="F1" s="67"/>
    </row>
    <row r="2" spans="1:15" s="98" customFormat="1" ht="22.5">
      <c r="A2" s="67" t="str">
        <f>'Datos Básicos'!B9</f>
        <v>nombre empresa</v>
      </c>
      <c r="B2" s="67"/>
      <c r="C2" s="67"/>
      <c r="D2" s="67"/>
      <c r="E2" s="67"/>
      <c r="F2" s="67"/>
      <c r="G2" s="67"/>
    </row>
    <row r="3" spans="1:15" ht="15.75" thickBot="1">
      <c r="B3" s="61"/>
      <c r="C3" s="61"/>
      <c r="D3" s="61"/>
      <c r="E3" s="61"/>
      <c r="F3" s="61"/>
      <c r="G3" s="61"/>
    </row>
    <row r="4" spans="1:15" ht="15.75" thickBot="1">
      <c r="A4" s="2808" t="str">
        <f>'G.F. 0'!A4</f>
        <v>Gastos de personal</v>
      </c>
      <c r="B4" s="157" t="str">
        <f t="array" ref="B4:M4">meses</f>
        <v>enero</v>
      </c>
      <c r="C4" s="158" t="str">
        <v>febrero</v>
      </c>
      <c r="D4" s="158" t="str">
        <v>marzo</v>
      </c>
      <c r="E4" s="158" t="str">
        <v>abril</v>
      </c>
      <c r="F4" s="158" t="str">
        <v>mayo</v>
      </c>
      <c r="G4" s="158" t="str">
        <v>junio</v>
      </c>
      <c r="H4" s="158" t="str">
        <v>julio</v>
      </c>
      <c r="I4" s="158" t="str">
        <v>agosto</v>
      </c>
      <c r="J4" s="158" t="str">
        <v>septiembre</v>
      </c>
      <c r="K4" s="158" t="str">
        <v>octubre</v>
      </c>
      <c r="L4" s="158" t="str">
        <v>noviembre</v>
      </c>
      <c r="M4" s="159" t="str">
        <v>diciembre</v>
      </c>
      <c r="N4" s="103" t="str">
        <f>'G.F. 0'!$N$4</f>
        <v>Totales</v>
      </c>
      <c r="O4" s="103" t="s">
        <v>32</v>
      </c>
    </row>
    <row r="5" spans="1:15" ht="15.75" thickBot="1">
      <c r="A5" s="2117"/>
      <c r="B5" s="116"/>
      <c r="C5" s="117"/>
      <c r="D5" s="117"/>
      <c r="E5" s="117"/>
      <c r="F5" s="117"/>
      <c r="G5" s="117"/>
      <c r="H5" s="117"/>
      <c r="I5" s="117"/>
      <c r="J5" s="117"/>
      <c r="K5" s="117"/>
      <c r="L5" s="117"/>
      <c r="M5" s="118"/>
      <c r="N5" s="114"/>
      <c r="O5" s="115"/>
    </row>
    <row r="6" spans="1:15">
      <c r="A6" s="2809" t="str">
        <f>'G.F. 0'!A6</f>
        <v>Sueldos y salarios</v>
      </c>
      <c r="B6" s="88"/>
      <c r="C6" s="89"/>
      <c r="D6" s="89"/>
      <c r="E6" s="89"/>
      <c r="F6" s="89"/>
      <c r="G6" s="89"/>
      <c r="H6" s="89"/>
      <c r="I6" s="89"/>
      <c r="J6" s="89"/>
      <c r="K6" s="89"/>
      <c r="L6" s="89"/>
      <c r="M6" s="90"/>
      <c r="N6" s="76"/>
      <c r="O6" s="105"/>
    </row>
    <row r="7" spans="1:15">
      <c r="A7" s="2810" t="str">
        <f t="array" ref="A7:A14">catlaborales</f>
        <v>Socios/as gestores/as</v>
      </c>
      <c r="B7" s="91">
        <f t="array" ref="B7:M14">'RR.HH.'!$E19:$E26*Plantilla!C66:N73</f>
        <v>1687.296</v>
      </c>
      <c r="C7" s="92">
        <v>1687.296</v>
      </c>
      <c r="D7" s="92">
        <v>1687.296</v>
      </c>
      <c r="E7" s="92">
        <v>1687.296</v>
      </c>
      <c r="F7" s="92">
        <v>1687.296</v>
      </c>
      <c r="G7" s="92">
        <v>1687.296</v>
      </c>
      <c r="H7" s="92">
        <v>1687.296</v>
      </c>
      <c r="I7" s="92">
        <v>1687.296</v>
      </c>
      <c r="J7" s="92">
        <v>1687.296</v>
      </c>
      <c r="K7" s="92">
        <v>1687.296</v>
      </c>
      <c r="L7" s="92">
        <v>1687.296</v>
      </c>
      <c r="M7" s="93">
        <v>1687.296</v>
      </c>
      <c r="N7" s="97">
        <f t="shared" ref="N7:N14" si="0">SUM(B7:M7)</f>
        <v>20247.551999999996</v>
      </c>
      <c r="O7" s="106">
        <f t="array" aca="1" ref="O7:O15" ca="1">N7:N15/$N$27</f>
        <v>0.79816735962539864</v>
      </c>
    </row>
    <row r="8" spans="1:15">
      <c r="A8" s="2810" t="str">
        <v>Otros personas en RETA</v>
      </c>
      <c r="B8" s="91">
        <v>0</v>
      </c>
      <c r="C8" s="92">
        <v>0</v>
      </c>
      <c r="D8" s="92">
        <v>0</v>
      </c>
      <c r="E8" s="92">
        <v>0</v>
      </c>
      <c r="F8" s="92">
        <v>0</v>
      </c>
      <c r="G8" s="92">
        <v>0</v>
      </c>
      <c r="H8" s="92">
        <v>0</v>
      </c>
      <c r="I8" s="92">
        <v>0</v>
      </c>
      <c r="J8" s="92">
        <v>0</v>
      </c>
      <c r="K8" s="92">
        <v>0</v>
      </c>
      <c r="L8" s="92">
        <v>0</v>
      </c>
      <c r="M8" s="93">
        <v>0</v>
      </c>
      <c r="N8" s="97">
        <f t="shared" si="0"/>
        <v>0</v>
      </c>
      <c r="O8" s="106">
        <f ca="1"/>
        <v>0</v>
      </c>
    </row>
    <row r="9" spans="1:15">
      <c r="A9" s="2810" t="str">
        <v>empleado</v>
      </c>
      <c r="B9" s="91">
        <v>0</v>
      </c>
      <c r="C9" s="92">
        <v>0</v>
      </c>
      <c r="D9" s="92">
        <v>0</v>
      </c>
      <c r="E9" s="92">
        <v>0</v>
      </c>
      <c r="F9" s="92">
        <v>0</v>
      </c>
      <c r="G9" s="92">
        <v>0</v>
      </c>
      <c r="H9" s="92">
        <v>0</v>
      </c>
      <c r="I9" s="92">
        <v>0</v>
      </c>
      <c r="J9" s="92">
        <v>0</v>
      </c>
      <c r="K9" s="92">
        <v>0</v>
      </c>
      <c r="L9" s="92">
        <v>0</v>
      </c>
      <c r="M9" s="93">
        <v>0</v>
      </c>
      <c r="N9" s="97">
        <f t="shared" si="0"/>
        <v>0</v>
      </c>
      <c r="O9" s="106">
        <f ca="1"/>
        <v>0</v>
      </c>
    </row>
    <row r="10" spans="1:15">
      <c r="A10" s="2810" t="str">
        <v>encargado</v>
      </c>
      <c r="B10" s="91">
        <v>0</v>
      </c>
      <c r="C10" s="92">
        <v>0</v>
      </c>
      <c r="D10" s="92">
        <v>0</v>
      </c>
      <c r="E10" s="92">
        <v>0</v>
      </c>
      <c r="F10" s="92">
        <v>0</v>
      </c>
      <c r="G10" s="92">
        <v>0</v>
      </c>
      <c r="H10" s="92">
        <v>0</v>
      </c>
      <c r="I10" s="92">
        <v>0</v>
      </c>
      <c r="J10" s="92">
        <v>0</v>
      </c>
      <c r="K10" s="92">
        <v>0</v>
      </c>
      <c r="L10" s="92">
        <v>0</v>
      </c>
      <c r="M10" s="93">
        <v>0</v>
      </c>
      <c r="N10" s="97">
        <f t="shared" si="0"/>
        <v>0</v>
      </c>
      <c r="O10" s="106">
        <f ca="1"/>
        <v>0</v>
      </c>
    </row>
    <row r="11" spans="1:15">
      <c r="A11" s="2810" t="str">
        <v/>
      </c>
      <c r="B11" s="91">
        <v>0</v>
      </c>
      <c r="C11" s="92">
        <v>0</v>
      </c>
      <c r="D11" s="92">
        <v>0</v>
      </c>
      <c r="E11" s="92">
        <v>0</v>
      </c>
      <c r="F11" s="92">
        <v>0</v>
      </c>
      <c r="G11" s="92">
        <v>0</v>
      </c>
      <c r="H11" s="92">
        <v>0</v>
      </c>
      <c r="I11" s="92">
        <v>0</v>
      </c>
      <c r="J11" s="92">
        <v>0</v>
      </c>
      <c r="K11" s="92">
        <v>0</v>
      </c>
      <c r="L11" s="92">
        <v>0</v>
      </c>
      <c r="M11" s="93">
        <v>0</v>
      </c>
      <c r="N11" s="97">
        <f t="shared" si="0"/>
        <v>0</v>
      </c>
      <c r="O11" s="106">
        <f ca="1"/>
        <v>0</v>
      </c>
    </row>
    <row r="12" spans="1:15">
      <c r="A12" s="2810" t="str">
        <v/>
      </c>
      <c r="B12" s="91">
        <v>0</v>
      </c>
      <c r="C12" s="92">
        <v>0</v>
      </c>
      <c r="D12" s="92">
        <v>0</v>
      </c>
      <c r="E12" s="92">
        <v>0</v>
      </c>
      <c r="F12" s="92">
        <v>0</v>
      </c>
      <c r="G12" s="92">
        <v>0</v>
      </c>
      <c r="H12" s="92">
        <v>0</v>
      </c>
      <c r="I12" s="92">
        <v>0</v>
      </c>
      <c r="J12" s="92">
        <v>0</v>
      </c>
      <c r="K12" s="92">
        <v>0</v>
      </c>
      <c r="L12" s="92">
        <v>0</v>
      </c>
      <c r="M12" s="93">
        <v>0</v>
      </c>
      <c r="N12" s="97">
        <f t="shared" si="0"/>
        <v>0</v>
      </c>
      <c r="O12" s="106">
        <f ca="1"/>
        <v>0</v>
      </c>
    </row>
    <row r="13" spans="1:15">
      <c r="A13" s="2810" t="str">
        <v/>
      </c>
      <c r="B13" s="91">
        <v>0</v>
      </c>
      <c r="C13" s="92">
        <v>0</v>
      </c>
      <c r="D13" s="92">
        <v>0</v>
      </c>
      <c r="E13" s="92">
        <v>0</v>
      </c>
      <c r="F13" s="92">
        <v>0</v>
      </c>
      <c r="G13" s="92">
        <v>0</v>
      </c>
      <c r="H13" s="92">
        <v>0</v>
      </c>
      <c r="I13" s="92">
        <v>0</v>
      </c>
      <c r="J13" s="92">
        <v>0</v>
      </c>
      <c r="K13" s="92">
        <v>0</v>
      </c>
      <c r="L13" s="92">
        <v>0</v>
      </c>
      <c r="M13" s="93">
        <v>0</v>
      </c>
      <c r="N13" s="97">
        <f t="shared" si="0"/>
        <v>0</v>
      </c>
      <c r="O13" s="106">
        <f ca="1"/>
        <v>0</v>
      </c>
    </row>
    <row r="14" spans="1:15">
      <c r="A14" s="2810" t="str">
        <v/>
      </c>
      <c r="B14" s="91">
        <v>0</v>
      </c>
      <c r="C14" s="92">
        <v>0</v>
      </c>
      <c r="D14" s="92">
        <v>0</v>
      </c>
      <c r="E14" s="92">
        <v>0</v>
      </c>
      <c r="F14" s="92">
        <v>0</v>
      </c>
      <c r="G14" s="92">
        <v>0</v>
      </c>
      <c r="H14" s="92">
        <v>0</v>
      </c>
      <c r="I14" s="92">
        <v>0</v>
      </c>
      <c r="J14" s="92">
        <v>0</v>
      </c>
      <c r="K14" s="92">
        <v>0</v>
      </c>
      <c r="L14" s="92">
        <v>0</v>
      </c>
      <c r="M14" s="93">
        <v>0</v>
      </c>
      <c r="N14" s="97">
        <f t="shared" si="0"/>
        <v>0</v>
      </c>
      <c r="O14" s="106">
        <f ca="1"/>
        <v>0</v>
      </c>
    </row>
    <row r="15" spans="1:15" ht="15.75" thickBot="1">
      <c r="A15" s="2811" t="str">
        <f>'G.F. 0'!A15</f>
        <v>Total Sueldos y salarios</v>
      </c>
      <c r="B15" s="138">
        <f t="shared" ref="B15:M15" si="1">SUM(B7:B14)</f>
        <v>1687.296</v>
      </c>
      <c r="C15" s="139">
        <f t="shared" si="1"/>
        <v>1687.296</v>
      </c>
      <c r="D15" s="139">
        <f t="shared" si="1"/>
        <v>1687.296</v>
      </c>
      <c r="E15" s="139">
        <f t="shared" si="1"/>
        <v>1687.296</v>
      </c>
      <c r="F15" s="139">
        <f t="shared" si="1"/>
        <v>1687.296</v>
      </c>
      <c r="G15" s="139">
        <f t="shared" si="1"/>
        <v>1687.296</v>
      </c>
      <c r="H15" s="139">
        <f t="shared" si="1"/>
        <v>1687.296</v>
      </c>
      <c r="I15" s="139">
        <f t="shared" si="1"/>
        <v>1687.296</v>
      </c>
      <c r="J15" s="139">
        <f t="shared" si="1"/>
        <v>1687.296</v>
      </c>
      <c r="K15" s="139">
        <f t="shared" si="1"/>
        <v>1687.296</v>
      </c>
      <c r="L15" s="139">
        <f t="shared" si="1"/>
        <v>1687.296</v>
      </c>
      <c r="M15" s="140">
        <f t="shared" si="1"/>
        <v>1687.296</v>
      </c>
      <c r="N15" s="137">
        <f>SUM(B15:M15)</f>
        <v>20247.551999999996</v>
      </c>
      <c r="O15" s="109">
        <f ca="1"/>
        <v>0.79816735962539864</v>
      </c>
    </row>
    <row r="16" spans="1:15" ht="15.75" thickBot="1">
      <c r="A16" s="2812"/>
      <c r="B16" s="130"/>
      <c r="C16" s="131"/>
      <c r="D16" s="131"/>
      <c r="E16" s="131"/>
      <c r="F16" s="131"/>
      <c r="G16" s="131"/>
      <c r="H16" s="131"/>
      <c r="I16" s="131"/>
      <c r="J16" s="131"/>
      <c r="K16" s="131"/>
      <c r="L16" s="131"/>
      <c r="M16" s="132"/>
      <c r="N16" s="126"/>
      <c r="O16" s="127"/>
    </row>
    <row r="17" spans="1:15">
      <c r="A17" s="2809" t="str">
        <f t="array" ref="A17:A20">'G.F. 0'!A17:A20</f>
        <v>Seguros Sociales</v>
      </c>
      <c r="B17" s="88"/>
      <c r="C17" s="89"/>
      <c r="D17" s="89"/>
      <c r="E17" s="89"/>
      <c r="F17" s="89"/>
      <c r="G17" s="3245">
        <f ca="1">+'IRPF Prof y Autónomos'!$E$40</f>
        <v>440</v>
      </c>
      <c r="H17" s="89"/>
      <c r="I17" s="89"/>
      <c r="J17" s="89"/>
      <c r="K17" s="89"/>
      <c r="L17" s="89"/>
      <c r="M17" s="90"/>
      <c r="N17" s="133"/>
      <c r="O17" s="105"/>
    </row>
    <row r="18" spans="1:15">
      <c r="A18" s="144" t="str">
        <v>Seg. Social Socios (R.E.T.A.)</v>
      </c>
      <c r="B18" s="91">
        <f t="array" aca="1" ref="B18" ca="1">SUM('RR.HH.'!$E37:$E38*Plantilla!C66:C67)</f>
        <v>390</v>
      </c>
      <c r="C18" s="92">
        <f t="array" aca="1" ref="C18" ca="1">SUM('RR.HH.'!$E37:$E38*Plantilla!D66:D67)</f>
        <v>390</v>
      </c>
      <c r="D18" s="92">
        <f t="array" aca="1" ref="D18" ca="1">SUM('RR.HH.'!$E37:$E38*Plantilla!E66:E67)</f>
        <v>390</v>
      </c>
      <c r="E18" s="92">
        <f t="array" aca="1" ref="E18" ca="1">SUM('RR.HH.'!$E37:$E38*Plantilla!F66:F67)</f>
        <v>390</v>
      </c>
      <c r="F18" s="92">
        <f t="array" aca="1" ref="F18" ca="1">SUM('RR.HH.'!$E37:$E38*Plantilla!G66:G67)</f>
        <v>390</v>
      </c>
      <c r="G18" s="92">
        <f t="array" aca="1" ref="G18" ca="1">SUM('RR.HH.'!$E37:$E38*Plantilla!H66:H67)</f>
        <v>390</v>
      </c>
      <c r="H18" s="92">
        <f t="array" aca="1" ref="H18" ca="1">SUM('RR.HH.'!$E37:$E38*Plantilla!I66:I67)</f>
        <v>390</v>
      </c>
      <c r="I18" s="92">
        <f t="array" aca="1" ref="I18" ca="1">SUM('RR.HH.'!$E37:$E38*Plantilla!J66:J67)</f>
        <v>390</v>
      </c>
      <c r="J18" s="92">
        <f t="array" aca="1" ref="J18" ca="1">SUM('RR.HH.'!$E37:$E38*Plantilla!K66:K67)</f>
        <v>390</v>
      </c>
      <c r="K18" s="92">
        <f t="array" aca="1" ref="K18" ca="1">SUM('RR.HH.'!$E37:$E38*Plantilla!L66:L67)</f>
        <v>390</v>
      </c>
      <c r="L18" s="92">
        <f t="array" aca="1" ref="L18" ca="1">SUM('RR.HH.'!$E37:$E38*Plantilla!M66:M67)</f>
        <v>390</v>
      </c>
      <c r="M18" s="93">
        <f t="array" aca="1" ref="M18" ca="1">SUM('RR.HH.'!$E37:$E38*Plantilla!N66:N67)</f>
        <v>390</v>
      </c>
      <c r="N18" s="97">
        <f ca="1">SUM(B18:M18)</f>
        <v>4680</v>
      </c>
      <c r="O18" s="106">
        <f t="array" ref="O18:O20" ca="1">N18:N20/$N$27</f>
        <v>0.18448764784240909</v>
      </c>
    </row>
    <row r="19" spans="1:15">
      <c r="A19" s="144" t="str">
        <v>Seg. Social Empleados</v>
      </c>
      <c r="B19" s="91">
        <f t="array" ref="B19">SUM(B9:B14*'RR.HH.'!$E39:$E44)</f>
        <v>0</v>
      </c>
      <c r="C19" s="92">
        <f t="array" ref="C19">SUM(C9:C14*'RR.HH.'!$E39:$E44)</f>
        <v>0</v>
      </c>
      <c r="D19" s="92">
        <f t="array" ref="D19">SUM(D9:D14*'RR.HH.'!$E39:$E44)</f>
        <v>0</v>
      </c>
      <c r="E19" s="92">
        <f t="array" ref="E19">SUM(E9:E14*'RR.HH.'!$E39:$E44)</f>
        <v>0</v>
      </c>
      <c r="F19" s="92">
        <f t="array" ref="F19">SUM(F9:F14*'RR.HH.'!$E39:$E44)</f>
        <v>0</v>
      </c>
      <c r="G19" s="92">
        <f t="array" ref="G19">SUM(G9:G14*'RR.HH.'!$E39:$E44)</f>
        <v>0</v>
      </c>
      <c r="H19" s="92">
        <f t="array" ref="H19">SUM(H9:H14*'RR.HH.'!$E39:$E44)</f>
        <v>0</v>
      </c>
      <c r="I19" s="92">
        <f t="array" ref="I19">SUM(I9:I14*'RR.HH.'!$E39:$E44)</f>
        <v>0</v>
      </c>
      <c r="J19" s="92">
        <f t="array" ref="J19">SUM(J9:J14*'RR.HH.'!$E39:$E44)</f>
        <v>0</v>
      </c>
      <c r="K19" s="92">
        <f t="array" ref="K19">SUM(K9:K14*'RR.HH.'!$E39:$E44)</f>
        <v>0</v>
      </c>
      <c r="L19" s="92">
        <f t="array" ref="L19">SUM(L9:L14*'RR.HH.'!$E39:$E44)</f>
        <v>0</v>
      </c>
      <c r="M19" s="93">
        <f t="array" ref="M19">SUM(M9:M14*'RR.HH.'!$E39:$E44)</f>
        <v>0</v>
      </c>
      <c r="N19" s="97">
        <f>SUM(B19:M19)</f>
        <v>0</v>
      </c>
      <c r="O19" s="106">
        <f ca="1"/>
        <v>0</v>
      </c>
    </row>
    <row r="20" spans="1:15" ht="15.75" thickBot="1">
      <c r="A20" s="2811" t="str">
        <v>Total Seguros Sociales</v>
      </c>
      <c r="B20" s="138">
        <f t="shared" ref="B20:M20" ca="1" si="2">SUM(B18:B19)</f>
        <v>390</v>
      </c>
      <c r="C20" s="139">
        <f t="shared" ca="1" si="2"/>
        <v>390</v>
      </c>
      <c r="D20" s="139">
        <f t="shared" ca="1" si="2"/>
        <v>390</v>
      </c>
      <c r="E20" s="139">
        <f t="shared" ca="1" si="2"/>
        <v>390</v>
      </c>
      <c r="F20" s="139">
        <f t="shared" ca="1" si="2"/>
        <v>390</v>
      </c>
      <c r="G20" s="139">
        <f ca="1">SUM(G17:G19)</f>
        <v>830</v>
      </c>
      <c r="H20" s="139">
        <f t="shared" ca="1" si="2"/>
        <v>390</v>
      </c>
      <c r="I20" s="139">
        <f t="shared" ca="1" si="2"/>
        <v>390</v>
      </c>
      <c r="J20" s="139">
        <f t="shared" ca="1" si="2"/>
        <v>390</v>
      </c>
      <c r="K20" s="139">
        <f t="shared" ca="1" si="2"/>
        <v>390</v>
      </c>
      <c r="L20" s="139">
        <f t="shared" ca="1" si="2"/>
        <v>390</v>
      </c>
      <c r="M20" s="140">
        <f t="shared" ca="1" si="2"/>
        <v>390</v>
      </c>
      <c r="N20" s="137">
        <f ca="1">SUM(B20:M20)</f>
        <v>5120</v>
      </c>
      <c r="O20" s="109">
        <f ca="1"/>
        <v>0.20183264037460141</v>
      </c>
    </row>
    <row r="21" spans="1:15" ht="15.75" thickBot="1">
      <c r="A21" s="2812"/>
      <c r="B21" s="130"/>
      <c r="C21" s="131"/>
      <c r="D21" s="131"/>
      <c r="E21" s="131"/>
      <c r="F21" s="131"/>
      <c r="G21" s="131"/>
      <c r="H21" s="131"/>
      <c r="I21" s="131"/>
      <c r="J21" s="131"/>
      <c r="K21" s="131"/>
      <c r="L21" s="131"/>
      <c r="M21" s="132"/>
      <c r="N21" s="126"/>
      <c r="O21" s="127"/>
    </row>
    <row r="22" spans="1:15">
      <c r="A22" s="2809" t="str">
        <f t="array" ref="A22:A25">'G.F. 0'!A22:A25</f>
        <v>Altas y bajas de personal</v>
      </c>
      <c r="B22" s="88"/>
      <c r="C22" s="89"/>
      <c r="D22" s="89"/>
      <c r="E22" s="89"/>
      <c r="F22" s="89"/>
      <c r="G22" s="89"/>
      <c r="H22" s="89"/>
      <c r="I22" s="89"/>
      <c r="J22" s="89"/>
      <c r="K22" s="89"/>
      <c r="L22" s="89"/>
      <c r="M22" s="90"/>
      <c r="N22" s="133"/>
      <c r="O22" s="105"/>
    </row>
    <row r="23" spans="1:15">
      <c r="A23" s="144" t="str">
        <v>Altas y bajas de socios</v>
      </c>
      <c r="B23" s="94">
        <f t="array" ref="B23:M24">'RR.HH.'!$E53:$E54*Plantilla!C77:N78</f>
        <v>0</v>
      </c>
      <c r="C23" s="95">
        <v>0</v>
      </c>
      <c r="D23" s="95">
        <v>0</v>
      </c>
      <c r="E23" s="95">
        <v>0</v>
      </c>
      <c r="F23" s="95">
        <v>0</v>
      </c>
      <c r="G23" s="95">
        <v>0</v>
      </c>
      <c r="H23" s="95">
        <v>0</v>
      </c>
      <c r="I23" s="95">
        <v>0</v>
      </c>
      <c r="J23" s="95">
        <v>0</v>
      </c>
      <c r="K23" s="95">
        <v>0</v>
      </c>
      <c r="L23" s="95">
        <v>0</v>
      </c>
      <c r="M23" s="96">
        <v>0</v>
      </c>
      <c r="N23" s="97">
        <f>SUM(B23:M23)</f>
        <v>0</v>
      </c>
      <c r="O23" s="106">
        <f t="array" aca="1" ref="O23:O25" ca="1">N23:N25/$N$27</f>
        <v>0</v>
      </c>
    </row>
    <row r="24" spans="1:15">
      <c r="A24" s="144" t="str">
        <v>Altas de empleados</v>
      </c>
      <c r="B24" s="94">
        <v>0</v>
      </c>
      <c r="C24" s="95">
        <v>0</v>
      </c>
      <c r="D24" s="95">
        <v>0</v>
      </c>
      <c r="E24" s="95">
        <v>0</v>
      </c>
      <c r="F24" s="95">
        <v>0</v>
      </c>
      <c r="G24" s="95">
        <v>0</v>
      </c>
      <c r="H24" s="95">
        <v>0</v>
      </c>
      <c r="I24" s="95">
        <v>0</v>
      </c>
      <c r="J24" s="95">
        <v>0</v>
      </c>
      <c r="K24" s="95">
        <v>0</v>
      </c>
      <c r="L24" s="95">
        <v>0</v>
      </c>
      <c r="M24" s="96">
        <v>0</v>
      </c>
      <c r="N24" s="97">
        <f>SUM(B24:M24)</f>
        <v>0</v>
      </c>
      <c r="O24" s="106">
        <f ca="1"/>
        <v>0</v>
      </c>
    </row>
    <row r="25" spans="1:15" ht="15.75" thickBot="1">
      <c r="A25" s="2811" t="str">
        <v>Total Altas y bajas de personal</v>
      </c>
      <c r="B25" s="138">
        <f>SUM(B23:B24)</f>
        <v>0</v>
      </c>
      <c r="C25" s="139">
        <f t="shared" ref="C25:M25" si="3">SUM(C23:C24)</f>
        <v>0</v>
      </c>
      <c r="D25" s="139">
        <f t="shared" si="3"/>
        <v>0</v>
      </c>
      <c r="E25" s="139">
        <f t="shared" si="3"/>
        <v>0</v>
      </c>
      <c r="F25" s="139">
        <f t="shared" si="3"/>
        <v>0</v>
      </c>
      <c r="G25" s="139">
        <f t="shared" si="3"/>
        <v>0</v>
      </c>
      <c r="H25" s="139">
        <f t="shared" si="3"/>
        <v>0</v>
      </c>
      <c r="I25" s="139">
        <f t="shared" si="3"/>
        <v>0</v>
      </c>
      <c r="J25" s="139">
        <f t="shared" si="3"/>
        <v>0</v>
      </c>
      <c r="K25" s="139">
        <f t="shared" si="3"/>
        <v>0</v>
      </c>
      <c r="L25" s="139">
        <f t="shared" si="3"/>
        <v>0</v>
      </c>
      <c r="M25" s="140">
        <f t="shared" si="3"/>
        <v>0</v>
      </c>
      <c r="N25" s="137">
        <f>SUM(B25:M25)</f>
        <v>0</v>
      </c>
      <c r="O25" s="109">
        <f ca="1"/>
        <v>0</v>
      </c>
    </row>
    <row r="26" spans="1:15" ht="15.75" thickBot="1">
      <c r="A26" s="2813"/>
      <c r="B26" s="142"/>
      <c r="C26" s="128"/>
      <c r="D26" s="128"/>
      <c r="E26" s="128"/>
      <c r="F26" s="128"/>
      <c r="G26" s="128"/>
      <c r="H26" s="128"/>
      <c r="I26" s="128"/>
      <c r="J26" s="128"/>
      <c r="K26" s="128"/>
      <c r="L26" s="128"/>
      <c r="M26" s="129"/>
      <c r="N26" s="121"/>
      <c r="O26" s="122"/>
    </row>
    <row r="27" spans="1:15" ht="15.75" thickBot="1">
      <c r="A27" s="2450" t="str">
        <f>'G.F. 0'!A27</f>
        <v>Total Gastos de personal</v>
      </c>
      <c r="B27" s="2932">
        <f t="shared" ref="B27:N27" ca="1" si="4">B25+B20+B15</f>
        <v>2077.2960000000003</v>
      </c>
      <c r="C27" s="2933">
        <f t="shared" ca="1" si="4"/>
        <v>2077.2960000000003</v>
      </c>
      <c r="D27" s="2933">
        <f t="shared" ca="1" si="4"/>
        <v>2077.2960000000003</v>
      </c>
      <c r="E27" s="2933">
        <f t="shared" ca="1" si="4"/>
        <v>2077.2960000000003</v>
      </c>
      <c r="F27" s="2933">
        <f t="shared" ca="1" si="4"/>
        <v>2077.2960000000003</v>
      </c>
      <c r="G27" s="2933">
        <f t="shared" ca="1" si="4"/>
        <v>2517.2960000000003</v>
      </c>
      <c r="H27" s="2933">
        <f t="shared" ca="1" si="4"/>
        <v>2077.2960000000003</v>
      </c>
      <c r="I27" s="2933">
        <f t="shared" ca="1" si="4"/>
        <v>2077.2960000000003</v>
      </c>
      <c r="J27" s="2933">
        <f t="shared" ca="1" si="4"/>
        <v>2077.2960000000003</v>
      </c>
      <c r="K27" s="2933">
        <f t="shared" ca="1" si="4"/>
        <v>2077.2960000000003</v>
      </c>
      <c r="L27" s="2933">
        <f t="shared" ca="1" si="4"/>
        <v>2077.2960000000003</v>
      </c>
      <c r="M27" s="84">
        <f t="shared" ca="1" si="4"/>
        <v>2077.2960000000003</v>
      </c>
      <c r="N27" s="83">
        <f t="shared" ca="1" si="4"/>
        <v>25367.551999999996</v>
      </c>
      <c r="O27" s="110">
        <f ca="1">N27/$N$58</f>
        <v>0.93495344415658932</v>
      </c>
    </row>
    <row r="28" spans="1:15">
      <c r="A28" s="101"/>
      <c r="B28" s="85"/>
      <c r="C28" s="85"/>
      <c r="D28" s="85"/>
      <c r="E28" s="85"/>
      <c r="F28" s="85"/>
      <c r="G28" s="85"/>
      <c r="H28" s="85"/>
      <c r="I28" s="85"/>
      <c r="J28" s="85"/>
      <c r="K28" s="85"/>
      <c r="L28" s="85"/>
      <c r="M28" s="85"/>
      <c r="N28" s="85"/>
      <c r="O28" s="102"/>
    </row>
    <row r="29" spans="1:15">
      <c r="A29" s="87"/>
      <c r="B29" s="85"/>
      <c r="C29" s="85"/>
      <c r="D29" s="85"/>
      <c r="E29" s="85"/>
      <c r="F29" s="85"/>
      <c r="G29" s="85"/>
      <c r="H29" s="85"/>
      <c r="I29" s="85"/>
      <c r="J29" s="85"/>
      <c r="K29" s="85"/>
      <c r="L29" s="85"/>
      <c r="M29" s="85"/>
      <c r="N29" s="85"/>
      <c r="O29" s="99"/>
    </row>
    <row r="30" spans="1:15">
      <c r="A30" s="87"/>
      <c r="B30" s="85"/>
      <c r="C30" s="85"/>
      <c r="D30" s="85"/>
      <c r="E30" s="85"/>
      <c r="F30" s="85"/>
      <c r="G30" s="85"/>
      <c r="H30" s="85"/>
      <c r="I30" s="85"/>
      <c r="J30" s="85"/>
      <c r="K30" s="85"/>
      <c r="L30" s="85"/>
      <c r="M30" s="85"/>
      <c r="N30" s="85"/>
      <c r="O30" s="99"/>
    </row>
    <row r="31" spans="1:15" ht="15.75" thickBot="1">
      <c r="A31" s="87"/>
      <c r="B31" s="85"/>
      <c r="C31" s="85"/>
      <c r="D31" s="85"/>
      <c r="E31" s="85"/>
      <c r="F31" s="85"/>
      <c r="G31" s="85"/>
      <c r="H31" s="85"/>
      <c r="I31" s="85"/>
      <c r="J31" s="85"/>
      <c r="K31" s="85"/>
      <c r="L31" s="85"/>
      <c r="M31" s="85"/>
      <c r="N31" s="85"/>
      <c r="O31" s="99"/>
    </row>
    <row r="32" spans="1:15" ht="15.75" thickBot="1">
      <c r="A32" s="148" t="str">
        <f>'G.F. 0'!A32</f>
        <v>Otros gastos fijos</v>
      </c>
      <c r="B32" s="157" t="str">
        <f t="array" ref="B32:M32">meses</f>
        <v>enero</v>
      </c>
      <c r="C32" s="158" t="str">
        <v>febrero</v>
      </c>
      <c r="D32" s="158" t="str">
        <v>marzo</v>
      </c>
      <c r="E32" s="158" t="str">
        <v>abril</v>
      </c>
      <c r="F32" s="158" t="str">
        <v>mayo</v>
      </c>
      <c r="G32" s="158" t="str">
        <v>junio</v>
      </c>
      <c r="H32" s="158" t="str">
        <v>julio</v>
      </c>
      <c r="I32" s="158" t="str">
        <v>agosto</v>
      </c>
      <c r="J32" s="158" t="str">
        <v>septiembre</v>
      </c>
      <c r="K32" s="158" t="str">
        <v>octubre</v>
      </c>
      <c r="L32" s="158" t="str">
        <v>noviembre</v>
      </c>
      <c r="M32" s="159" t="str">
        <v>diciembre</v>
      </c>
      <c r="N32" s="103" t="str">
        <f>'G.F. 0'!$N$4</f>
        <v>Totales</v>
      </c>
      <c r="O32" s="103" t="s">
        <v>32</v>
      </c>
    </row>
    <row r="33" spans="1:15">
      <c r="A33" s="108" t="str">
        <f t="array" ref="A33:A54">'Gastos Fijos Datos'!A6:A27</f>
        <v>Tributos: IAE, IBI, ...</v>
      </c>
      <c r="B33" s="149">
        <f t="array" ref="B33:M54">IFERROR('Gastos Fijos Datos'!$W6:$W27*'G.F. 2'!$B33:$M54/'G.F. 2'!$N33:$N54,'Gastos Fijos Datos'!$W6:$W27/12)</f>
        <v>0</v>
      </c>
      <c r="C33" s="150">
        <v>0</v>
      </c>
      <c r="D33" s="150">
        <v>0</v>
      </c>
      <c r="E33" s="150">
        <v>0</v>
      </c>
      <c r="F33" s="150">
        <v>0</v>
      </c>
      <c r="G33" s="150">
        <v>0</v>
      </c>
      <c r="H33" s="150">
        <v>0</v>
      </c>
      <c r="I33" s="150">
        <v>0</v>
      </c>
      <c r="J33" s="150">
        <v>0</v>
      </c>
      <c r="K33" s="150">
        <v>0</v>
      </c>
      <c r="L33" s="150">
        <v>0</v>
      </c>
      <c r="M33" s="151">
        <v>0</v>
      </c>
      <c r="N33" s="155">
        <f t="shared" ref="N33:N54" si="5">SUM(B33:M33)</f>
        <v>0</v>
      </c>
      <c r="O33" s="105">
        <f t="array" aca="1" ref="O33:O54" ca="1">N33:N54/$N$58</f>
        <v>0</v>
      </c>
    </row>
    <row r="34" spans="1:15">
      <c r="A34" s="107" t="str">
        <v>Otras gastos fijos ( SIN IVA )</v>
      </c>
      <c r="B34" s="77">
        <v>0</v>
      </c>
      <c r="C34" s="78">
        <v>0</v>
      </c>
      <c r="D34" s="78">
        <v>0</v>
      </c>
      <c r="E34" s="78">
        <v>0</v>
      </c>
      <c r="F34" s="78">
        <v>0</v>
      </c>
      <c r="G34" s="78">
        <v>0</v>
      </c>
      <c r="H34" s="78">
        <v>0</v>
      </c>
      <c r="I34" s="78">
        <v>0</v>
      </c>
      <c r="J34" s="78">
        <v>0</v>
      </c>
      <c r="K34" s="78">
        <v>0</v>
      </c>
      <c r="L34" s="78">
        <v>0</v>
      </c>
      <c r="M34" s="79">
        <v>0</v>
      </c>
      <c r="N34" s="156">
        <f t="shared" si="5"/>
        <v>0</v>
      </c>
      <c r="O34" s="106">
        <f ca="1"/>
        <v>0</v>
      </c>
    </row>
    <row r="35" spans="1:15">
      <c r="A35" s="107" t="str">
        <v>Primas de Seguros</v>
      </c>
      <c r="B35" s="77">
        <v>0</v>
      </c>
      <c r="C35" s="78">
        <v>0</v>
      </c>
      <c r="D35" s="78">
        <v>0</v>
      </c>
      <c r="E35" s="78">
        <v>0</v>
      </c>
      <c r="F35" s="78">
        <v>0</v>
      </c>
      <c r="G35" s="78">
        <v>0</v>
      </c>
      <c r="H35" s="78">
        <v>0</v>
      </c>
      <c r="I35" s="78">
        <v>0</v>
      </c>
      <c r="J35" s="78">
        <v>0</v>
      </c>
      <c r="K35" s="78">
        <v>0</v>
      </c>
      <c r="L35" s="78">
        <v>0</v>
      </c>
      <c r="M35" s="79">
        <v>0</v>
      </c>
      <c r="N35" s="156">
        <f t="shared" si="5"/>
        <v>0</v>
      </c>
      <c r="O35" s="106">
        <f ca="1"/>
        <v>0</v>
      </c>
    </row>
    <row r="36" spans="1:15">
      <c r="A36" s="107" t="str">
        <v>Colegio / asociación profesional</v>
      </c>
      <c r="B36" s="77">
        <v>0</v>
      </c>
      <c r="C36" s="78">
        <v>0</v>
      </c>
      <c r="D36" s="78">
        <v>0</v>
      </c>
      <c r="E36" s="78">
        <v>0</v>
      </c>
      <c r="F36" s="78">
        <v>0</v>
      </c>
      <c r="G36" s="78">
        <v>0</v>
      </c>
      <c r="H36" s="78">
        <v>0</v>
      </c>
      <c r="I36" s="78">
        <v>0</v>
      </c>
      <c r="J36" s="78">
        <v>0</v>
      </c>
      <c r="K36" s="78">
        <v>0</v>
      </c>
      <c r="L36" s="78">
        <v>0</v>
      </c>
      <c r="M36" s="79">
        <v>0</v>
      </c>
      <c r="N36" s="156">
        <f t="shared" si="5"/>
        <v>0</v>
      </c>
      <c r="O36" s="106">
        <f ca="1"/>
        <v>0</v>
      </c>
    </row>
    <row r="37" spans="1:15">
      <c r="A37" s="107" t="str">
        <v>Suministro de Electricidad</v>
      </c>
      <c r="B37" s="77">
        <v>0</v>
      </c>
      <c r="C37" s="78">
        <v>0</v>
      </c>
      <c r="D37" s="78">
        <v>0</v>
      </c>
      <c r="E37" s="78">
        <v>0</v>
      </c>
      <c r="F37" s="78">
        <v>0</v>
      </c>
      <c r="G37" s="78">
        <v>0</v>
      </c>
      <c r="H37" s="78">
        <v>0</v>
      </c>
      <c r="I37" s="78">
        <v>0</v>
      </c>
      <c r="J37" s="78">
        <v>0</v>
      </c>
      <c r="K37" s="78">
        <v>0</v>
      </c>
      <c r="L37" s="78">
        <v>0</v>
      </c>
      <c r="M37" s="79">
        <v>0</v>
      </c>
      <c r="N37" s="156">
        <f t="shared" si="5"/>
        <v>0</v>
      </c>
      <c r="O37" s="106">
        <f ca="1"/>
        <v>0</v>
      </c>
    </row>
    <row r="38" spans="1:15">
      <c r="A38" s="107" t="str">
        <v>Cuotas periódicas de software</v>
      </c>
      <c r="B38" s="77">
        <v>0</v>
      </c>
      <c r="C38" s="78">
        <v>0</v>
      </c>
      <c r="D38" s="78">
        <v>0</v>
      </c>
      <c r="E38" s="78">
        <v>0</v>
      </c>
      <c r="F38" s="78">
        <v>0</v>
      </c>
      <c r="G38" s="78">
        <v>0</v>
      </c>
      <c r="H38" s="78">
        <v>0</v>
      </c>
      <c r="I38" s="78">
        <v>0</v>
      </c>
      <c r="J38" s="78">
        <v>0</v>
      </c>
      <c r="K38" s="78">
        <v>0</v>
      </c>
      <c r="L38" s="78">
        <v>0</v>
      </c>
      <c r="M38" s="79">
        <v>0</v>
      </c>
      <c r="N38" s="156">
        <f t="shared" si="5"/>
        <v>0</v>
      </c>
      <c r="O38" s="106">
        <f ca="1"/>
        <v>0</v>
      </c>
    </row>
    <row r="39" spans="1:15">
      <c r="A39" s="107" t="str">
        <v>Agua, saneamiento y basura</v>
      </c>
      <c r="B39" s="77">
        <v>0</v>
      </c>
      <c r="C39" s="78">
        <v>0</v>
      </c>
      <c r="D39" s="78">
        <v>0</v>
      </c>
      <c r="E39" s="78">
        <v>0</v>
      </c>
      <c r="F39" s="78">
        <v>0</v>
      </c>
      <c r="G39" s="78">
        <v>0</v>
      </c>
      <c r="H39" s="78">
        <v>0</v>
      </c>
      <c r="I39" s="78">
        <v>0</v>
      </c>
      <c r="J39" s="78">
        <v>0</v>
      </c>
      <c r="K39" s="78">
        <v>0</v>
      </c>
      <c r="L39" s="78">
        <v>0</v>
      </c>
      <c r="M39" s="79">
        <v>0</v>
      </c>
      <c r="N39" s="156">
        <f t="shared" si="5"/>
        <v>0</v>
      </c>
      <c r="O39" s="106">
        <f ca="1"/>
        <v>0</v>
      </c>
    </row>
    <row r="40" spans="1:15">
      <c r="A40" s="107" t="str">
        <v>Otros suministros (gas, etc.)</v>
      </c>
      <c r="B40" s="77">
        <v>0</v>
      </c>
      <c r="C40" s="78">
        <v>0</v>
      </c>
      <c r="D40" s="78">
        <v>0</v>
      </c>
      <c r="E40" s="78">
        <v>0</v>
      </c>
      <c r="F40" s="78">
        <v>0</v>
      </c>
      <c r="G40" s="78">
        <v>0</v>
      </c>
      <c r="H40" s="78">
        <v>0</v>
      </c>
      <c r="I40" s="78">
        <v>0</v>
      </c>
      <c r="J40" s="78">
        <v>0</v>
      </c>
      <c r="K40" s="78">
        <v>0</v>
      </c>
      <c r="L40" s="78">
        <v>0</v>
      </c>
      <c r="M40" s="79">
        <v>0</v>
      </c>
      <c r="N40" s="156">
        <f t="shared" si="5"/>
        <v>0</v>
      </c>
      <c r="O40" s="106">
        <f ca="1"/>
        <v>0</v>
      </c>
    </row>
    <row r="41" spans="1:15">
      <c r="A41" s="107" t="str">
        <v>Telefonía / Internet / Comunicaciones</v>
      </c>
      <c r="B41" s="77">
        <v>0</v>
      </c>
      <c r="C41" s="78">
        <v>0</v>
      </c>
      <c r="D41" s="78">
        <v>0</v>
      </c>
      <c r="E41" s="78">
        <v>0</v>
      </c>
      <c r="F41" s="78">
        <v>0</v>
      </c>
      <c r="G41" s="78">
        <v>0</v>
      </c>
      <c r="H41" s="78">
        <v>0</v>
      </c>
      <c r="I41" s="78">
        <v>0</v>
      </c>
      <c r="J41" s="78">
        <v>0</v>
      </c>
      <c r="K41" s="78">
        <v>0</v>
      </c>
      <c r="L41" s="78">
        <v>0</v>
      </c>
      <c r="M41" s="79">
        <v>0</v>
      </c>
      <c r="N41" s="156">
        <f t="shared" si="5"/>
        <v>0</v>
      </c>
      <c r="O41" s="106">
        <f ca="1"/>
        <v>0</v>
      </c>
    </row>
    <row r="42" spans="1:15">
      <c r="A42" s="107" t="str">
        <v>Alojamiento y servicios web</v>
      </c>
      <c r="B42" s="77">
        <v>0</v>
      </c>
      <c r="C42" s="78">
        <v>0</v>
      </c>
      <c r="D42" s="78">
        <v>0</v>
      </c>
      <c r="E42" s="78">
        <v>0</v>
      </c>
      <c r="F42" s="78">
        <v>0</v>
      </c>
      <c r="G42" s="78">
        <v>0</v>
      </c>
      <c r="H42" s="78">
        <v>0</v>
      </c>
      <c r="I42" s="78">
        <v>0</v>
      </c>
      <c r="J42" s="78">
        <v>0</v>
      </c>
      <c r="K42" s="78">
        <v>0</v>
      </c>
      <c r="L42" s="78">
        <v>0</v>
      </c>
      <c r="M42" s="79">
        <v>0</v>
      </c>
      <c r="N42" s="156">
        <f t="shared" si="5"/>
        <v>0</v>
      </c>
      <c r="O42" s="106">
        <f ca="1"/>
        <v>0</v>
      </c>
    </row>
    <row r="43" spans="1:15">
      <c r="A43" s="107" t="str">
        <v>Alarma / Compañía de seguridad</v>
      </c>
      <c r="B43" s="77">
        <v>0</v>
      </c>
      <c r="C43" s="78">
        <v>0</v>
      </c>
      <c r="D43" s="78">
        <v>0</v>
      </c>
      <c r="E43" s="78">
        <v>0</v>
      </c>
      <c r="F43" s="78">
        <v>0</v>
      </c>
      <c r="G43" s="78">
        <v>0</v>
      </c>
      <c r="H43" s="78">
        <v>0</v>
      </c>
      <c r="I43" s="78">
        <v>0</v>
      </c>
      <c r="J43" s="78">
        <v>0</v>
      </c>
      <c r="K43" s="78">
        <v>0</v>
      </c>
      <c r="L43" s="78">
        <v>0</v>
      </c>
      <c r="M43" s="79">
        <v>0</v>
      </c>
      <c r="N43" s="156">
        <f t="shared" si="5"/>
        <v>0</v>
      </c>
      <c r="O43" s="106">
        <f ca="1"/>
        <v>0</v>
      </c>
    </row>
    <row r="44" spans="1:15">
      <c r="A44" s="107" t="str">
        <v>Material de oficina / papelería</v>
      </c>
      <c r="B44" s="77">
        <v>0</v>
      </c>
      <c r="C44" s="78">
        <v>0</v>
      </c>
      <c r="D44" s="78">
        <v>0</v>
      </c>
      <c r="E44" s="78">
        <v>0</v>
      </c>
      <c r="F44" s="78">
        <v>0</v>
      </c>
      <c r="G44" s="78">
        <v>0</v>
      </c>
      <c r="H44" s="78">
        <v>0</v>
      </c>
      <c r="I44" s="78">
        <v>0</v>
      </c>
      <c r="J44" s="78">
        <v>0</v>
      </c>
      <c r="K44" s="78">
        <v>0</v>
      </c>
      <c r="L44" s="78">
        <v>0</v>
      </c>
      <c r="M44" s="79">
        <v>0</v>
      </c>
      <c r="N44" s="156">
        <f t="shared" si="5"/>
        <v>0</v>
      </c>
      <c r="O44" s="106">
        <f ca="1"/>
        <v>0</v>
      </c>
    </row>
    <row r="45" spans="1:15">
      <c r="A45" s="107" t="str">
        <v>Congresos / Ferias / Viajes</v>
      </c>
      <c r="B45" s="77">
        <v>0</v>
      </c>
      <c r="C45" s="78">
        <v>0</v>
      </c>
      <c r="D45" s="78">
        <v>0</v>
      </c>
      <c r="E45" s="78">
        <v>0</v>
      </c>
      <c r="F45" s="78">
        <v>0</v>
      </c>
      <c r="G45" s="78">
        <v>0</v>
      </c>
      <c r="H45" s="78">
        <v>0</v>
      </c>
      <c r="I45" s="78">
        <v>0</v>
      </c>
      <c r="J45" s="78">
        <v>0</v>
      </c>
      <c r="K45" s="78">
        <v>0</v>
      </c>
      <c r="L45" s="78">
        <v>0</v>
      </c>
      <c r="M45" s="79">
        <v>0</v>
      </c>
      <c r="N45" s="156">
        <f t="shared" si="5"/>
        <v>0</v>
      </c>
      <c r="O45" s="106">
        <f ca="1"/>
        <v>0</v>
      </c>
    </row>
    <row r="46" spans="1:15">
      <c r="A46" s="107" t="str">
        <v>Transporte y desplazamientos</v>
      </c>
      <c r="B46" s="77">
        <v>0</v>
      </c>
      <c r="C46" s="78">
        <v>0</v>
      </c>
      <c r="D46" s="78">
        <v>0</v>
      </c>
      <c r="E46" s="78">
        <v>0</v>
      </c>
      <c r="F46" s="78">
        <v>0</v>
      </c>
      <c r="G46" s="78">
        <v>0</v>
      </c>
      <c r="H46" s="78">
        <v>0</v>
      </c>
      <c r="I46" s="78">
        <v>0</v>
      </c>
      <c r="J46" s="78">
        <v>0</v>
      </c>
      <c r="K46" s="78">
        <v>0</v>
      </c>
      <c r="L46" s="78">
        <v>0</v>
      </c>
      <c r="M46" s="79">
        <v>0</v>
      </c>
      <c r="N46" s="156">
        <f t="shared" si="5"/>
        <v>0</v>
      </c>
      <c r="O46" s="106">
        <f ca="1"/>
        <v>0</v>
      </c>
    </row>
    <row r="47" spans="1:15">
      <c r="A47" s="107" t="str">
        <v>Asesoría y profesionales independientes</v>
      </c>
      <c r="B47" s="77">
        <v>0</v>
      </c>
      <c r="C47" s="78">
        <v>0</v>
      </c>
      <c r="D47" s="78">
        <v>0</v>
      </c>
      <c r="E47" s="78">
        <v>0</v>
      </c>
      <c r="F47" s="78">
        <v>0</v>
      </c>
      <c r="G47" s="78">
        <v>0</v>
      </c>
      <c r="H47" s="78">
        <v>0</v>
      </c>
      <c r="I47" s="78">
        <v>0</v>
      </c>
      <c r="J47" s="78">
        <v>0</v>
      </c>
      <c r="K47" s="78">
        <v>0</v>
      </c>
      <c r="L47" s="78">
        <v>0</v>
      </c>
      <c r="M47" s="79">
        <v>0</v>
      </c>
      <c r="N47" s="156">
        <f t="shared" si="5"/>
        <v>0</v>
      </c>
      <c r="O47" s="106">
        <f ca="1"/>
        <v>0</v>
      </c>
    </row>
    <row r="48" spans="1:15">
      <c r="A48" s="107" t="str">
        <v>Arrendamientos / alquileres</v>
      </c>
      <c r="B48" s="77">
        <v>0</v>
      </c>
      <c r="C48" s="78">
        <v>0</v>
      </c>
      <c r="D48" s="78">
        <v>0</v>
      </c>
      <c r="E48" s="78">
        <v>0</v>
      </c>
      <c r="F48" s="78">
        <v>0</v>
      </c>
      <c r="G48" s="78">
        <v>0</v>
      </c>
      <c r="H48" s="78">
        <v>0</v>
      </c>
      <c r="I48" s="78">
        <v>0</v>
      </c>
      <c r="J48" s="78">
        <v>0</v>
      </c>
      <c r="K48" s="78">
        <v>0</v>
      </c>
      <c r="L48" s="78">
        <v>0</v>
      </c>
      <c r="M48" s="79">
        <v>0</v>
      </c>
      <c r="N48" s="156">
        <f t="shared" si="5"/>
        <v>0</v>
      </c>
      <c r="O48" s="106">
        <f ca="1"/>
        <v>0</v>
      </c>
    </row>
    <row r="49" spans="1:15">
      <c r="A49" s="107" t="str">
        <v>Gastos Marketing online variables</v>
      </c>
      <c r="B49" s="77">
        <f ca="1"/>
        <v>68.383845833333353</v>
      </c>
      <c r="C49" s="78">
        <f ca="1"/>
        <v>68.383845833333353</v>
      </c>
      <c r="D49" s="78">
        <f ca="1"/>
        <v>68.383845833333353</v>
      </c>
      <c r="E49" s="78">
        <f ca="1"/>
        <v>68.383845833333353</v>
      </c>
      <c r="F49" s="78">
        <f ca="1"/>
        <v>68.383845833333353</v>
      </c>
      <c r="G49" s="78">
        <f ca="1"/>
        <v>68.383845833333353</v>
      </c>
      <c r="H49" s="78">
        <f ca="1"/>
        <v>68.383845833333353</v>
      </c>
      <c r="I49" s="78">
        <f ca="1"/>
        <v>68.383845833333353</v>
      </c>
      <c r="J49" s="78">
        <f ca="1"/>
        <v>68.383845833333353</v>
      </c>
      <c r="K49" s="78">
        <f ca="1"/>
        <v>68.383845833333353</v>
      </c>
      <c r="L49" s="78">
        <f ca="1"/>
        <v>68.383845833333353</v>
      </c>
      <c r="M49" s="79">
        <f ca="1"/>
        <v>68.383845833333353</v>
      </c>
      <c r="N49" s="156">
        <f t="shared" ca="1" si="5"/>
        <v>820.60615000000018</v>
      </c>
      <c r="O49" s="106">
        <f ca="1"/>
        <v>3.0244485011347529E-2</v>
      </c>
    </row>
    <row r="50" spans="1:15">
      <c r="A50" s="107" t="str">
        <v>Gastos Marketing online fijos</v>
      </c>
      <c r="B50" s="77">
        <v>0</v>
      </c>
      <c r="C50" s="78">
        <v>0</v>
      </c>
      <c r="D50" s="78">
        <v>0</v>
      </c>
      <c r="E50" s="78">
        <v>0</v>
      </c>
      <c r="F50" s="78">
        <v>0</v>
      </c>
      <c r="G50" s="78">
        <v>0</v>
      </c>
      <c r="H50" s="78">
        <v>0</v>
      </c>
      <c r="I50" s="78">
        <v>0</v>
      </c>
      <c r="J50" s="78">
        <v>0</v>
      </c>
      <c r="K50" s="78">
        <v>0</v>
      </c>
      <c r="L50" s="78">
        <v>0</v>
      </c>
      <c r="M50" s="79">
        <v>0</v>
      </c>
      <c r="N50" s="156">
        <f t="shared" si="5"/>
        <v>0</v>
      </c>
      <c r="O50" s="106">
        <f ca="1"/>
        <v>0</v>
      </c>
    </row>
    <row r="51" spans="1:15">
      <c r="A51" s="107" t="str">
        <v>Gastos Marketing off-line variables</v>
      </c>
      <c r="B51" s="77">
        <f ca="1"/>
        <v>68.383845833333353</v>
      </c>
      <c r="C51" s="78">
        <f ca="1"/>
        <v>68.383845833333353</v>
      </c>
      <c r="D51" s="78">
        <f ca="1"/>
        <v>68.383845833333353</v>
      </c>
      <c r="E51" s="78">
        <f ca="1"/>
        <v>68.383845833333353</v>
      </c>
      <c r="F51" s="78">
        <f ca="1"/>
        <v>68.383845833333353</v>
      </c>
      <c r="G51" s="78">
        <f ca="1"/>
        <v>68.383845833333353</v>
      </c>
      <c r="H51" s="78">
        <f ca="1"/>
        <v>68.383845833333353</v>
      </c>
      <c r="I51" s="78">
        <f ca="1"/>
        <v>68.383845833333353</v>
      </c>
      <c r="J51" s="78">
        <f ca="1"/>
        <v>68.383845833333353</v>
      </c>
      <c r="K51" s="78">
        <f ca="1"/>
        <v>68.383845833333353</v>
      </c>
      <c r="L51" s="78">
        <f ca="1"/>
        <v>68.383845833333353</v>
      </c>
      <c r="M51" s="79">
        <f ca="1"/>
        <v>68.383845833333353</v>
      </c>
      <c r="N51" s="156">
        <f t="shared" ca="1" si="5"/>
        <v>820.60615000000018</v>
      </c>
      <c r="O51" s="106">
        <f ca="1"/>
        <v>3.0244485011347529E-2</v>
      </c>
    </row>
    <row r="52" spans="1:15">
      <c r="A52" s="107" t="str">
        <v>Gastos Marketing off-line fijos</v>
      </c>
      <c r="B52" s="77">
        <v>0</v>
      </c>
      <c r="C52" s="78">
        <v>0</v>
      </c>
      <c r="D52" s="78">
        <v>0</v>
      </c>
      <c r="E52" s="78">
        <v>0</v>
      </c>
      <c r="F52" s="78">
        <v>0</v>
      </c>
      <c r="G52" s="78">
        <v>0</v>
      </c>
      <c r="H52" s="78">
        <v>0</v>
      </c>
      <c r="I52" s="78">
        <v>0</v>
      </c>
      <c r="J52" s="78">
        <v>0</v>
      </c>
      <c r="K52" s="78">
        <v>0</v>
      </c>
      <c r="L52" s="78">
        <v>0</v>
      </c>
      <c r="M52" s="79">
        <v>0</v>
      </c>
      <c r="N52" s="156">
        <f t="shared" si="5"/>
        <v>0</v>
      </c>
      <c r="O52" s="106">
        <f ca="1"/>
        <v>0</v>
      </c>
    </row>
    <row r="53" spans="1:15">
      <c r="A53" s="107" t="str">
        <v>Mantenimiento y reparaciones</v>
      </c>
      <c r="B53" s="77">
        <v>0</v>
      </c>
      <c r="C53" s="78">
        <v>0</v>
      </c>
      <c r="D53" s="78">
        <v>0</v>
      </c>
      <c r="E53" s="78">
        <v>0</v>
      </c>
      <c r="F53" s="78">
        <v>0</v>
      </c>
      <c r="G53" s="78">
        <v>0</v>
      </c>
      <c r="H53" s="78">
        <v>0</v>
      </c>
      <c r="I53" s="78">
        <v>0</v>
      </c>
      <c r="J53" s="78">
        <v>0</v>
      </c>
      <c r="K53" s="78">
        <v>0</v>
      </c>
      <c r="L53" s="78">
        <v>0</v>
      </c>
      <c r="M53" s="79">
        <v>0</v>
      </c>
      <c r="N53" s="156">
        <f t="shared" si="5"/>
        <v>0</v>
      </c>
      <c r="O53" s="106">
        <f ca="1"/>
        <v>0</v>
      </c>
    </row>
    <row r="54" spans="1:15" ht="15.75" thickBot="1">
      <c r="A54" s="107" t="str">
        <v>Otros gastos Imprevistos</v>
      </c>
      <c r="B54" s="77">
        <f ca="1"/>
        <v>10.304862060606059</v>
      </c>
      <c r="C54" s="78">
        <f ca="1"/>
        <v>10.304862060606059</v>
      </c>
      <c r="D54" s="78">
        <f ca="1"/>
        <v>10.304862060606059</v>
      </c>
      <c r="E54" s="78">
        <f ca="1"/>
        <v>10.304862060606059</v>
      </c>
      <c r="F54" s="78">
        <f ca="1"/>
        <v>10.304862060606059</v>
      </c>
      <c r="G54" s="78">
        <f ca="1"/>
        <v>10.304862060606059</v>
      </c>
      <c r="H54" s="78">
        <f ca="1"/>
        <v>10.304862060606059</v>
      </c>
      <c r="I54" s="78">
        <f ca="1"/>
        <v>10.304862060606059</v>
      </c>
      <c r="J54" s="78">
        <f ca="1"/>
        <v>10.304862060606059</v>
      </c>
      <c r="K54" s="78">
        <f ca="1"/>
        <v>10.304862060606059</v>
      </c>
      <c r="L54" s="78">
        <f ca="1"/>
        <v>10.304862060606059</v>
      </c>
      <c r="M54" s="79">
        <f ca="1"/>
        <v>10.304862060606059</v>
      </c>
      <c r="N54" s="156">
        <f t="shared" ca="1" si="5"/>
        <v>123.65834472727268</v>
      </c>
      <c r="O54" s="106">
        <f ca="1"/>
        <v>4.5575858207156303E-3</v>
      </c>
    </row>
    <row r="55" spans="1:15" ht="15.75" thickBot="1">
      <c r="A55" s="2450" t="str">
        <f>'G.F. 0'!A55</f>
        <v>Total Otros gastos fijos</v>
      </c>
      <c r="B55" s="2932">
        <f t="shared" ref="B55:M55" ca="1" si="6">SUM(B33:B54)</f>
        <v>147.07255372727278</v>
      </c>
      <c r="C55" s="2933">
        <f t="shared" ca="1" si="6"/>
        <v>147.07255372727278</v>
      </c>
      <c r="D55" s="2933">
        <f t="shared" ca="1" si="6"/>
        <v>147.07255372727278</v>
      </c>
      <c r="E55" s="2933">
        <f t="shared" ca="1" si="6"/>
        <v>147.07255372727278</v>
      </c>
      <c r="F55" s="2933">
        <f t="shared" ca="1" si="6"/>
        <v>147.07255372727278</v>
      </c>
      <c r="G55" s="2933">
        <f t="shared" ca="1" si="6"/>
        <v>147.07255372727278</v>
      </c>
      <c r="H55" s="2933">
        <f t="shared" ca="1" si="6"/>
        <v>147.07255372727278</v>
      </c>
      <c r="I55" s="2933">
        <f t="shared" ca="1" si="6"/>
        <v>147.07255372727278</v>
      </c>
      <c r="J55" s="2933">
        <f t="shared" ca="1" si="6"/>
        <v>147.07255372727278</v>
      </c>
      <c r="K55" s="2933">
        <f t="shared" ca="1" si="6"/>
        <v>147.07255372727278</v>
      </c>
      <c r="L55" s="2933">
        <f t="shared" ca="1" si="6"/>
        <v>147.07255372727278</v>
      </c>
      <c r="M55" s="84">
        <f t="shared" ca="1" si="6"/>
        <v>147.07255372727278</v>
      </c>
      <c r="N55" s="86">
        <f ca="1">SUM(N33:N54)</f>
        <v>1764.870644727273</v>
      </c>
      <c r="O55" s="110">
        <f ca="1">N55/$N$58</f>
        <v>6.5046555843410681E-2</v>
      </c>
    </row>
    <row r="56" spans="1:15">
      <c r="A56" s="87"/>
      <c r="B56" s="100"/>
      <c r="C56" s="100"/>
      <c r="D56" s="100"/>
      <c r="E56" s="100"/>
      <c r="F56" s="100"/>
      <c r="G56" s="100"/>
      <c r="H56" s="100"/>
      <c r="I56" s="100"/>
      <c r="J56" s="100"/>
      <c r="K56" s="100"/>
      <c r="L56" s="100"/>
      <c r="M56" s="100"/>
      <c r="N56" s="61"/>
      <c r="O56" s="99"/>
    </row>
    <row r="57" spans="1:15" ht="15.75" thickBot="1">
      <c r="A57" s="87"/>
      <c r="B57" s="100"/>
      <c r="C57" s="100"/>
      <c r="D57" s="100"/>
      <c r="E57" s="100"/>
      <c r="F57" s="100"/>
      <c r="G57" s="100"/>
      <c r="H57" s="100"/>
      <c r="I57" s="100"/>
      <c r="J57" s="100"/>
      <c r="K57" s="100"/>
      <c r="L57" s="100"/>
      <c r="M57" s="100"/>
      <c r="N57" s="61"/>
      <c r="O57" s="99"/>
    </row>
    <row r="58" spans="1:15" ht="15.75" thickBot="1">
      <c r="A58" s="2452" t="str">
        <f>'G.F. 0'!A58</f>
        <v>Total Gastos Fijos</v>
      </c>
      <c r="B58" s="2934">
        <f t="array" ref="B58:M58" ca="1">B27:M27+B55:M55</f>
        <v>2224.3685537272731</v>
      </c>
      <c r="C58" s="2935">
        <f ca="1"/>
        <v>2224.3685537272731</v>
      </c>
      <c r="D58" s="2935">
        <f ca="1"/>
        <v>2224.3685537272731</v>
      </c>
      <c r="E58" s="2935">
        <f ca="1"/>
        <v>2224.3685537272731</v>
      </c>
      <c r="F58" s="2935">
        <f ca="1"/>
        <v>2224.3685537272731</v>
      </c>
      <c r="G58" s="2935">
        <f ca="1"/>
        <v>2664.3685537272731</v>
      </c>
      <c r="H58" s="2935">
        <f ca="1"/>
        <v>2224.3685537272731</v>
      </c>
      <c r="I58" s="2935">
        <f ca="1"/>
        <v>2224.3685537272731</v>
      </c>
      <c r="J58" s="2935">
        <f ca="1"/>
        <v>2224.3685537272731</v>
      </c>
      <c r="K58" s="2935">
        <f ca="1"/>
        <v>2224.3685537272731</v>
      </c>
      <c r="L58" s="2935">
        <f ca="1"/>
        <v>2224.3685537272731</v>
      </c>
      <c r="M58" s="2936">
        <f ca="1"/>
        <v>2224.3685537272731</v>
      </c>
      <c r="N58" s="145">
        <f ca="1">N27+N55</f>
        <v>27132.42264472727</v>
      </c>
      <c r="O58" s="99"/>
    </row>
    <row r="59" spans="1:15" ht="15.75" thickBot="1">
      <c r="O59" s="99"/>
    </row>
    <row r="60" spans="1:15" ht="15.75" thickBot="1">
      <c r="A60" s="146" t="str">
        <f>'G.F. 0'!A60</f>
        <v>IVA deducible de Gastos fijos</v>
      </c>
      <c r="B60" s="2937">
        <f ca="1">Parametros!$F$33*SUM(B37:B54)</f>
        <v>30.885236282727281</v>
      </c>
      <c r="C60" s="2938">
        <f ca="1">Parametros!$F$33*SUM(C37:C54)</f>
        <v>30.885236282727281</v>
      </c>
      <c r="D60" s="2938">
        <f ca="1">Parametros!$F$33*SUM(D37:D54)</f>
        <v>30.885236282727281</v>
      </c>
      <c r="E60" s="2938">
        <f ca="1">Parametros!$F$33*SUM(E37:E54)</f>
        <v>30.885236282727281</v>
      </c>
      <c r="F60" s="2938">
        <f ca="1">Parametros!$F$33*SUM(F37:F54)</f>
        <v>30.885236282727281</v>
      </c>
      <c r="G60" s="2938">
        <f ca="1">Parametros!$F$33*SUM(G37:G54)</f>
        <v>30.885236282727281</v>
      </c>
      <c r="H60" s="2938">
        <f ca="1">Parametros!$F$33*SUM(H37:H54)</f>
        <v>30.885236282727281</v>
      </c>
      <c r="I60" s="2938">
        <f ca="1">Parametros!$F$33*SUM(I37:I54)</f>
        <v>30.885236282727281</v>
      </c>
      <c r="J60" s="2938">
        <f ca="1">Parametros!$F$33*SUM(J37:J54)</f>
        <v>30.885236282727281</v>
      </c>
      <c r="K60" s="2938">
        <f ca="1">Parametros!$F$33*SUM(K37:K54)</f>
        <v>30.885236282727281</v>
      </c>
      <c r="L60" s="2938">
        <f ca="1">Parametros!$F$33*SUM(L37:L54)</f>
        <v>30.885236282727281</v>
      </c>
      <c r="M60" s="2939">
        <f ca="1">Parametros!$F$33*SUM(M37:M54)</f>
        <v>30.885236282727281</v>
      </c>
      <c r="N60" s="145">
        <f ca="1">SUM(B60:M60)</f>
        <v>370.62283539272744</v>
      </c>
    </row>
  </sheetData>
  <phoneticPr fontId="6" type="noConversion"/>
  <printOptions horizontalCentered="1"/>
  <pageMargins left="0.75" right="0.75" top="0.6692913385826772" bottom="0.52" header="0" footer="0"/>
  <pageSetup paperSize="9" scale="59" orientation="landscape" horizontalDpi="300" r:id="rId1"/>
  <headerFooter alignWithMargins="0"/>
  <legacy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46">
    <tabColor indexed="42"/>
    <pageSetUpPr fitToPage="1"/>
  </sheetPr>
  <dimension ref="A1:O60"/>
  <sheetViews>
    <sheetView workbookViewId="0"/>
  </sheetViews>
  <sheetFormatPr baseColWidth="10" defaultColWidth="11" defaultRowHeight="15"/>
  <cols>
    <col min="1" max="1" width="31.375" style="35" customWidth="1"/>
    <col min="2" max="13" width="11.125" style="35" customWidth="1"/>
    <col min="14" max="14" width="12.75" style="35" customWidth="1"/>
    <col min="15" max="15" width="10.375" style="35" customWidth="1"/>
    <col min="16" max="16384" width="11" style="35"/>
  </cols>
  <sheetData>
    <row r="1" spans="1:15" s="98" customFormat="1" ht="22.5">
      <c r="A1" s="67" t="str">
        <f>'G.F. 0'!A1</f>
        <v>Previsión de Gastos Fijos de la empresa</v>
      </c>
      <c r="B1" s="67"/>
      <c r="C1" s="67"/>
      <c r="D1" s="67"/>
      <c r="E1" s="521" t="str">
        <f>Parametros!F$77</f>
        <v>Año 4:  2030</v>
      </c>
      <c r="F1" s="67"/>
    </row>
    <row r="2" spans="1:15" s="98" customFormat="1" ht="22.5">
      <c r="A2" s="67" t="str">
        <f>'Datos Básicos'!B9</f>
        <v>nombre empresa</v>
      </c>
      <c r="B2" s="67"/>
      <c r="C2" s="67"/>
      <c r="D2" s="67"/>
      <c r="E2" s="67"/>
      <c r="F2" s="67"/>
      <c r="G2" s="67"/>
    </row>
    <row r="3" spans="1:15" ht="15.75" thickBot="1">
      <c r="B3" s="61"/>
      <c r="C3" s="61"/>
      <c r="D3" s="61"/>
      <c r="E3" s="61"/>
      <c r="F3" s="61"/>
      <c r="G3" s="61"/>
    </row>
    <row r="4" spans="1:15" ht="15.75" thickBot="1">
      <c r="A4" s="2808" t="str">
        <f>'G.F. 0'!A4</f>
        <v>Gastos de personal</v>
      </c>
      <c r="B4" s="157" t="str">
        <f t="array" ref="B4:M4">meses</f>
        <v>enero</v>
      </c>
      <c r="C4" s="158" t="str">
        <v>febrero</v>
      </c>
      <c r="D4" s="158" t="str">
        <v>marzo</v>
      </c>
      <c r="E4" s="158" t="str">
        <v>abril</v>
      </c>
      <c r="F4" s="158" t="str">
        <v>mayo</v>
      </c>
      <c r="G4" s="158" t="str">
        <v>junio</v>
      </c>
      <c r="H4" s="158" t="str">
        <v>julio</v>
      </c>
      <c r="I4" s="158" t="str">
        <v>agosto</v>
      </c>
      <c r="J4" s="158" t="str">
        <v>septiembre</v>
      </c>
      <c r="K4" s="158" t="str">
        <v>octubre</v>
      </c>
      <c r="L4" s="158" t="str">
        <v>noviembre</v>
      </c>
      <c r="M4" s="159" t="str">
        <v>diciembre</v>
      </c>
      <c r="N4" s="103" t="str">
        <f>'G.F. 0'!$N$4</f>
        <v>Totales</v>
      </c>
      <c r="O4" s="103" t="s">
        <v>32</v>
      </c>
    </row>
    <row r="5" spans="1:15" ht="15.75" thickBot="1">
      <c r="A5" s="2117"/>
      <c r="B5" s="116"/>
      <c r="C5" s="117"/>
      <c r="D5" s="117"/>
      <c r="E5" s="117"/>
      <c r="F5" s="117"/>
      <c r="G5" s="117"/>
      <c r="H5" s="117"/>
      <c r="I5" s="117"/>
      <c r="J5" s="117"/>
      <c r="K5" s="117"/>
      <c r="L5" s="117"/>
      <c r="M5" s="118"/>
      <c r="N5" s="114"/>
      <c r="O5" s="115"/>
    </row>
    <row r="6" spans="1:15">
      <c r="A6" s="2809" t="str">
        <f>'G.F. 0'!A6</f>
        <v>Sueldos y salarios</v>
      </c>
      <c r="B6" s="88"/>
      <c r="C6" s="89"/>
      <c r="D6" s="89"/>
      <c r="E6" s="89"/>
      <c r="F6" s="89"/>
      <c r="G6" s="89"/>
      <c r="H6" s="89"/>
      <c r="I6" s="89"/>
      <c r="J6" s="89"/>
      <c r="K6" s="89"/>
      <c r="L6" s="89"/>
      <c r="M6" s="90"/>
      <c r="N6" s="76"/>
      <c r="O6" s="105"/>
    </row>
    <row r="7" spans="1:15">
      <c r="A7" s="2810" t="str">
        <f t="array" ref="A7:A14">catlaborales</f>
        <v>Socios/as gestores/as</v>
      </c>
      <c r="B7" s="91">
        <f t="array" ref="B7:M14">'RR.HH.'!$F19:$F26*Plantilla!C85:N92</f>
        <v>1754.7878400000002</v>
      </c>
      <c r="C7" s="92">
        <v>1754.7878400000002</v>
      </c>
      <c r="D7" s="92">
        <v>1754.7878400000002</v>
      </c>
      <c r="E7" s="92">
        <v>1754.7878400000002</v>
      </c>
      <c r="F7" s="92">
        <v>1754.7878400000002</v>
      </c>
      <c r="G7" s="92">
        <v>1754.7878400000002</v>
      </c>
      <c r="H7" s="92">
        <v>1754.7878400000002</v>
      </c>
      <c r="I7" s="92">
        <v>1754.7878400000002</v>
      </c>
      <c r="J7" s="92">
        <v>1754.7878400000002</v>
      </c>
      <c r="K7" s="92">
        <v>1754.7878400000002</v>
      </c>
      <c r="L7" s="92">
        <v>1754.7878400000002</v>
      </c>
      <c r="M7" s="93">
        <v>1754.7878400000002</v>
      </c>
      <c r="N7" s="97">
        <f t="shared" ref="N7:N14" si="0">SUM(B7:M7)</f>
        <v>21057.454080000007</v>
      </c>
      <c r="O7" s="106">
        <f t="array" aca="1" ref="O7:O15" ca="1">N7:N15/$N$27</f>
        <v>0.81816383293183914</v>
      </c>
    </row>
    <row r="8" spans="1:15">
      <c r="A8" s="2810" t="str">
        <v>Otros personas en RETA</v>
      </c>
      <c r="B8" s="91">
        <v>0</v>
      </c>
      <c r="C8" s="92">
        <v>0</v>
      </c>
      <c r="D8" s="92">
        <v>0</v>
      </c>
      <c r="E8" s="92">
        <v>0</v>
      </c>
      <c r="F8" s="92">
        <v>0</v>
      </c>
      <c r="G8" s="92">
        <v>0</v>
      </c>
      <c r="H8" s="92">
        <v>0</v>
      </c>
      <c r="I8" s="92">
        <v>0</v>
      </c>
      <c r="J8" s="92">
        <v>0</v>
      </c>
      <c r="K8" s="92">
        <v>0</v>
      </c>
      <c r="L8" s="92">
        <v>0</v>
      </c>
      <c r="M8" s="93">
        <v>0</v>
      </c>
      <c r="N8" s="97">
        <f t="shared" si="0"/>
        <v>0</v>
      </c>
      <c r="O8" s="106">
        <f ca="1"/>
        <v>0</v>
      </c>
    </row>
    <row r="9" spans="1:15">
      <c r="A9" s="2810" t="str">
        <v>empleado</v>
      </c>
      <c r="B9" s="91">
        <v>0</v>
      </c>
      <c r="C9" s="92">
        <v>0</v>
      </c>
      <c r="D9" s="92">
        <v>0</v>
      </c>
      <c r="E9" s="92">
        <v>0</v>
      </c>
      <c r="F9" s="92">
        <v>0</v>
      </c>
      <c r="G9" s="92">
        <v>0</v>
      </c>
      <c r="H9" s="92">
        <v>0</v>
      </c>
      <c r="I9" s="92">
        <v>0</v>
      </c>
      <c r="J9" s="92">
        <v>0</v>
      </c>
      <c r="K9" s="92">
        <v>0</v>
      </c>
      <c r="L9" s="92">
        <v>0</v>
      </c>
      <c r="M9" s="93">
        <v>0</v>
      </c>
      <c r="N9" s="97">
        <f t="shared" si="0"/>
        <v>0</v>
      </c>
      <c r="O9" s="106">
        <f ca="1"/>
        <v>0</v>
      </c>
    </row>
    <row r="10" spans="1:15">
      <c r="A10" s="2810" t="str">
        <v>encargado</v>
      </c>
      <c r="B10" s="91">
        <v>0</v>
      </c>
      <c r="C10" s="92">
        <v>0</v>
      </c>
      <c r="D10" s="92">
        <v>0</v>
      </c>
      <c r="E10" s="92">
        <v>0</v>
      </c>
      <c r="F10" s="92">
        <v>0</v>
      </c>
      <c r="G10" s="92">
        <v>0</v>
      </c>
      <c r="H10" s="92">
        <v>0</v>
      </c>
      <c r="I10" s="92">
        <v>0</v>
      </c>
      <c r="J10" s="92">
        <v>0</v>
      </c>
      <c r="K10" s="92">
        <v>0</v>
      </c>
      <c r="L10" s="92">
        <v>0</v>
      </c>
      <c r="M10" s="93">
        <v>0</v>
      </c>
      <c r="N10" s="97">
        <f t="shared" si="0"/>
        <v>0</v>
      </c>
      <c r="O10" s="106">
        <f ca="1"/>
        <v>0</v>
      </c>
    </row>
    <row r="11" spans="1:15">
      <c r="A11" s="2810" t="str">
        <v/>
      </c>
      <c r="B11" s="91">
        <v>0</v>
      </c>
      <c r="C11" s="92">
        <v>0</v>
      </c>
      <c r="D11" s="92">
        <v>0</v>
      </c>
      <c r="E11" s="92">
        <v>0</v>
      </c>
      <c r="F11" s="92">
        <v>0</v>
      </c>
      <c r="G11" s="92">
        <v>0</v>
      </c>
      <c r="H11" s="92">
        <v>0</v>
      </c>
      <c r="I11" s="92">
        <v>0</v>
      </c>
      <c r="J11" s="92">
        <v>0</v>
      </c>
      <c r="K11" s="92">
        <v>0</v>
      </c>
      <c r="L11" s="92">
        <v>0</v>
      </c>
      <c r="M11" s="93">
        <v>0</v>
      </c>
      <c r="N11" s="97">
        <f t="shared" si="0"/>
        <v>0</v>
      </c>
      <c r="O11" s="106">
        <f ca="1"/>
        <v>0</v>
      </c>
    </row>
    <row r="12" spans="1:15">
      <c r="A12" s="2810" t="str">
        <v/>
      </c>
      <c r="B12" s="91">
        <v>0</v>
      </c>
      <c r="C12" s="92">
        <v>0</v>
      </c>
      <c r="D12" s="92">
        <v>0</v>
      </c>
      <c r="E12" s="92">
        <v>0</v>
      </c>
      <c r="F12" s="92">
        <v>0</v>
      </c>
      <c r="G12" s="92">
        <v>0</v>
      </c>
      <c r="H12" s="92">
        <v>0</v>
      </c>
      <c r="I12" s="92">
        <v>0</v>
      </c>
      <c r="J12" s="92">
        <v>0</v>
      </c>
      <c r="K12" s="92">
        <v>0</v>
      </c>
      <c r="L12" s="92">
        <v>0</v>
      </c>
      <c r="M12" s="93">
        <v>0</v>
      </c>
      <c r="N12" s="97">
        <f t="shared" si="0"/>
        <v>0</v>
      </c>
      <c r="O12" s="106">
        <f ca="1"/>
        <v>0</v>
      </c>
    </row>
    <row r="13" spans="1:15">
      <c r="A13" s="2810" t="str">
        <v/>
      </c>
      <c r="B13" s="91">
        <v>0</v>
      </c>
      <c r="C13" s="92">
        <v>0</v>
      </c>
      <c r="D13" s="92">
        <v>0</v>
      </c>
      <c r="E13" s="92">
        <v>0</v>
      </c>
      <c r="F13" s="92">
        <v>0</v>
      </c>
      <c r="G13" s="92">
        <v>0</v>
      </c>
      <c r="H13" s="92">
        <v>0</v>
      </c>
      <c r="I13" s="92">
        <v>0</v>
      </c>
      <c r="J13" s="92">
        <v>0</v>
      </c>
      <c r="K13" s="92">
        <v>0</v>
      </c>
      <c r="L13" s="92">
        <v>0</v>
      </c>
      <c r="M13" s="93">
        <v>0</v>
      </c>
      <c r="N13" s="97">
        <f t="shared" si="0"/>
        <v>0</v>
      </c>
      <c r="O13" s="106">
        <f ca="1"/>
        <v>0</v>
      </c>
    </row>
    <row r="14" spans="1:15">
      <c r="A14" s="2810" t="str">
        <v/>
      </c>
      <c r="B14" s="91">
        <v>0</v>
      </c>
      <c r="C14" s="92">
        <v>0</v>
      </c>
      <c r="D14" s="92">
        <v>0</v>
      </c>
      <c r="E14" s="92">
        <v>0</v>
      </c>
      <c r="F14" s="92">
        <v>0</v>
      </c>
      <c r="G14" s="92">
        <v>0</v>
      </c>
      <c r="H14" s="92">
        <v>0</v>
      </c>
      <c r="I14" s="92">
        <v>0</v>
      </c>
      <c r="J14" s="92">
        <v>0</v>
      </c>
      <c r="K14" s="92">
        <v>0</v>
      </c>
      <c r="L14" s="92">
        <v>0</v>
      </c>
      <c r="M14" s="93">
        <v>0</v>
      </c>
      <c r="N14" s="97">
        <f t="shared" si="0"/>
        <v>0</v>
      </c>
      <c r="O14" s="106">
        <f ca="1"/>
        <v>0</v>
      </c>
    </row>
    <row r="15" spans="1:15" ht="15.75" thickBot="1">
      <c r="A15" s="2811" t="str">
        <f>'G.F. 0'!A15</f>
        <v>Total Sueldos y salarios</v>
      </c>
      <c r="B15" s="138">
        <f t="shared" ref="B15:M15" si="1">SUM(B7:B14)</f>
        <v>1754.7878400000002</v>
      </c>
      <c r="C15" s="139">
        <f t="shared" si="1"/>
        <v>1754.7878400000002</v>
      </c>
      <c r="D15" s="139">
        <f t="shared" si="1"/>
        <v>1754.7878400000002</v>
      </c>
      <c r="E15" s="139">
        <f t="shared" si="1"/>
        <v>1754.7878400000002</v>
      </c>
      <c r="F15" s="139">
        <f t="shared" si="1"/>
        <v>1754.7878400000002</v>
      </c>
      <c r="G15" s="139">
        <f t="shared" si="1"/>
        <v>1754.7878400000002</v>
      </c>
      <c r="H15" s="139">
        <f t="shared" si="1"/>
        <v>1754.7878400000002</v>
      </c>
      <c r="I15" s="139">
        <f t="shared" si="1"/>
        <v>1754.7878400000002</v>
      </c>
      <c r="J15" s="139">
        <f t="shared" si="1"/>
        <v>1754.7878400000002</v>
      </c>
      <c r="K15" s="139">
        <f t="shared" si="1"/>
        <v>1754.7878400000002</v>
      </c>
      <c r="L15" s="139">
        <f t="shared" si="1"/>
        <v>1754.7878400000002</v>
      </c>
      <c r="M15" s="140">
        <f t="shared" si="1"/>
        <v>1754.7878400000002</v>
      </c>
      <c r="N15" s="137">
        <f>SUM(B15:M15)</f>
        <v>21057.454080000007</v>
      </c>
      <c r="O15" s="109">
        <f ca="1"/>
        <v>0.81816383293183914</v>
      </c>
    </row>
    <row r="16" spans="1:15" ht="15.75" thickBot="1">
      <c r="A16" s="2812"/>
      <c r="B16" s="130"/>
      <c r="C16" s="131"/>
      <c r="D16" s="131"/>
      <c r="E16" s="131"/>
      <c r="F16" s="131"/>
      <c r="G16" s="131"/>
      <c r="H16" s="131"/>
      <c r="I16" s="131"/>
      <c r="J16" s="131"/>
      <c r="K16" s="131"/>
      <c r="L16" s="131"/>
      <c r="M16" s="132"/>
      <c r="N16" s="126"/>
      <c r="O16" s="127"/>
    </row>
    <row r="17" spans="1:15">
      <c r="A17" s="2809" t="str">
        <f t="array" ref="A17:A20">'G.F. 0'!A17:A20</f>
        <v>Seguros Sociales</v>
      </c>
      <c r="B17" s="88"/>
      <c r="C17" s="89"/>
      <c r="D17" s="89"/>
      <c r="E17" s="89"/>
      <c r="F17" s="89"/>
      <c r="G17" s="3245">
        <f ca="1">+'IRPF Prof y Autónomos'!$F$40</f>
        <v>0</v>
      </c>
      <c r="H17" s="89"/>
      <c r="I17" s="89"/>
      <c r="J17" s="89"/>
      <c r="K17" s="89"/>
      <c r="L17" s="89"/>
      <c r="M17" s="90"/>
      <c r="N17" s="133"/>
      <c r="O17" s="105"/>
    </row>
    <row r="18" spans="1:15">
      <c r="A18" s="144" t="str">
        <v>Seg. Social Socios (R.E.T.A.)</v>
      </c>
      <c r="B18" s="91">
        <f t="array" aca="1" ref="B18" ca="1">SUM('RR.HH.'!$F37:$F38*Plantilla!C85:C86)</f>
        <v>390</v>
      </c>
      <c r="C18" s="92">
        <f t="array" aca="1" ref="C18" ca="1">SUM('RR.HH.'!$F37:$F38*Plantilla!D85:D86)</f>
        <v>390</v>
      </c>
      <c r="D18" s="92">
        <f t="array" aca="1" ref="D18" ca="1">SUM('RR.HH.'!$F37:$F38*Plantilla!E85:E86)</f>
        <v>390</v>
      </c>
      <c r="E18" s="92">
        <f t="array" aca="1" ref="E18" ca="1">SUM('RR.HH.'!$F37:$F38*Plantilla!F85:F86)</f>
        <v>390</v>
      </c>
      <c r="F18" s="92">
        <f t="array" aca="1" ref="F18" ca="1">SUM('RR.HH.'!$F37:$F38*Plantilla!G85:G86)</f>
        <v>390</v>
      </c>
      <c r="G18" s="92">
        <f t="array" aca="1" ref="G18" ca="1">SUM('RR.HH.'!$F37:$F38*Plantilla!H85:H86)</f>
        <v>390</v>
      </c>
      <c r="H18" s="92">
        <f t="array" aca="1" ref="H18" ca="1">SUM('RR.HH.'!$F37:$F38*Plantilla!I85:I86)</f>
        <v>390</v>
      </c>
      <c r="I18" s="92">
        <f t="array" aca="1" ref="I18" ca="1">SUM('RR.HH.'!$F37:$F38*Plantilla!J85:J86)</f>
        <v>390</v>
      </c>
      <c r="J18" s="92">
        <f t="array" aca="1" ref="J18" ca="1">SUM('RR.HH.'!$F37:$F38*Plantilla!K85:K86)</f>
        <v>390</v>
      </c>
      <c r="K18" s="92">
        <f t="array" aca="1" ref="K18" ca="1">SUM('RR.HH.'!$F37:$F38*Plantilla!L85:L86)</f>
        <v>390</v>
      </c>
      <c r="L18" s="92">
        <f t="array" aca="1" ref="L18" ca="1">SUM('RR.HH.'!$F37:$F38*Plantilla!M85:M86)</f>
        <v>390</v>
      </c>
      <c r="M18" s="93">
        <f t="array" aca="1" ref="M18" ca="1">SUM('RR.HH.'!$F37:$F38*Plantilla!N85:N86)</f>
        <v>390</v>
      </c>
      <c r="N18" s="97">
        <f ca="1">SUM(B18:M18)</f>
        <v>4680</v>
      </c>
      <c r="O18" s="106">
        <f t="array" ref="O18:O20" ca="1">N18:N20/$N$27</f>
        <v>0.18183616706816089</v>
      </c>
    </row>
    <row r="19" spans="1:15">
      <c r="A19" s="144" t="str">
        <v>Seg. Social Empleados</v>
      </c>
      <c r="B19" s="91">
        <f t="array" ref="B19">SUM(B9:B14*'RR.HH.'!$F39:$F44)</f>
        <v>0</v>
      </c>
      <c r="C19" s="92">
        <f t="array" ref="C19">SUM(C9:C14*'RR.HH.'!$F39:$F44)</f>
        <v>0</v>
      </c>
      <c r="D19" s="92">
        <f t="array" ref="D19">SUM(D9:D14*'RR.HH.'!$F39:$F44)</f>
        <v>0</v>
      </c>
      <c r="E19" s="92">
        <f t="array" ref="E19">SUM(E9:E14*'RR.HH.'!$F39:$F44)</f>
        <v>0</v>
      </c>
      <c r="F19" s="92">
        <f t="array" ref="F19">SUM(F9:F14*'RR.HH.'!$F39:$F44)</f>
        <v>0</v>
      </c>
      <c r="G19" s="92">
        <f t="array" ref="G19">SUM(G9:G14*'RR.HH.'!$F39:$F44)</f>
        <v>0</v>
      </c>
      <c r="H19" s="92">
        <f t="array" ref="H19">SUM(H9:H14*'RR.HH.'!$F39:$F44)</f>
        <v>0</v>
      </c>
      <c r="I19" s="92">
        <f t="array" ref="I19">SUM(I9:I14*'RR.HH.'!$F39:$F44)</f>
        <v>0</v>
      </c>
      <c r="J19" s="92">
        <f t="array" ref="J19">SUM(J9:J14*'RR.HH.'!$F39:$F44)</f>
        <v>0</v>
      </c>
      <c r="K19" s="92">
        <f t="array" ref="K19">SUM(K9:K14*'RR.HH.'!$F39:$F44)</f>
        <v>0</v>
      </c>
      <c r="L19" s="92">
        <f t="array" ref="L19">SUM(L9:L14*'RR.HH.'!$F39:$F44)</f>
        <v>0</v>
      </c>
      <c r="M19" s="93">
        <f t="array" ref="M19">SUM(M9:M14*'RR.HH.'!$F39:$F44)</f>
        <v>0</v>
      </c>
      <c r="N19" s="97">
        <f>SUM(B19:M19)</f>
        <v>0</v>
      </c>
      <c r="O19" s="106">
        <f ca="1"/>
        <v>0</v>
      </c>
    </row>
    <row r="20" spans="1:15" ht="15.75" thickBot="1">
      <c r="A20" s="2811" t="str">
        <v>Total Seguros Sociales</v>
      </c>
      <c r="B20" s="138">
        <f t="shared" ref="B20:M20" ca="1" si="2">SUM(B18:B19)</f>
        <v>390</v>
      </c>
      <c r="C20" s="139">
        <f t="shared" ca="1" si="2"/>
        <v>390</v>
      </c>
      <c r="D20" s="139">
        <f t="shared" ca="1" si="2"/>
        <v>390</v>
      </c>
      <c r="E20" s="139">
        <f t="shared" ca="1" si="2"/>
        <v>390</v>
      </c>
      <c r="F20" s="139">
        <f t="shared" ca="1" si="2"/>
        <v>390</v>
      </c>
      <c r="G20" s="139">
        <f ca="1">SUM(G17:G19)</f>
        <v>390</v>
      </c>
      <c r="H20" s="139">
        <f t="shared" ca="1" si="2"/>
        <v>390</v>
      </c>
      <c r="I20" s="139">
        <f t="shared" ca="1" si="2"/>
        <v>390</v>
      </c>
      <c r="J20" s="139">
        <f t="shared" ca="1" si="2"/>
        <v>390</v>
      </c>
      <c r="K20" s="139">
        <f t="shared" ca="1" si="2"/>
        <v>390</v>
      </c>
      <c r="L20" s="139">
        <f t="shared" ca="1" si="2"/>
        <v>390</v>
      </c>
      <c r="M20" s="140">
        <f t="shared" ca="1" si="2"/>
        <v>390</v>
      </c>
      <c r="N20" s="137">
        <f ca="1">SUM(B20:M20)</f>
        <v>4680</v>
      </c>
      <c r="O20" s="109">
        <f ca="1"/>
        <v>0.18183616706816089</v>
      </c>
    </row>
    <row r="21" spans="1:15" ht="15.75" thickBot="1">
      <c r="A21" s="2812"/>
      <c r="B21" s="130"/>
      <c r="C21" s="131"/>
      <c r="D21" s="131"/>
      <c r="E21" s="131"/>
      <c r="F21" s="131"/>
      <c r="G21" s="131"/>
      <c r="H21" s="131"/>
      <c r="I21" s="131"/>
      <c r="J21" s="131"/>
      <c r="K21" s="131"/>
      <c r="L21" s="131"/>
      <c r="M21" s="132"/>
      <c r="N21" s="126"/>
      <c r="O21" s="127"/>
    </row>
    <row r="22" spans="1:15">
      <c r="A22" s="2809" t="str">
        <f t="array" ref="A22:A25">'G.F. 0'!A22:A25</f>
        <v>Altas y bajas de personal</v>
      </c>
      <c r="B22" s="88"/>
      <c r="C22" s="89"/>
      <c r="D22" s="89"/>
      <c r="E22" s="89"/>
      <c r="F22" s="89"/>
      <c r="G22" s="89"/>
      <c r="H22" s="89"/>
      <c r="I22" s="89"/>
      <c r="J22" s="89"/>
      <c r="K22" s="89"/>
      <c r="L22" s="89"/>
      <c r="M22" s="90"/>
      <c r="N22" s="133"/>
      <c r="O22" s="105"/>
    </row>
    <row r="23" spans="1:15">
      <c r="A23" s="144" t="str">
        <v>Altas y bajas de socios</v>
      </c>
      <c r="B23" s="94">
        <f t="array" ref="B23:M24">'RR.HH.'!$F53:$F54*Plantilla!C96:N97</f>
        <v>0</v>
      </c>
      <c r="C23" s="95">
        <v>0</v>
      </c>
      <c r="D23" s="95">
        <v>0</v>
      </c>
      <c r="E23" s="95">
        <v>0</v>
      </c>
      <c r="F23" s="95">
        <v>0</v>
      </c>
      <c r="G23" s="95">
        <v>0</v>
      </c>
      <c r="H23" s="95">
        <v>0</v>
      </c>
      <c r="I23" s="95">
        <v>0</v>
      </c>
      <c r="J23" s="95">
        <v>0</v>
      </c>
      <c r="K23" s="95">
        <v>0</v>
      </c>
      <c r="L23" s="95">
        <v>0</v>
      </c>
      <c r="M23" s="96">
        <v>0</v>
      </c>
      <c r="N23" s="97">
        <f>SUM(B23:M23)</f>
        <v>0</v>
      </c>
      <c r="O23" s="106">
        <f t="array" aca="1" ref="O23:O25" ca="1">N23:N25/$N$27</f>
        <v>0</v>
      </c>
    </row>
    <row r="24" spans="1:15">
      <c r="A24" s="144" t="str">
        <v>Altas de empleados</v>
      </c>
      <c r="B24" s="94">
        <v>0</v>
      </c>
      <c r="C24" s="95">
        <v>0</v>
      </c>
      <c r="D24" s="95">
        <v>0</v>
      </c>
      <c r="E24" s="95">
        <v>0</v>
      </c>
      <c r="F24" s="95">
        <v>0</v>
      </c>
      <c r="G24" s="95">
        <v>0</v>
      </c>
      <c r="H24" s="95">
        <v>0</v>
      </c>
      <c r="I24" s="95">
        <v>0</v>
      </c>
      <c r="J24" s="95">
        <v>0</v>
      </c>
      <c r="K24" s="95">
        <v>0</v>
      </c>
      <c r="L24" s="95">
        <v>0</v>
      </c>
      <c r="M24" s="96">
        <v>0</v>
      </c>
      <c r="N24" s="97">
        <f>SUM(B24:M24)</f>
        <v>0</v>
      </c>
      <c r="O24" s="106">
        <f ca="1"/>
        <v>0</v>
      </c>
    </row>
    <row r="25" spans="1:15" ht="15.75" thickBot="1">
      <c r="A25" s="2811" t="str">
        <v>Total Altas y bajas de personal</v>
      </c>
      <c r="B25" s="138">
        <f>SUM(B23:B24)</f>
        <v>0</v>
      </c>
      <c r="C25" s="139">
        <f t="shared" ref="C25:M25" si="3">SUM(C23:C24)</f>
        <v>0</v>
      </c>
      <c r="D25" s="139">
        <f t="shared" si="3"/>
        <v>0</v>
      </c>
      <c r="E25" s="139">
        <f t="shared" si="3"/>
        <v>0</v>
      </c>
      <c r="F25" s="139">
        <f t="shared" si="3"/>
        <v>0</v>
      </c>
      <c r="G25" s="139">
        <f t="shared" si="3"/>
        <v>0</v>
      </c>
      <c r="H25" s="139">
        <f t="shared" si="3"/>
        <v>0</v>
      </c>
      <c r="I25" s="139">
        <f t="shared" si="3"/>
        <v>0</v>
      </c>
      <c r="J25" s="139">
        <f t="shared" si="3"/>
        <v>0</v>
      </c>
      <c r="K25" s="139">
        <f t="shared" si="3"/>
        <v>0</v>
      </c>
      <c r="L25" s="139">
        <f t="shared" si="3"/>
        <v>0</v>
      </c>
      <c r="M25" s="140">
        <f t="shared" si="3"/>
        <v>0</v>
      </c>
      <c r="N25" s="137">
        <f>SUM(B25:M25)</f>
        <v>0</v>
      </c>
      <c r="O25" s="109">
        <f ca="1"/>
        <v>0</v>
      </c>
    </row>
    <row r="26" spans="1:15" ht="15.75" thickBot="1">
      <c r="A26" s="2813"/>
      <c r="B26" s="142"/>
      <c r="C26" s="128"/>
      <c r="D26" s="128"/>
      <c r="E26" s="128"/>
      <c r="F26" s="128"/>
      <c r="G26" s="128"/>
      <c r="H26" s="128"/>
      <c r="I26" s="128"/>
      <c r="J26" s="128"/>
      <c r="K26" s="128"/>
      <c r="L26" s="128"/>
      <c r="M26" s="129"/>
      <c r="N26" s="121"/>
      <c r="O26" s="122"/>
    </row>
    <row r="27" spans="1:15" ht="15.75" thickBot="1">
      <c r="A27" s="2450" t="str">
        <f>'G.F. 0'!A27</f>
        <v>Total Gastos de personal</v>
      </c>
      <c r="B27" s="2932">
        <f t="shared" ref="B27:N27" ca="1" si="4">B25+B20+B15</f>
        <v>2144.78784</v>
      </c>
      <c r="C27" s="2933">
        <f t="shared" ca="1" si="4"/>
        <v>2144.78784</v>
      </c>
      <c r="D27" s="2933">
        <f t="shared" ca="1" si="4"/>
        <v>2144.78784</v>
      </c>
      <c r="E27" s="2933">
        <f t="shared" ca="1" si="4"/>
        <v>2144.78784</v>
      </c>
      <c r="F27" s="2933">
        <f t="shared" ca="1" si="4"/>
        <v>2144.78784</v>
      </c>
      <c r="G27" s="2933">
        <f t="shared" ca="1" si="4"/>
        <v>2144.78784</v>
      </c>
      <c r="H27" s="2933">
        <f t="shared" ca="1" si="4"/>
        <v>2144.78784</v>
      </c>
      <c r="I27" s="2933">
        <f t="shared" ca="1" si="4"/>
        <v>2144.78784</v>
      </c>
      <c r="J27" s="2933">
        <f t="shared" ca="1" si="4"/>
        <v>2144.78784</v>
      </c>
      <c r="K27" s="2933">
        <f t="shared" ca="1" si="4"/>
        <v>2144.78784</v>
      </c>
      <c r="L27" s="2933">
        <f t="shared" ca="1" si="4"/>
        <v>2144.78784</v>
      </c>
      <c r="M27" s="84">
        <f t="shared" ca="1" si="4"/>
        <v>2144.78784</v>
      </c>
      <c r="N27" s="83">
        <f t="shared" ca="1" si="4"/>
        <v>25737.454080000007</v>
      </c>
      <c r="O27" s="110">
        <f ca="1">N27/$N$58</f>
        <v>0.93398824752007725</v>
      </c>
    </row>
    <row r="28" spans="1:15">
      <c r="A28" s="101"/>
      <c r="B28" s="85"/>
      <c r="C28" s="85"/>
      <c r="D28" s="85"/>
      <c r="E28" s="85"/>
      <c r="F28" s="85"/>
      <c r="G28" s="85"/>
      <c r="H28" s="85"/>
      <c r="I28" s="85"/>
      <c r="J28" s="85"/>
      <c r="K28" s="85"/>
      <c r="L28" s="85"/>
      <c r="M28" s="85"/>
      <c r="N28" s="85"/>
      <c r="O28" s="102"/>
    </row>
    <row r="29" spans="1:15">
      <c r="A29" s="87"/>
      <c r="B29" s="85"/>
      <c r="C29" s="85"/>
      <c r="D29" s="85"/>
      <c r="E29" s="85"/>
      <c r="F29" s="85"/>
      <c r="G29" s="85"/>
      <c r="H29" s="85"/>
      <c r="I29" s="85"/>
      <c r="J29" s="85"/>
      <c r="K29" s="85"/>
      <c r="L29" s="85"/>
      <c r="M29" s="85"/>
      <c r="N29" s="85"/>
      <c r="O29" s="99"/>
    </row>
    <row r="30" spans="1:15">
      <c r="A30" s="87"/>
      <c r="B30" s="85"/>
      <c r="C30" s="85"/>
      <c r="D30" s="85"/>
      <c r="E30" s="85"/>
      <c r="F30" s="85"/>
      <c r="G30" s="85"/>
      <c r="H30" s="85"/>
      <c r="I30" s="85"/>
      <c r="J30" s="85"/>
      <c r="K30" s="85"/>
      <c r="L30" s="85"/>
      <c r="M30" s="85"/>
      <c r="N30" s="85"/>
      <c r="O30" s="99"/>
    </row>
    <row r="31" spans="1:15" ht="15.75" thickBot="1">
      <c r="A31" s="87"/>
      <c r="B31" s="85"/>
      <c r="C31" s="85"/>
      <c r="D31" s="85"/>
      <c r="E31" s="85"/>
      <c r="F31" s="85"/>
      <c r="G31" s="85"/>
      <c r="H31" s="85"/>
      <c r="I31" s="85"/>
      <c r="J31" s="85"/>
      <c r="K31" s="85"/>
      <c r="L31" s="85"/>
      <c r="M31" s="85"/>
      <c r="N31" s="85"/>
      <c r="O31" s="99"/>
    </row>
    <row r="32" spans="1:15" ht="15.75" thickBot="1">
      <c r="A32" s="148" t="str">
        <f>'G.F. 0'!A32</f>
        <v>Otros gastos fijos</v>
      </c>
      <c r="B32" s="157" t="str">
        <f t="array" ref="B32:M32">meses</f>
        <v>enero</v>
      </c>
      <c r="C32" s="158" t="str">
        <v>febrero</v>
      </c>
      <c r="D32" s="158" t="str">
        <v>marzo</v>
      </c>
      <c r="E32" s="158" t="str">
        <v>abril</v>
      </c>
      <c r="F32" s="158" t="str">
        <v>mayo</v>
      </c>
      <c r="G32" s="158" t="str">
        <v>junio</v>
      </c>
      <c r="H32" s="158" t="str">
        <v>julio</v>
      </c>
      <c r="I32" s="158" t="str">
        <v>agosto</v>
      </c>
      <c r="J32" s="158" t="str">
        <v>septiembre</v>
      </c>
      <c r="K32" s="158" t="str">
        <v>octubre</v>
      </c>
      <c r="L32" s="158" t="str">
        <v>noviembre</v>
      </c>
      <c r="M32" s="159" t="str">
        <v>diciembre</v>
      </c>
      <c r="N32" s="103" t="str">
        <f>'G.F. 0'!$N$4</f>
        <v>Totales</v>
      </c>
      <c r="O32" s="103" t="s">
        <v>32</v>
      </c>
    </row>
    <row r="33" spans="1:15">
      <c r="A33" s="108" t="str">
        <f t="array" ref="A33:A54">'Gastos Fijos Datos'!A6:A27</f>
        <v>Tributos: IAE, IBI, ...</v>
      </c>
      <c r="B33" s="149">
        <f t="array" ref="B33:M54">IFERROR('Gastos Fijos Datos'!$X6:$X27*'G.F. 3'!$B33:$M54/'G.F. 3'!$N33:$N54,'Gastos Fijos Datos'!$X6:$X27/12)</f>
        <v>0</v>
      </c>
      <c r="C33" s="150">
        <v>0</v>
      </c>
      <c r="D33" s="150">
        <v>0</v>
      </c>
      <c r="E33" s="150">
        <v>0</v>
      </c>
      <c r="F33" s="150">
        <v>0</v>
      </c>
      <c r="G33" s="150">
        <v>0</v>
      </c>
      <c r="H33" s="150">
        <v>0</v>
      </c>
      <c r="I33" s="150">
        <v>0</v>
      </c>
      <c r="J33" s="150">
        <v>0</v>
      </c>
      <c r="K33" s="150">
        <v>0</v>
      </c>
      <c r="L33" s="150">
        <v>0</v>
      </c>
      <c r="M33" s="151">
        <v>0</v>
      </c>
      <c r="N33" s="155">
        <f t="shared" ref="N33:N54" si="5">SUM(B33:M33)</f>
        <v>0</v>
      </c>
      <c r="O33" s="105">
        <f t="array" aca="1" ref="O33:O54" ca="1">N33:N54/$N$58</f>
        <v>0</v>
      </c>
    </row>
    <row r="34" spans="1:15">
      <c r="A34" s="107" t="str">
        <v>Otras gastos fijos ( SIN IVA )</v>
      </c>
      <c r="B34" s="77">
        <v>0</v>
      </c>
      <c r="C34" s="78">
        <v>0</v>
      </c>
      <c r="D34" s="78">
        <v>0</v>
      </c>
      <c r="E34" s="78">
        <v>0</v>
      </c>
      <c r="F34" s="78">
        <v>0</v>
      </c>
      <c r="G34" s="78">
        <v>0</v>
      </c>
      <c r="H34" s="78">
        <v>0</v>
      </c>
      <c r="I34" s="78">
        <v>0</v>
      </c>
      <c r="J34" s="78">
        <v>0</v>
      </c>
      <c r="K34" s="78">
        <v>0</v>
      </c>
      <c r="L34" s="78">
        <v>0</v>
      </c>
      <c r="M34" s="79">
        <v>0</v>
      </c>
      <c r="N34" s="156">
        <f t="shared" si="5"/>
        <v>0</v>
      </c>
      <c r="O34" s="106">
        <f ca="1"/>
        <v>0</v>
      </c>
    </row>
    <row r="35" spans="1:15">
      <c r="A35" s="107" t="str">
        <v>Primas de Seguros</v>
      </c>
      <c r="B35" s="77">
        <v>0</v>
      </c>
      <c r="C35" s="78">
        <v>0</v>
      </c>
      <c r="D35" s="78">
        <v>0</v>
      </c>
      <c r="E35" s="78">
        <v>0</v>
      </c>
      <c r="F35" s="78">
        <v>0</v>
      </c>
      <c r="G35" s="78">
        <v>0</v>
      </c>
      <c r="H35" s="78">
        <v>0</v>
      </c>
      <c r="I35" s="78">
        <v>0</v>
      </c>
      <c r="J35" s="78">
        <v>0</v>
      </c>
      <c r="K35" s="78">
        <v>0</v>
      </c>
      <c r="L35" s="78">
        <v>0</v>
      </c>
      <c r="M35" s="79">
        <v>0</v>
      </c>
      <c r="N35" s="156">
        <f t="shared" si="5"/>
        <v>0</v>
      </c>
      <c r="O35" s="106">
        <f ca="1"/>
        <v>0</v>
      </c>
    </row>
    <row r="36" spans="1:15">
      <c r="A36" s="107" t="str">
        <v>Colegio / asociación profesional</v>
      </c>
      <c r="B36" s="77">
        <v>0</v>
      </c>
      <c r="C36" s="78">
        <v>0</v>
      </c>
      <c r="D36" s="78">
        <v>0</v>
      </c>
      <c r="E36" s="78">
        <v>0</v>
      </c>
      <c r="F36" s="78">
        <v>0</v>
      </c>
      <c r="G36" s="78">
        <v>0</v>
      </c>
      <c r="H36" s="78">
        <v>0</v>
      </c>
      <c r="I36" s="78">
        <v>0</v>
      </c>
      <c r="J36" s="78">
        <v>0</v>
      </c>
      <c r="K36" s="78">
        <v>0</v>
      </c>
      <c r="L36" s="78">
        <v>0</v>
      </c>
      <c r="M36" s="79">
        <v>0</v>
      </c>
      <c r="N36" s="156">
        <f t="shared" si="5"/>
        <v>0</v>
      </c>
      <c r="O36" s="106">
        <f ca="1"/>
        <v>0</v>
      </c>
    </row>
    <row r="37" spans="1:15">
      <c r="A37" s="107" t="str">
        <v>Suministro de Electricidad</v>
      </c>
      <c r="B37" s="77">
        <v>0</v>
      </c>
      <c r="C37" s="78">
        <v>0</v>
      </c>
      <c r="D37" s="78">
        <v>0</v>
      </c>
      <c r="E37" s="78">
        <v>0</v>
      </c>
      <c r="F37" s="78">
        <v>0</v>
      </c>
      <c r="G37" s="78">
        <v>0</v>
      </c>
      <c r="H37" s="78">
        <v>0</v>
      </c>
      <c r="I37" s="78">
        <v>0</v>
      </c>
      <c r="J37" s="78">
        <v>0</v>
      </c>
      <c r="K37" s="78">
        <v>0</v>
      </c>
      <c r="L37" s="78">
        <v>0</v>
      </c>
      <c r="M37" s="79">
        <v>0</v>
      </c>
      <c r="N37" s="156">
        <f t="shared" si="5"/>
        <v>0</v>
      </c>
      <c r="O37" s="106">
        <f ca="1"/>
        <v>0</v>
      </c>
    </row>
    <row r="38" spans="1:15">
      <c r="A38" s="107" t="str">
        <v>Cuotas periódicas de software</v>
      </c>
      <c r="B38" s="77">
        <v>0</v>
      </c>
      <c r="C38" s="78">
        <v>0</v>
      </c>
      <c r="D38" s="78">
        <v>0</v>
      </c>
      <c r="E38" s="78">
        <v>0</v>
      </c>
      <c r="F38" s="78">
        <v>0</v>
      </c>
      <c r="G38" s="78">
        <v>0</v>
      </c>
      <c r="H38" s="78">
        <v>0</v>
      </c>
      <c r="I38" s="78">
        <v>0</v>
      </c>
      <c r="J38" s="78">
        <v>0</v>
      </c>
      <c r="K38" s="78">
        <v>0</v>
      </c>
      <c r="L38" s="78">
        <v>0</v>
      </c>
      <c r="M38" s="79">
        <v>0</v>
      </c>
      <c r="N38" s="156">
        <f t="shared" si="5"/>
        <v>0</v>
      </c>
      <c r="O38" s="106">
        <f ca="1"/>
        <v>0</v>
      </c>
    </row>
    <row r="39" spans="1:15">
      <c r="A39" s="107" t="str">
        <v>Agua, saneamiento y basura</v>
      </c>
      <c r="B39" s="77">
        <v>0</v>
      </c>
      <c r="C39" s="78">
        <v>0</v>
      </c>
      <c r="D39" s="78">
        <v>0</v>
      </c>
      <c r="E39" s="78">
        <v>0</v>
      </c>
      <c r="F39" s="78">
        <v>0</v>
      </c>
      <c r="G39" s="78">
        <v>0</v>
      </c>
      <c r="H39" s="78">
        <v>0</v>
      </c>
      <c r="I39" s="78">
        <v>0</v>
      </c>
      <c r="J39" s="78">
        <v>0</v>
      </c>
      <c r="K39" s="78">
        <v>0</v>
      </c>
      <c r="L39" s="78">
        <v>0</v>
      </c>
      <c r="M39" s="79">
        <v>0</v>
      </c>
      <c r="N39" s="156">
        <f t="shared" si="5"/>
        <v>0</v>
      </c>
      <c r="O39" s="106">
        <f ca="1"/>
        <v>0</v>
      </c>
    </row>
    <row r="40" spans="1:15">
      <c r="A40" s="107" t="str">
        <v>Otros suministros (gas, etc.)</v>
      </c>
      <c r="B40" s="77">
        <v>0</v>
      </c>
      <c r="C40" s="78">
        <v>0</v>
      </c>
      <c r="D40" s="78">
        <v>0</v>
      </c>
      <c r="E40" s="78">
        <v>0</v>
      </c>
      <c r="F40" s="78">
        <v>0</v>
      </c>
      <c r="G40" s="78">
        <v>0</v>
      </c>
      <c r="H40" s="78">
        <v>0</v>
      </c>
      <c r="I40" s="78">
        <v>0</v>
      </c>
      <c r="J40" s="78">
        <v>0</v>
      </c>
      <c r="K40" s="78">
        <v>0</v>
      </c>
      <c r="L40" s="78">
        <v>0</v>
      </c>
      <c r="M40" s="79">
        <v>0</v>
      </c>
      <c r="N40" s="156">
        <f t="shared" si="5"/>
        <v>0</v>
      </c>
      <c r="O40" s="106">
        <f ca="1"/>
        <v>0</v>
      </c>
    </row>
    <row r="41" spans="1:15">
      <c r="A41" s="107" t="str">
        <v>Telefonía / Internet / Comunicaciones</v>
      </c>
      <c r="B41" s="77">
        <v>0</v>
      </c>
      <c r="C41" s="78">
        <v>0</v>
      </c>
      <c r="D41" s="78">
        <v>0</v>
      </c>
      <c r="E41" s="78">
        <v>0</v>
      </c>
      <c r="F41" s="78">
        <v>0</v>
      </c>
      <c r="G41" s="78">
        <v>0</v>
      </c>
      <c r="H41" s="78">
        <v>0</v>
      </c>
      <c r="I41" s="78">
        <v>0</v>
      </c>
      <c r="J41" s="78">
        <v>0</v>
      </c>
      <c r="K41" s="78">
        <v>0</v>
      </c>
      <c r="L41" s="78">
        <v>0</v>
      </c>
      <c r="M41" s="79">
        <v>0</v>
      </c>
      <c r="N41" s="156">
        <f t="shared" si="5"/>
        <v>0</v>
      </c>
      <c r="O41" s="106">
        <f ca="1"/>
        <v>0</v>
      </c>
    </row>
    <row r="42" spans="1:15">
      <c r="A42" s="107" t="str">
        <v>Alojamiento y servicios web</v>
      </c>
      <c r="B42" s="77">
        <v>0</v>
      </c>
      <c r="C42" s="78">
        <v>0</v>
      </c>
      <c r="D42" s="78">
        <v>0</v>
      </c>
      <c r="E42" s="78">
        <v>0</v>
      </c>
      <c r="F42" s="78">
        <v>0</v>
      </c>
      <c r="G42" s="78">
        <v>0</v>
      </c>
      <c r="H42" s="78">
        <v>0</v>
      </c>
      <c r="I42" s="78">
        <v>0</v>
      </c>
      <c r="J42" s="78">
        <v>0</v>
      </c>
      <c r="K42" s="78">
        <v>0</v>
      </c>
      <c r="L42" s="78">
        <v>0</v>
      </c>
      <c r="M42" s="79">
        <v>0</v>
      </c>
      <c r="N42" s="156">
        <f t="shared" si="5"/>
        <v>0</v>
      </c>
      <c r="O42" s="106">
        <f ca="1"/>
        <v>0</v>
      </c>
    </row>
    <row r="43" spans="1:15">
      <c r="A43" s="107" t="str">
        <v>Alarma / Compañía de seguridad</v>
      </c>
      <c r="B43" s="77">
        <v>0</v>
      </c>
      <c r="C43" s="78">
        <v>0</v>
      </c>
      <c r="D43" s="78">
        <v>0</v>
      </c>
      <c r="E43" s="78">
        <v>0</v>
      </c>
      <c r="F43" s="78">
        <v>0</v>
      </c>
      <c r="G43" s="78">
        <v>0</v>
      </c>
      <c r="H43" s="78">
        <v>0</v>
      </c>
      <c r="I43" s="78">
        <v>0</v>
      </c>
      <c r="J43" s="78">
        <v>0</v>
      </c>
      <c r="K43" s="78">
        <v>0</v>
      </c>
      <c r="L43" s="78">
        <v>0</v>
      </c>
      <c r="M43" s="79">
        <v>0</v>
      </c>
      <c r="N43" s="156"/>
      <c r="O43" s="106">
        <f ca="1"/>
        <v>0</v>
      </c>
    </row>
    <row r="44" spans="1:15">
      <c r="A44" s="107" t="str">
        <v>Material de oficina / papelería</v>
      </c>
      <c r="B44" s="77">
        <v>0</v>
      </c>
      <c r="C44" s="78">
        <v>0</v>
      </c>
      <c r="D44" s="78">
        <v>0</v>
      </c>
      <c r="E44" s="78">
        <v>0</v>
      </c>
      <c r="F44" s="78">
        <v>0</v>
      </c>
      <c r="G44" s="78">
        <v>0</v>
      </c>
      <c r="H44" s="78">
        <v>0</v>
      </c>
      <c r="I44" s="78">
        <v>0</v>
      </c>
      <c r="J44" s="78">
        <v>0</v>
      </c>
      <c r="K44" s="78">
        <v>0</v>
      </c>
      <c r="L44" s="78">
        <v>0</v>
      </c>
      <c r="M44" s="79">
        <v>0</v>
      </c>
      <c r="N44" s="156">
        <f t="shared" si="5"/>
        <v>0</v>
      </c>
      <c r="O44" s="106">
        <f ca="1"/>
        <v>0</v>
      </c>
    </row>
    <row r="45" spans="1:15">
      <c r="A45" s="107" t="str">
        <v>Congresos / Ferias / Viajes</v>
      </c>
      <c r="B45" s="77">
        <v>0</v>
      </c>
      <c r="C45" s="78">
        <v>0</v>
      </c>
      <c r="D45" s="78">
        <v>0</v>
      </c>
      <c r="E45" s="78">
        <v>0</v>
      </c>
      <c r="F45" s="78">
        <v>0</v>
      </c>
      <c r="G45" s="78">
        <v>0</v>
      </c>
      <c r="H45" s="78">
        <v>0</v>
      </c>
      <c r="I45" s="78">
        <v>0</v>
      </c>
      <c r="J45" s="78">
        <v>0</v>
      </c>
      <c r="K45" s="78">
        <v>0</v>
      </c>
      <c r="L45" s="78">
        <v>0</v>
      </c>
      <c r="M45" s="79">
        <v>0</v>
      </c>
      <c r="N45" s="156">
        <f t="shared" si="5"/>
        <v>0</v>
      </c>
      <c r="O45" s="106">
        <f ca="1"/>
        <v>0</v>
      </c>
    </row>
    <row r="46" spans="1:15">
      <c r="A46" s="107" t="str">
        <v>Transporte y desplazamientos</v>
      </c>
      <c r="B46" s="77">
        <v>0</v>
      </c>
      <c r="C46" s="78">
        <v>0</v>
      </c>
      <c r="D46" s="78">
        <v>0</v>
      </c>
      <c r="E46" s="78">
        <v>0</v>
      </c>
      <c r="F46" s="78">
        <v>0</v>
      </c>
      <c r="G46" s="78">
        <v>0</v>
      </c>
      <c r="H46" s="78">
        <v>0</v>
      </c>
      <c r="I46" s="78">
        <v>0</v>
      </c>
      <c r="J46" s="78">
        <v>0</v>
      </c>
      <c r="K46" s="78">
        <v>0</v>
      </c>
      <c r="L46" s="78">
        <v>0</v>
      </c>
      <c r="M46" s="79">
        <v>0</v>
      </c>
      <c r="N46" s="156">
        <f t="shared" si="5"/>
        <v>0</v>
      </c>
      <c r="O46" s="106">
        <f ca="1"/>
        <v>0</v>
      </c>
    </row>
    <row r="47" spans="1:15">
      <c r="A47" s="107" t="str">
        <v>Asesoría y profesionales independientes</v>
      </c>
      <c r="B47" s="77">
        <v>0</v>
      </c>
      <c r="C47" s="78">
        <v>0</v>
      </c>
      <c r="D47" s="78">
        <v>0</v>
      </c>
      <c r="E47" s="78">
        <v>0</v>
      </c>
      <c r="F47" s="78">
        <v>0</v>
      </c>
      <c r="G47" s="78">
        <v>0</v>
      </c>
      <c r="H47" s="78">
        <v>0</v>
      </c>
      <c r="I47" s="78">
        <v>0</v>
      </c>
      <c r="J47" s="78">
        <v>0</v>
      </c>
      <c r="K47" s="78">
        <v>0</v>
      </c>
      <c r="L47" s="78">
        <v>0</v>
      </c>
      <c r="M47" s="79">
        <v>0</v>
      </c>
      <c r="N47" s="156">
        <f t="shared" si="5"/>
        <v>0</v>
      </c>
      <c r="O47" s="106">
        <f ca="1"/>
        <v>0</v>
      </c>
    </row>
    <row r="48" spans="1:15">
      <c r="A48" s="107" t="str">
        <v>Arrendamientos / alquileres</v>
      </c>
      <c r="B48" s="77">
        <v>0</v>
      </c>
      <c r="C48" s="78">
        <v>0</v>
      </c>
      <c r="D48" s="78">
        <v>0</v>
      </c>
      <c r="E48" s="78">
        <v>0</v>
      </c>
      <c r="F48" s="78">
        <v>0</v>
      </c>
      <c r="G48" s="78">
        <v>0</v>
      </c>
      <c r="H48" s="78">
        <v>0</v>
      </c>
      <c r="I48" s="78">
        <v>0</v>
      </c>
      <c r="J48" s="78">
        <v>0</v>
      </c>
      <c r="K48" s="78">
        <v>0</v>
      </c>
      <c r="L48" s="78">
        <v>0</v>
      </c>
      <c r="M48" s="79">
        <v>0</v>
      </c>
      <c r="N48" s="156">
        <f t="shared" si="5"/>
        <v>0</v>
      </c>
      <c r="O48" s="106">
        <f ca="1"/>
        <v>0</v>
      </c>
    </row>
    <row r="49" spans="1:15">
      <c r="A49" s="107" t="str">
        <v>Gastos Marketing online variables</v>
      </c>
      <c r="B49" s="77">
        <f ca="1"/>
        <v>70.435361208333347</v>
      </c>
      <c r="C49" s="78">
        <f ca="1"/>
        <v>70.435361208333347</v>
      </c>
      <c r="D49" s="78">
        <f ca="1"/>
        <v>70.435361208333347</v>
      </c>
      <c r="E49" s="78">
        <f ca="1"/>
        <v>70.435361208333347</v>
      </c>
      <c r="F49" s="78">
        <f ca="1"/>
        <v>70.435361208333347</v>
      </c>
      <c r="G49" s="78">
        <f ca="1"/>
        <v>70.435361208333347</v>
      </c>
      <c r="H49" s="78">
        <f ca="1"/>
        <v>70.435361208333347</v>
      </c>
      <c r="I49" s="78">
        <f ca="1"/>
        <v>70.435361208333347</v>
      </c>
      <c r="J49" s="78">
        <f ca="1"/>
        <v>70.435361208333347</v>
      </c>
      <c r="K49" s="78">
        <f ca="1"/>
        <v>70.435361208333347</v>
      </c>
      <c r="L49" s="78">
        <f ca="1"/>
        <v>70.435361208333347</v>
      </c>
      <c r="M49" s="79">
        <f ca="1"/>
        <v>70.435361208333347</v>
      </c>
      <c r="N49" s="156">
        <f t="shared" ca="1" si="5"/>
        <v>845.22433450000017</v>
      </c>
      <c r="O49" s="106">
        <f ca="1"/>
        <v>3.0672404212444097E-2</v>
      </c>
    </row>
    <row r="50" spans="1:15">
      <c r="A50" s="107" t="str">
        <v>Gastos Marketing online fijos</v>
      </c>
      <c r="B50" s="77">
        <v>0</v>
      </c>
      <c r="C50" s="78">
        <v>0</v>
      </c>
      <c r="D50" s="78">
        <v>0</v>
      </c>
      <c r="E50" s="78">
        <v>0</v>
      </c>
      <c r="F50" s="78">
        <v>0</v>
      </c>
      <c r="G50" s="78">
        <v>0</v>
      </c>
      <c r="H50" s="78">
        <v>0</v>
      </c>
      <c r="I50" s="78">
        <v>0</v>
      </c>
      <c r="J50" s="78">
        <v>0</v>
      </c>
      <c r="K50" s="78">
        <v>0</v>
      </c>
      <c r="L50" s="78">
        <v>0</v>
      </c>
      <c r="M50" s="79">
        <v>0</v>
      </c>
      <c r="N50" s="156">
        <f t="shared" si="5"/>
        <v>0</v>
      </c>
      <c r="O50" s="106">
        <f ca="1"/>
        <v>0</v>
      </c>
    </row>
    <row r="51" spans="1:15">
      <c r="A51" s="107" t="str">
        <v>Gastos Marketing off-line variables</v>
      </c>
      <c r="B51" s="77">
        <f ca="1"/>
        <v>70.435361208333347</v>
      </c>
      <c r="C51" s="78">
        <f ca="1"/>
        <v>70.435361208333347</v>
      </c>
      <c r="D51" s="78">
        <f ca="1"/>
        <v>70.435361208333347</v>
      </c>
      <c r="E51" s="78">
        <f ca="1"/>
        <v>70.435361208333347</v>
      </c>
      <c r="F51" s="78">
        <f ca="1"/>
        <v>70.435361208333347</v>
      </c>
      <c r="G51" s="78">
        <f ca="1"/>
        <v>70.435361208333347</v>
      </c>
      <c r="H51" s="78">
        <f ca="1"/>
        <v>70.435361208333347</v>
      </c>
      <c r="I51" s="78">
        <f ca="1"/>
        <v>70.435361208333347</v>
      </c>
      <c r="J51" s="78">
        <f ca="1"/>
        <v>70.435361208333347</v>
      </c>
      <c r="K51" s="78">
        <f ca="1"/>
        <v>70.435361208333347</v>
      </c>
      <c r="L51" s="78">
        <f ca="1"/>
        <v>70.435361208333347</v>
      </c>
      <c r="M51" s="79">
        <f ca="1"/>
        <v>70.435361208333347</v>
      </c>
      <c r="N51" s="156">
        <f t="shared" ca="1" si="5"/>
        <v>845.22433450000017</v>
      </c>
      <c r="O51" s="106">
        <f ca="1"/>
        <v>3.0672404212444097E-2</v>
      </c>
    </row>
    <row r="52" spans="1:15">
      <c r="A52" s="107" t="str">
        <v>Gastos Marketing off-line fijos</v>
      </c>
      <c r="B52" s="77">
        <v>0</v>
      </c>
      <c r="C52" s="78">
        <v>0</v>
      </c>
      <c r="D52" s="78">
        <v>0</v>
      </c>
      <c r="E52" s="78">
        <v>0</v>
      </c>
      <c r="F52" s="78">
        <v>0</v>
      </c>
      <c r="G52" s="78">
        <v>0</v>
      </c>
      <c r="H52" s="78">
        <v>0</v>
      </c>
      <c r="I52" s="78">
        <v>0</v>
      </c>
      <c r="J52" s="78">
        <v>0</v>
      </c>
      <c r="K52" s="78">
        <v>0</v>
      </c>
      <c r="L52" s="78">
        <v>0</v>
      </c>
      <c r="M52" s="79">
        <v>0</v>
      </c>
      <c r="N52" s="156">
        <f t="shared" si="5"/>
        <v>0</v>
      </c>
      <c r="O52" s="106">
        <f ca="1"/>
        <v>0</v>
      </c>
    </row>
    <row r="53" spans="1:15">
      <c r="A53" s="107" t="str">
        <v>Mantenimiento y reparaciones</v>
      </c>
      <c r="B53" s="77">
        <v>0</v>
      </c>
      <c r="C53" s="78">
        <v>0</v>
      </c>
      <c r="D53" s="78">
        <v>0</v>
      </c>
      <c r="E53" s="78">
        <v>0</v>
      </c>
      <c r="F53" s="78">
        <v>0</v>
      </c>
      <c r="G53" s="78">
        <v>0</v>
      </c>
      <c r="H53" s="78">
        <v>0</v>
      </c>
      <c r="I53" s="78">
        <v>0</v>
      </c>
      <c r="J53" s="78">
        <v>0</v>
      </c>
      <c r="K53" s="78">
        <v>0</v>
      </c>
      <c r="L53" s="78">
        <v>0</v>
      </c>
      <c r="M53" s="79">
        <v>0</v>
      </c>
      <c r="N53" s="156">
        <f t="shared" si="5"/>
        <v>0</v>
      </c>
      <c r="O53" s="106">
        <f ca="1"/>
        <v>0</v>
      </c>
    </row>
    <row r="54" spans="1:15" ht="15.75" thickBot="1">
      <c r="A54" s="107" t="str">
        <v>Otros gastos Imprevistos</v>
      </c>
      <c r="B54" s="77">
        <f ca="1"/>
        <v>10.717056543030305</v>
      </c>
      <c r="C54" s="78">
        <f ca="1"/>
        <v>10.717056543030305</v>
      </c>
      <c r="D54" s="78">
        <f ca="1"/>
        <v>10.717056543030305</v>
      </c>
      <c r="E54" s="78">
        <f ca="1"/>
        <v>10.717056543030305</v>
      </c>
      <c r="F54" s="78">
        <f ca="1"/>
        <v>10.717056543030305</v>
      </c>
      <c r="G54" s="78">
        <f ca="1"/>
        <v>10.717056543030305</v>
      </c>
      <c r="H54" s="78">
        <f ca="1"/>
        <v>10.717056543030305</v>
      </c>
      <c r="I54" s="78">
        <f ca="1"/>
        <v>10.717056543030305</v>
      </c>
      <c r="J54" s="78">
        <f ca="1"/>
        <v>10.717056543030305</v>
      </c>
      <c r="K54" s="78">
        <f ca="1"/>
        <v>10.717056543030305</v>
      </c>
      <c r="L54" s="78">
        <f ca="1"/>
        <v>10.717056543030305</v>
      </c>
      <c r="M54" s="79">
        <f ca="1"/>
        <v>10.717056543030305</v>
      </c>
      <c r="N54" s="156">
        <f t="shared" ca="1" si="5"/>
        <v>128.60467851636369</v>
      </c>
      <c r="O54" s="106">
        <f ca="1"/>
        <v>4.6669440550345768E-3</v>
      </c>
    </row>
    <row r="55" spans="1:15" ht="15.75" thickBot="1">
      <c r="A55" s="2450" t="str">
        <f>'G.F. 0'!A55</f>
        <v>Total Otros gastos fijos</v>
      </c>
      <c r="B55" s="2932">
        <f t="shared" ref="B55:M55" ca="1" si="6">SUM(B33:B54)</f>
        <v>151.587778959697</v>
      </c>
      <c r="C55" s="2933">
        <f t="shared" ca="1" si="6"/>
        <v>151.587778959697</v>
      </c>
      <c r="D55" s="2933">
        <f t="shared" ca="1" si="6"/>
        <v>151.587778959697</v>
      </c>
      <c r="E55" s="2933">
        <f t="shared" ca="1" si="6"/>
        <v>151.587778959697</v>
      </c>
      <c r="F55" s="2933">
        <f t="shared" ca="1" si="6"/>
        <v>151.587778959697</v>
      </c>
      <c r="G55" s="2933">
        <f t="shared" ca="1" si="6"/>
        <v>151.587778959697</v>
      </c>
      <c r="H55" s="2933">
        <f t="shared" ca="1" si="6"/>
        <v>151.587778959697</v>
      </c>
      <c r="I55" s="2933">
        <f t="shared" ca="1" si="6"/>
        <v>151.587778959697</v>
      </c>
      <c r="J55" s="2933">
        <f t="shared" ca="1" si="6"/>
        <v>151.587778959697</v>
      </c>
      <c r="K55" s="2933">
        <f t="shared" ca="1" si="6"/>
        <v>151.587778959697</v>
      </c>
      <c r="L55" s="2933">
        <f t="shared" ca="1" si="6"/>
        <v>151.587778959697</v>
      </c>
      <c r="M55" s="84">
        <f t="shared" ca="1" si="6"/>
        <v>151.587778959697</v>
      </c>
      <c r="N55" s="86">
        <f ca="1">SUM(N33:N54)</f>
        <v>1819.0533475163641</v>
      </c>
      <c r="O55" s="110">
        <f ca="1">N55/$N$58</f>
        <v>6.6011752479922775E-2</v>
      </c>
    </row>
    <row r="56" spans="1:15">
      <c r="A56" s="87"/>
      <c r="B56" s="100"/>
      <c r="C56" s="100"/>
      <c r="D56" s="100"/>
      <c r="E56" s="100"/>
      <c r="F56" s="100"/>
      <c r="G56" s="100"/>
      <c r="H56" s="100"/>
      <c r="I56" s="100"/>
      <c r="J56" s="100"/>
      <c r="K56" s="100"/>
      <c r="L56" s="100"/>
      <c r="M56" s="100"/>
      <c r="N56" s="61"/>
      <c r="O56" s="99"/>
    </row>
    <row r="57" spans="1:15" ht="15.75" thickBot="1">
      <c r="A57" s="87"/>
      <c r="B57" s="100"/>
      <c r="C57" s="100"/>
      <c r="D57" s="100"/>
      <c r="E57" s="100"/>
      <c r="F57" s="100"/>
      <c r="G57" s="100"/>
      <c r="H57" s="100"/>
      <c r="I57" s="100"/>
      <c r="J57" s="100"/>
      <c r="K57" s="100"/>
      <c r="L57" s="100"/>
      <c r="M57" s="100"/>
      <c r="N57" s="61"/>
      <c r="O57" s="99"/>
    </row>
    <row r="58" spans="1:15" ht="15.75" thickBot="1">
      <c r="A58" s="2452" t="str">
        <f>'G.F. 0'!A58</f>
        <v>Total Gastos Fijos</v>
      </c>
      <c r="B58" s="2934">
        <f t="array" ref="B58:M58" ca="1">B27:M27+B55:M55</f>
        <v>2296.375618959697</v>
      </c>
      <c r="C58" s="2935">
        <f ca="1"/>
        <v>2296.375618959697</v>
      </c>
      <c r="D58" s="2935">
        <f ca="1"/>
        <v>2296.375618959697</v>
      </c>
      <c r="E58" s="2935">
        <f ca="1"/>
        <v>2296.375618959697</v>
      </c>
      <c r="F58" s="2935">
        <f ca="1"/>
        <v>2296.375618959697</v>
      </c>
      <c r="G58" s="2935">
        <f ca="1"/>
        <v>2296.375618959697</v>
      </c>
      <c r="H58" s="2935">
        <f ca="1"/>
        <v>2296.375618959697</v>
      </c>
      <c r="I58" s="2935">
        <f ca="1"/>
        <v>2296.375618959697</v>
      </c>
      <c r="J58" s="2935">
        <f ca="1"/>
        <v>2296.375618959697</v>
      </c>
      <c r="K58" s="2935">
        <f ca="1"/>
        <v>2296.375618959697</v>
      </c>
      <c r="L58" s="2935">
        <f ca="1"/>
        <v>2296.375618959697</v>
      </c>
      <c r="M58" s="2936">
        <f ca="1"/>
        <v>2296.375618959697</v>
      </c>
      <c r="N58" s="145">
        <f ca="1">N27+N55</f>
        <v>27556.507427516372</v>
      </c>
      <c r="O58" s="99"/>
    </row>
    <row r="59" spans="1:15" ht="15.75" thickBot="1">
      <c r="O59" s="99"/>
    </row>
    <row r="60" spans="1:15" ht="15.75" thickBot="1">
      <c r="A60" s="146" t="str">
        <f>'G.F. 0'!A60</f>
        <v>IVA deducible de Gastos fijos</v>
      </c>
      <c r="B60" s="2937">
        <f ca="1">Parametros!$F$33*SUM(B37:B54)</f>
        <v>31.833433581536369</v>
      </c>
      <c r="C60" s="2938">
        <f ca="1">Parametros!$F$33*SUM(C37:C54)</f>
        <v>31.833433581536369</v>
      </c>
      <c r="D60" s="2938">
        <f ca="1">Parametros!$F$33*SUM(D37:D54)</f>
        <v>31.833433581536369</v>
      </c>
      <c r="E60" s="2938">
        <f ca="1">Parametros!$F$33*SUM(E37:E54)</f>
        <v>31.833433581536369</v>
      </c>
      <c r="F60" s="2938">
        <f ca="1">Parametros!$F$33*SUM(F37:F54)</f>
        <v>31.833433581536369</v>
      </c>
      <c r="G60" s="2938">
        <f ca="1">Parametros!$F$33*SUM(G37:G54)</f>
        <v>31.833433581536369</v>
      </c>
      <c r="H60" s="2938">
        <f ca="1">Parametros!$F$33*SUM(H37:H54)</f>
        <v>31.833433581536369</v>
      </c>
      <c r="I60" s="2938">
        <f ca="1">Parametros!$F$33*SUM(I37:I54)</f>
        <v>31.833433581536369</v>
      </c>
      <c r="J60" s="2938">
        <f ca="1">Parametros!$F$33*SUM(J37:J54)</f>
        <v>31.833433581536369</v>
      </c>
      <c r="K60" s="2938">
        <f ca="1">Parametros!$F$33*SUM(K37:K54)</f>
        <v>31.833433581536369</v>
      </c>
      <c r="L60" s="2938">
        <f ca="1">Parametros!$F$33*SUM(L37:L54)</f>
        <v>31.833433581536369</v>
      </c>
      <c r="M60" s="2939">
        <f ca="1">Parametros!$F$33*SUM(M37:M54)</f>
        <v>31.833433581536369</v>
      </c>
      <c r="N60" s="145">
        <f ca="1">SUM(B60:M60)</f>
        <v>382.00120297843654</v>
      </c>
    </row>
  </sheetData>
  <phoneticPr fontId="6" type="noConversion"/>
  <printOptions horizontalCentered="1"/>
  <pageMargins left="0.75" right="0.75" top="0.6692913385826772" bottom="0.52" header="0" footer="0"/>
  <pageSetup paperSize="9" scale="59" orientation="landscape" horizontalDpi="300" r:id="rId1"/>
  <headerFooter alignWithMargins="0"/>
  <legacyDrawing r:id="rId2"/>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26">
    <tabColor indexed="41"/>
    <pageSetUpPr fitToPage="1"/>
  </sheetPr>
  <dimension ref="A1:P46"/>
  <sheetViews>
    <sheetView workbookViewId="0"/>
  </sheetViews>
  <sheetFormatPr baseColWidth="10" defaultColWidth="11" defaultRowHeight="15"/>
  <cols>
    <col min="1" max="1" width="19.75" style="35" customWidth="1"/>
    <col min="2" max="3" width="11" style="35"/>
    <col min="4" max="4" width="10.25" style="35" customWidth="1"/>
    <col min="5" max="5" width="11.625" style="35" customWidth="1"/>
    <col min="6" max="6" width="12.625" style="35" customWidth="1"/>
    <col min="7" max="7" width="11.125" style="35" customWidth="1"/>
    <col min="8" max="8" width="11.625" style="35" customWidth="1"/>
    <col min="9" max="9" width="12" style="35" customWidth="1"/>
    <col min="10" max="11" width="11" style="35"/>
    <col min="12" max="12" width="11.375" style="35" customWidth="1"/>
    <col min="13" max="14" width="11" style="35"/>
    <col min="15" max="15" width="11.75" style="35" bestFit="1" customWidth="1"/>
    <col min="16" max="17" width="8.625" style="35" customWidth="1"/>
    <col min="18" max="18" width="9.875" style="35" customWidth="1"/>
    <col min="19" max="20" width="8.625" style="35" customWidth="1"/>
    <col min="21" max="16384" width="11" style="35"/>
  </cols>
  <sheetData>
    <row r="1" spans="1:16" s="67" customFormat="1" ht="22.5">
      <c r="A1" s="67" t="str">
        <f>CONCATENATE("Previsiones de liquidaciones de ",'Datos Básicos'!$A$28)</f>
        <v>Previsiones de liquidaciones de IVA</v>
      </c>
      <c r="B1" s="253"/>
      <c r="F1" s="521" t="str">
        <f>Parametros!B$77</f>
        <v>Año 0:  2026</v>
      </c>
      <c r="G1" s="253"/>
    </row>
    <row r="2" spans="1:16" s="67" customFormat="1" ht="22.5">
      <c r="A2" s="67" t="str">
        <f>'Prev.Ventas 0'!A2</f>
        <v>nombre empresa</v>
      </c>
      <c r="B2" s="253"/>
    </row>
    <row r="3" spans="1:16" ht="15.75" thickBot="1">
      <c r="A3" s="1103"/>
      <c r="B3" s="60"/>
      <c r="C3" s="60"/>
      <c r="D3" s="232"/>
      <c r="E3" s="232"/>
      <c r="F3" s="232"/>
      <c r="G3" s="232"/>
      <c r="H3" s="232"/>
      <c r="I3" s="232"/>
      <c r="J3" s="232"/>
      <c r="K3" s="232"/>
      <c r="L3" s="232"/>
      <c r="M3" s="232"/>
      <c r="N3" s="232"/>
      <c r="O3" s="232"/>
      <c r="P3" s="232"/>
    </row>
    <row r="4" spans="1:16" ht="15.75" thickBot="1">
      <c r="A4" s="1136" t="str">
        <f>'Datos Básicos'!$A$28&amp;" Soportado"</f>
        <v>IVA Soportado</v>
      </c>
      <c r="B4" s="427"/>
      <c r="C4" s="158" t="str">
        <f t="array" ref="C4:N4">meses</f>
        <v>enero</v>
      </c>
      <c r="D4" s="158" t="str">
        <v>febrero</v>
      </c>
      <c r="E4" s="158" t="str">
        <v>marzo</v>
      </c>
      <c r="F4" s="158" t="str">
        <v>abril</v>
      </c>
      <c r="G4" s="158" t="str">
        <v>mayo</v>
      </c>
      <c r="H4" s="158" t="str">
        <v>junio</v>
      </c>
      <c r="I4" s="158" t="str">
        <v>julio</v>
      </c>
      <c r="J4" s="158" t="str">
        <v>agosto</v>
      </c>
      <c r="K4" s="158" t="str">
        <v>septiembre</v>
      </c>
      <c r="L4" s="158" t="str">
        <v>octubre</v>
      </c>
      <c r="M4" s="158" t="str">
        <v>noviembre</v>
      </c>
      <c r="N4" s="158" t="str">
        <v>diciembre</v>
      </c>
      <c r="O4" s="159" t="s">
        <v>15</v>
      </c>
    </row>
    <row r="5" spans="1:16">
      <c r="A5" s="2462" t="str">
        <f>'Datos Básicos'!$A$28&amp;" sop. de Compras y C.V."</f>
        <v>IVA sop. de Compras y C.V.</v>
      </c>
      <c r="B5" s="2463"/>
      <c r="C5" s="1104">
        <f t="array" aca="1" ref="C5:N5" ca="1">'Distr CV 0'!B67:M67</f>
        <v>36.750000000000007</v>
      </c>
      <c r="D5" s="1105">
        <f ca="1"/>
        <v>39.283522727272732</v>
      </c>
      <c r="E5" s="1105">
        <f ca="1"/>
        <v>43.153409090909093</v>
      </c>
      <c r="F5" s="1105">
        <f ca="1"/>
        <v>45.352840909090908</v>
      </c>
      <c r="G5" s="1105">
        <f ca="1"/>
        <v>44.211363636363643</v>
      </c>
      <c r="H5" s="1105">
        <f ca="1"/>
        <v>44.40625</v>
      </c>
      <c r="I5" s="1105">
        <f ca="1"/>
        <v>43.93295454545455</v>
      </c>
      <c r="J5" s="1105">
        <f ca="1"/>
        <v>35.77556818181818</v>
      </c>
      <c r="K5" s="1105">
        <f ca="1"/>
        <v>46.327272727272728</v>
      </c>
      <c r="L5" s="1105">
        <f ca="1"/>
        <v>56.544886363636358</v>
      </c>
      <c r="M5" s="1105">
        <f ca="1"/>
        <v>62.085227272727266</v>
      </c>
      <c r="N5" s="1106">
        <f ca="1"/>
        <v>79.318749999999994</v>
      </c>
      <c r="O5" s="1137">
        <f ca="1">SUM(C5:N5)</f>
        <v>577.1420454545455</v>
      </c>
    </row>
    <row r="6" spans="1:16">
      <c r="A6" s="1139" t="str">
        <f>'Datos Básicos'!$A$28&amp;" sop. de Gastos fijos"</f>
        <v>IVA sop. de Gastos fijos</v>
      </c>
      <c r="B6" s="1107"/>
      <c r="C6" s="1105">
        <f t="array" ref="C6:N6" ca="1">'G.F. 0'!B60:M60</f>
        <v>21.161874999999998</v>
      </c>
      <c r="D6" s="1105">
        <f ca="1"/>
        <v>21.161874999999998</v>
      </c>
      <c r="E6" s="1105">
        <f ca="1"/>
        <v>21.161874999999998</v>
      </c>
      <c r="F6" s="1105">
        <f ca="1"/>
        <v>21.161874999999998</v>
      </c>
      <c r="G6" s="1105">
        <f ca="1"/>
        <v>21.161874999999998</v>
      </c>
      <c r="H6" s="1105">
        <f ca="1"/>
        <v>21.161874999999998</v>
      </c>
      <c r="I6" s="1105">
        <f ca="1"/>
        <v>21.161874999999998</v>
      </c>
      <c r="J6" s="1105">
        <f ca="1"/>
        <v>21.161874999999998</v>
      </c>
      <c r="K6" s="1105">
        <f ca="1"/>
        <v>21.161874999999998</v>
      </c>
      <c r="L6" s="1105">
        <f ca="1"/>
        <v>21.161874999999998</v>
      </c>
      <c r="M6" s="1105">
        <f ca="1"/>
        <v>21.161874999999998</v>
      </c>
      <c r="N6" s="1106">
        <f ca="1"/>
        <v>21.161874999999998</v>
      </c>
      <c r="O6" s="1137">
        <f ca="1">SUM(C6:N6)</f>
        <v>253.94250000000002</v>
      </c>
    </row>
    <row r="7" spans="1:16">
      <c r="A7" s="1140" t="str">
        <f>'Datos Básicos'!$A$28&amp;" sop. de inversiones"</f>
        <v>IVA sop. de inversiones</v>
      </c>
      <c r="B7" s="1108"/>
      <c r="C7" s="1105"/>
      <c r="D7" s="1105"/>
      <c r="E7" s="1105"/>
      <c r="F7" s="1105"/>
      <c r="G7" s="1105"/>
      <c r="H7" s="1105"/>
      <c r="I7" s="1105"/>
      <c r="J7" s="1105"/>
      <c r="K7" s="1105"/>
      <c r="L7" s="1105"/>
      <c r="M7" s="1105"/>
      <c r="N7" s="1106"/>
      <c r="O7" s="1137">
        <f>SUM(C7:N7)</f>
        <v>0</v>
      </c>
    </row>
    <row r="8" spans="1:16" ht="15.75" thickBot="1">
      <c r="A8" s="1141" t="str">
        <f>'Datos Básicos'!$A$28&amp;" cuotas Leasing/Renting"</f>
        <v>IVA cuotas Leasing/Renting</v>
      </c>
      <c r="B8" s="1109"/>
      <c r="C8" s="1110">
        <f t="array" ref="C8:N8">Leasing!B24:M24+Renting!B24:M24</f>
        <v>0</v>
      </c>
      <c r="D8" s="1111">
        <v>0</v>
      </c>
      <c r="E8" s="1111">
        <v>0</v>
      </c>
      <c r="F8" s="1111">
        <v>0</v>
      </c>
      <c r="G8" s="1111">
        <v>0</v>
      </c>
      <c r="H8" s="1111">
        <v>0</v>
      </c>
      <c r="I8" s="1111">
        <v>0</v>
      </c>
      <c r="J8" s="1111">
        <v>0</v>
      </c>
      <c r="K8" s="1111">
        <v>0</v>
      </c>
      <c r="L8" s="1111">
        <v>0</v>
      </c>
      <c r="M8" s="1111">
        <v>0</v>
      </c>
      <c r="N8" s="1112">
        <v>0</v>
      </c>
      <c r="O8" s="1138">
        <f>SUM(C8:N8)</f>
        <v>0</v>
      </c>
    </row>
    <row r="9" spans="1:16" ht="15.75" thickBot="1">
      <c r="A9" s="2464"/>
      <c r="B9" s="2466" t="str">
        <f>"Total "&amp;A4</f>
        <v>Total IVA Soportado</v>
      </c>
      <c r="C9" s="1156">
        <f t="shared" ref="C9:O9" ca="1" si="0">SUM(C5:C8)</f>
        <v>57.911875000000009</v>
      </c>
      <c r="D9" s="1157">
        <f t="shared" ca="1" si="0"/>
        <v>60.445397727272734</v>
      </c>
      <c r="E9" s="1157">
        <f t="shared" ca="1" si="0"/>
        <v>64.315284090909088</v>
      </c>
      <c r="F9" s="1157">
        <f t="shared" ca="1" si="0"/>
        <v>66.51471590909091</v>
      </c>
      <c r="G9" s="1157">
        <f t="shared" ca="1" si="0"/>
        <v>65.373238636363638</v>
      </c>
      <c r="H9" s="1157">
        <f t="shared" ca="1" si="0"/>
        <v>65.568124999999995</v>
      </c>
      <c r="I9" s="1157">
        <f t="shared" ca="1" si="0"/>
        <v>65.094829545454544</v>
      </c>
      <c r="J9" s="1157">
        <f t="shared" ca="1" si="0"/>
        <v>56.937443181818182</v>
      </c>
      <c r="K9" s="1157">
        <f t="shared" ca="1" si="0"/>
        <v>67.489147727272723</v>
      </c>
      <c r="L9" s="1157">
        <f t="shared" ca="1" si="0"/>
        <v>77.70676136363636</v>
      </c>
      <c r="M9" s="1157">
        <f t="shared" ca="1" si="0"/>
        <v>83.247102272727261</v>
      </c>
      <c r="N9" s="1158">
        <f t="shared" ca="1" si="0"/>
        <v>100.48062499999999</v>
      </c>
      <c r="O9" s="1159">
        <f t="shared" ca="1" si="0"/>
        <v>831.08454545454549</v>
      </c>
    </row>
    <row r="10" spans="1:16" ht="15.75" thickBot="1">
      <c r="A10" s="1113"/>
      <c r="C10" s="1114"/>
      <c r="D10" s="1114"/>
      <c r="E10" s="1114"/>
      <c r="F10" s="1114"/>
      <c r="G10" s="1114"/>
      <c r="H10" s="1114"/>
      <c r="I10" s="1114"/>
      <c r="J10" s="1114"/>
      <c r="K10" s="1114"/>
      <c r="L10" s="1114"/>
      <c r="M10" s="1114"/>
      <c r="N10" s="1114"/>
      <c r="O10" s="1114"/>
    </row>
    <row r="11" spans="1:16" ht="15.75" thickBot="1">
      <c r="A11" s="3253" t="str">
        <f>"Coeficientes de prorrata "&amp;'Datos Básicos'!B30</f>
        <v>Coeficientes de prorrata Trimestrales</v>
      </c>
      <c r="B11" s="3254"/>
      <c r="C11" s="3255">
        <f t="array" ref="C11:O11">C42:O42</f>
        <v>1</v>
      </c>
      <c r="D11" s="3255">
        <v>0</v>
      </c>
      <c r="E11" s="3256">
        <f ca="1"/>
        <v>0</v>
      </c>
      <c r="F11" s="3255">
        <v>0</v>
      </c>
      <c r="G11" s="3255">
        <v>0</v>
      </c>
      <c r="H11" s="3256">
        <f ca="1"/>
        <v>0</v>
      </c>
      <c r="I11" s="3255">
        <v>0</v>
      </c>
      <c r="J11" s="3255">
        <v>0</v>
      </c>
      <c r="K11" s="3256">
        <f ca="1"/>
        <v>0</v>
      </c>
      <c r="L11" s="3255">
        <v>0</v>
      </c>
      <c r="M11" s="3255">
        <v>0</v>
      </c>
      <c r="N11" s="3256">
        <f ca="1"/>
        <v>0</v>
      </c>
      <c r="O11" s="3252">
        <f ca="1"/>
        <v>1</v>
      </c>
    </row>
    <row r="12" spans="1:16">
      <c r="A12" s="3257" t="str">
        <f>"Total "&amp;'Datos Básicos'!$A$28&amp;" soportado deducible"</f>
        <v>Total IVA soportado deducible</v>
      </c>
      <c r="B12" s="3258"/>
      <c r="C12" s="3259">
        <f t="array" ref="C12:N12" ca="1">$C$11*C9:N9</f>
        <v>57.911875000000009</v>
      </c>
      <c r="D12" s="3259">
        <f ca="1"/>
        <v>60.445397727272734</v>
      </c>
      <c r="E12" s="3259">
        <f ca="1"/>
        <v>64.315284090909088</v>
      </c>
      <c r="F12" s="3259">
        <f ca="1"/>
        <v>66.51471590909091</v>
      </c>
      <c r="G12" s="3259">
        <f ca="1"/>
        <v>65.373238636363638</v>
      </c>
      <c r="H12" s="3259">
        <f ca="1"/>
        <v>65.568124999999995</v>
      </c>
      <c r="I12" s="3259">
        <f ca="1"/>
        <v>65.094829545454544</v>
      </c>
      <c r="J12" s="3259">
        <f ca="1"/>
        <v>56.937443181818182</v>
      </c>
      <c r="K12" s="3259">
        <f ca="1"/>
        <v>67.489147727272723</v>
      </c>
      <c r="L12" s="3259">
        <f ca="1"/>
        <v>77.70676136363636</v>
      </c>
      <c r="M12" s="3259">
        <f ca="1"/>
        <v>83.247102272727261</v>
      </c>
      <c r="N12" s="3259">
        <f ca="1"/>
        <v>100.48062499999999</v>
      </c>
      <c r="O12" s="1153">
        <f ca="1">SUM(C12:N12)</f>
        <v>831.08454545454549</v>
      </c>
    </row>
    <row r="13" spans="1:16" ht="16.5" customHeight="1" thickBot="1">
      <c r="A13" s="225" t="str">
        <f>"Total "&amp;'Datos Básicos'!$A$28&amp;" soportado a gasto"</f>
        <v>Total IVA soportado a gasto</v>
      </c>
      <c r="B13" s="2461"/>
      <c r="C13" s="1154">
        <f t="array" ref="C13:N13" ca="1">C9:N9-C12:N12</f>
        <v>0</v>
      </c>
      <c r="D13" s="1154">
        <f ca="1"/>
        <v>0</v>
      </c>
      <c r="E13" s="1154">
        <f ca="1"/>
        <v>0</v>
      </c>
      <c r="F13" s="1154">
        <f ca="1"/>
        <v>0</v>
      </c>
      <c r="G13" s="1154">
        <f ca="1"/>
        <v>0</v>
      </c>
      <c r="H13" s="1154">
        <f ca="1"/>
        <v>0</v>
      </c>
      <c r="I13" s="1154">
        <f ca="1"/>
        <v>0</v>
      </c>
      <c r="J13" s="1154">
        <f ca="1"/>
        <v>0</v>
      </c>
      <c r="K13" s="1154">
        <f ca="1"/>
        <v>0</v>
      </c>
      <c r="L13" s="1154">
        <f ca="1"/>
        <v>0</v>
      </c>
      <c r="M13" s="1154">
        <f ca="1"/>
        <v>0</v>
      </c>
      <c r="N13" s="1154">
        <f ca="1"/>
        <v>0</v>
      </c>
      <c r="O13" s="1155">
        <f ca="1">SUM(C13:N13)</f>
        <v>0</v>
      </c>
    </row>
    <row r="14" spans="1:16" ht="15.75" thickBot="1"/>
    <row r="15" spans="1:16" ht="15.75" thickBot="1">
      <c r="A15" s="64"/>
      <c r="B15" s="387" t="str">
        <f>"Cuenta Corriente "&amp;'Datos Básicos'!$A$28</f>
        <v>Cuenta Corriente IVA</v>
      </c>
      <c r="C15" s="1149" t="str">
        <f>'Datos Básicos'!$B$32</f>
        <v>No</v>
      </c>
      <c r="D15" s="2432">
        <f>IVAcc</f>
        <v>0</v>
      </c>
      <c r="E15" s="64"/>
      <c r="F15" s="1150" t="str">
        <f>IF(IVAmensual,"Mes","Trimestre")&amp;" Inversión Inicial"</f>
        <v>Trimestre Inversión Inicial</v>
      </c>
      <c r="G15" s="536" t="str">
        <f>IF(IVAmensual=0, IF(mes0&lt;4,"1T",IF(mes0&lt;7,"2T",IF(mes0&lt;10,"3T","4T"))),mes0)</f>
        <v>1T</v>
      </c>
      <c r="L15" s="64"/>
      <c r="M15" s="367"/>
      <c r="N15" s="3249" t="s">
        <v>1250</v>
      </c>
      <c r="O15" s="3250">
        <f ca="1">-O9*($O$11-$C$11)</f>
        <v>0</v>
      </c>
    </row>
    <row r="17" spans="1:15" s="98" customFormat="1" ht="23.25" thickBot="1">
      <c r="A17" s="67" t="str">
        <f>CONCATENATE("Liquidaciones ",'Datos Básicos'!$B$30," de ",'Datos Básicos'!$A$28," de la empresa ")</f>
        <v xml:space="preserve">Liquidaciones Trimestrales de IVA de la empresa </v>
      </c>
      <c r="B17" s="253"/>
      <c r="C17" s="67"/>
      <c r="D17" s="67"/>
      <c r="E17" s="253"/>
      <c r="F17" s="253"/>
    </row>
    <row r="18" spans="1:15" ht="15.75" thickBot="1">
      <c r="A18" s="2453"/>
      <c r="B18" s="2454"/>
      <c r="C18" s="1130" t="str">
        <f t="array" ref="C18:N18">meses</f>
        <v>enero</v>
      </c>
      <c r="D18" s="1130" t="str">
        <v>febrero</v>
      </c>
      <c r="E18" s="1130" t="str">
        <v>marzo</v>
      </c>
      <c r="F18" s="1130" t="str">
        <v>abril</v>
      </c>
      <c r="G18" s="1130" t="str">
        <v>mayo</v>
      </c>
      <c r="H18" s="1130" t="str">
        <v>junio</v>
      </c>
      <c r="I18" s="1130" t="str">
        <v>julio</v>
      </c>
      <c r="J18" s="1130" t="str">
        <v>agosto</v>
      </c>
      <c r="K18" s="1130" t="str">
        <v>septiembre</v>
      </c>
      <c r="L18" s="1130" t="str">
        <v>octubre</v>
      </c>
      <c r="M18" s="1130" t="str">
        <v>noviembre</v>
      </c>
      <c r="N18" s="1130" t="str">
        <v>diciembre</v>
      </c>
      <c r="O18" s="1131" t="str">
        <f>$O$4</f>
        <v>Totales</v>
      </c>
    </row>
    <row r="19" spans="1:15">
      <c r="A19" s="2455" t="str">
        <f>"Total "&amp;'Datos Básicos'!$A$28&amp;" Repercutido"</f>
        <v>Total IVA Repercutido</v>
      </c>
      <c r="B19" s="2456"/>
      <c r="C19" s="1104">
        <f t="array" aca="1" ref="C19" ca="1">SUM(Parametros!$E$24:$E$31*C31:C38)</f>
        <v>367.5</v>
      </c>
      <c r="D19" s="1104">
        <f t="array" aca="1" ref="D19" ca="1">SUM(Parametros!$E$24:$E$31*D31:D38)</f>
        <v>392.83522727272725</v>
      </c>
      <c r="E19" s="1104">
        <f t="array" aca="1" ref="E19" ca="1">SUM(Parametros!$E$24:$E$31*E31:E38)</f>
        <v>431.53409090909093</v>
      </c>
      <c r="F19" s="1104">
        <f t="array" aca="1" ref="F19" ca="1">SUM(Parametros!$E$24:$E$31*F31:F38)</f>
        <v>453.52840909090907</v>
      </c>
      <c r="G19" s="1104">
        <f t="array" aca="1" ref="G19" ca="1">SUM(Parametros!$E$24:$E$31*G31:G38)</f>
        <v>442.11363636363632</v>
      </c>
      <c r="H19" s="1104">
        <f t="array" aca="1" ref="H19" ca="1">SUM(Parametros!$E$24:$E$31*H31:H38)</f>
        <v>444.06249999999994</v>
      </c>
      <c r="I19" s="1104">
        <f t="array" aca="1" ref="I19" ca="1">SUM(Parametros!$E$24:$E$31*I31:I38)</f>
        <v>439.32954545454544</v>
      </c>
      <c r="J19" s="1104">
        <f t="array" aca="1" ref="J19" ca="1">SUM(Parametros!$E$24:$E$31*J31:J38)</f>
        <v>357.75568181818181</v>
      </c>
      <c r="K19" s="1104">
        <f t="array" aca="1" ref="K19" ca="1">SUM(Parametros!$E$24:$E$31*K31:K38)</f>
        <v>463.27272727272725</v>
      </c>
      <c r="L19" s="1104">
        <f t="array" aca="1" ref="L19" ca="1">SUM(Parametros!$E$24:$E$31*L31:L38)</f>
        <v>565.44886363636351</v>
      </c>
      <c r="M19" s="1104">
        <f t="array" aca="1" ref="M19" ca="1">SUM(Parametros!$E$24:$E$31*M31:M38)</f>
        <v>620.85227272727263</v>
      </c>
      <c r="N19" s="1104">
        <f t="array" aca="1" ref="N19" ca="1">SUM(Parametros!$E$24:$E$31*N31:N38)</f>
        <v>793.18749999999989</v>
      </c>
      <c r="O19" s="1133">
        <f ca="1">SUM(C19:N19)</f>
        <v>5771.420454545455</v>
      </c>
    </row>
    <row r="20" spans="1:15">
      <c r="A20" s="2457" t="str">
        <f>"Total "&amp;'Datos Básicos'!$A$28&amp;" soportado deducible"</f>
        <v>Total IVA soportado deducible</v>
      </c>
      <c r="B20" s="2458"/>
      <c r="C20" s="1105">
        <f t="array" ref="C20:N20" ca="1">C12:N12</f>
        <v>57.911875000000009</v>
      </c>
      <c r="D20" s="1105">
        <f ca="1"/>
        <v>60.445397727272734</v>
      </c>
      <c r="E20" s="1105">
        <f ca="1"/>
        <v>64.315284090909088</v>
      </c>
      <c r="F20" s="1105">
        <f ca="1"/>
        <v>66.51471590909091</v>
      </c>
      <c r="G20" s="1105">
        <f ca="1"/>
        <v>65.373238636363638</v>
      </c>
      <c r="H20" s="1105">
        <f ca="1"/>
        <v>65.568124999999995</v>
      </c>
      <c r="I20" s="1105">
        <f ca="1"/>
        <v>65.094829545454544</v>
      </c>
      <c r="J20" s="1105">
        <f ca="1"/>
        <v>56.937443181818182</v>
      </c>
      <c r="K20" s="1105">
        <f ca="1"/>
        <v>67.489147727272723</v>
      </c>
      <c r="L20" s="1105">
        <f ca="1"/>
        <v>77.70676136363636</v>
      </c>
      <c r="M20" s="1105">
        <f ca="1"/>
        <v>83.247102272727261</v>
      </c>
      <c r="N20" s="1105">
        <f ca="1"/>
        <v>100.48062499999999</v>
      </c>
      <c r="O20" s="1128">
        <f ca="1">SUM(C20:N20)</f>
        <v>831.08454545454549</v>
      </c>
    </row>
    <row r="21" spans="1:15" ht="15.75" thickBot="1">
      <c r="A21" s="2459" t="str">
        <f>"Diferencias "&amp;'Datos Básicos'!$A$28</f>
        <v>Diferencias IVA</v>
      </c>
      <c r="B21" s="2460"/>
      <c r="C21" s="1152">
        <f t="array" ref="C21:N21" ca="1">C19:N19-C20:N20</f>
        <v>309.58812499999999</v>
      </c>
      <c r="D21" s="1152">
        <f ca="1"/>
        <v>332.38982954545452</v>
      </c>
      <c r="E21" s="1152">
        <f ca="1"/>
        <v>367.21880681818186</v>
      </c>
      <c r="F21" s="1152">
        <f ca="1"/>
        <v>387.01369318181816</v>
      </c>
      <c r="G21" s="1152">
        <f ca="1"/>
        <v>376.74039772727269</v>
      </c>
      <c r="H21" s="1152">
        <f ca="1"/>
        <v>378.49437499999993</v>
      </c>
      <c r="I21" s="1152">
        <f ca="1"/>
        <v>374.23471590909088</v>
      </c>
      <c r="J21" s="1152">
        <f ca="1"/>
        <v>300.81823863636362</v>
      </c>
      <c r="K21" s="1152">
        <f ca="1"/>
        <v>395.78357954545453</v>
      </c>
      <c r="L21" s="1152">
        <f ca="1"/>
        <v>487.74210227272715</v>
      </c>
      <c r="M21" s="1152">
        <f ca="1"/>
        <v>537.60517045454537</v>
      </c>
      <c r="N21" s="1152">
        <f ca="1"/>
        <v>692.70687499999985</v>
      </c>
      <c r="O21" s="1129">
        <f ca="1">SUM(C21:N21)</f>
        <v>4940.3359090909089</v>
      </c>
    </row>
    <row r="22" spans="1:15" s="48" customFormat="1" ht="19.5" customHeight="1">
      <c r="A22" s="2517" t="str">
        <f>"Cuotas de "&amp;'Datos Básicos'!$A$28</f>
        <v>Cuotas de IVA</v>
      </c>
      <c r="B22" s="2518">
        <f ca="1">-'Inversiones AC'!$H$19-'Inversiones AC'!$G$20+'Financiación Inicial'!$B$28</f>
        <v>0</v>
      </c>
      <c r="C22" s="2519">
        <f ca="1">IF(mes0=1,$B22,0)</f>
        <v>0</v>
      </c>
      <c r="D22" s="2519">
        <f>+IF(IVAmensual=1,  IF(mes0=COLUMN(D$18)-2,$B22,0)
                                            +MIN(C22,0)+C21,0)</f>
        <v>0</v>
      </c>
      <c r="E22" s="2519">
        <f>+IF(IVAmensual=1,  IF(mes0=COLUMN(E$18)-2,$B22,0)
                                            +MIN(D22,0)+D21,0)</f>
        <v>0</v>
      </c>
      <c r="F22" s="2519">
        <f ca="1">IF(IVAmensual=0,   MIN(C22,0)+SUM(C21:E21)
                            +IF(AND(mes0&gt;1,mes0&lt;4),$B22,0), 0 )
+IF(IVAmensual=1,       IF(mes0=COLUMN(F$18)-2,$B22,0)
                                                +MIN(E22,0)+E21,0)</f>
        <v>1009.1967613636364</v>
      </c>
      <c r="G22" s="2519">
        <f>+IF(IVAmensual=1,  IF(mes0=COLUMN(G$18)-2,$B22,0)
                                            +MIN(F22,0)+F21,0)</f>
        <v>0</v>
      </c>
      <c r="H22" s="2519">
        <f>+IF(IVAmensual=1,  IF(mes0=COLUMN(H$18)-2,$B22,0)
                                            +MIN(G22,0)+G21,0)</f>
        <v>0</v>
      </c>
      <c r="I22" s="2519">
        <f ca="1">IF(IVAmensual=0,      MIN(F22,0)+SUM(F21:H21)
                               +IF(AND(mes0&gt;=4,mes0&lt;7),$B22,0),0)
+IF(IVAmensual=1,  IF(mes0=COLUMN(I$18)-2,$B22,0)
                                          +MIN(H22,0)+H21,0)</f>
        <v>1142.2484659090908</v>
      </c>
      <c r="J22" s="2519">
        <f>+IF(IVAmensual=1,  IF(mes0=COLUMN(J$18)-2,$B22,0)
                                            +MIN(I22,0)+I21,0)</f>
        <v>0</v>
      </c>
      <c r="K22" s="2519">
        <f>+IF(IVAmensual=1,  IF(mes0=COLUMN(K$18)-2,$B22,0)
                                            +MIN(J22,0)+J21,0)</f>
        <v>0</v>
      </c>
      <c r="L22" s="2519">
        <f ca="1">IF(IVAmensual=0,    MIN(I22,0)+SUM(I21:K21)
                            +IF(AND(mes0&gt;=7,mes0&lt;10),$B22,0),0)
+IF(IVAmensual=1,  IF(mes0=COLUMN(L$18)-2,$B22,0)
                                          +MIN(K22,0)+K21,0)</f>
        <v>1070.836534090909</v>
      </c>
      <c r="M22" s="2519">
        <f>+IF(IVAmensual=1,  IF(mes0=COLUMN(M$18)-2,$B22,0)
                                            +MIN(L22,0)+L21,0)</f>
        <v>0</v>
      </c>
      <c r="N22" s="2519">
        <f>+IF(IVAmensual=1,  IF(mes0=COLUMN(N$18)-2,$B22,0)
                                            +MIN(M22,0)+M21,0)</f>
        <v>0</v>
      </c>
      <c r="O22" s="3248">
        <f ca="1">IF(IVAmensual=0,     MIN(L22,0)+SUM(L21:N21)+O15
                              +IF(mes0&gt;=10,$B22,0),0)
+IF(IVAmensual=1, +MIN(N22,0)+N21+O15,0)</f>
        <v>1718.0541477272723</v>
      </c>
    </row>
    <row r="23" spans="1:15" ht="10.5" customHeight="1">
      <c r="A23" s="380"/>
      <c r="B23" s="2458"/>
      <c r="C23" s="902"/>
      <c r="D23" s="902"/>
      <c r="E23" s="902"/>
      <c r="F23" s="902"/>
      <c r="G23" s="902"/>
      <c r="H23" s="902"/>
      <c r="I23" s="902"/>
      <c r="J23" s="902"/>
      <c r="K23" s="902"/>
      <c r="L23" s="902"/>
      <c r="M23" s="902"/>
      <c r="N23" s="902"/>
      <c r="O23" s="1134"/>
    </row>
    <row r="24" spans="1:15" s="48" customFormat="1" ht="19.5" customHeight="1" thickBot="1">
      <c r="A24" s="2520" t="str">
        <f>"Liquidaciones de "&amp;'Datos Básicos'!$A$28</f>
        <v>Liquidaciones de IVA</v>
      </c>
      <c r="B24" s="2521"/>
      <c r="C24" s="2522">
        <f t="shared" ref="C24:O24" ca="1" si="1">IF(AND(IVAcc=0,C22&gt;0),C22,0)</f>
        <v>0</v>
      </c>
      <c r="D24" s="2523">
        <f t="shared" si="1"/>
        <v>0</v>
      </c>
      <c r="E24" s="2523">
        <f t="shared" si="1"/>
        <v>0</v>
      </c>
      <c r="F24" s="2523">
        <f t="shared" ca="1" si="1"/>
        <v>1009.1967613636364</v>
      </c>
      <c r="G24" s="2523">
        <f t="shared" si="1"/>
        <v>0</v>
      </c>
      <c r="H24" s="2523">
        <f t="shared" si="1"/>
        <v>0</v>
      </c>
      <c r="I24" s="2523">
        <f t="shared" ca="1" si="1"/>
        <v>1142.2484659090908</v>
      </c>
      <c r="J24" s="2523">
        <f t="shared" si="1"/>
        <v>0</v>
      </c>
      <c r="K24" s="2523">
        <f t="shared" si="1"/>
        <v>0</v>
      </c>
      <c r="L24" s="2523">
        <f t="shared" ca="1" si="1"/>
        <v>1070.836534090909</v>
      </c>
      <c r="M24" s="2523">
        <f t="shared" si="1"/>
        <v>0</v>
      </c>
      <c r="N24" s="2523">
        <f t="shared" si="1"/>
        <v>0</v>
      </c>
      <c r="O24" s="2524">
        <f t="shared" ca="1" si="1"/>
        <v>1718.0541477272723</v>
      </c>
    </row>
    <row r="25" spans="1:15" ht="9" customHeight="1" thickBot="1">
      <c r="C25" s="896"/>
      <c r="D25" s="896"/>
      <c r="E25" s="896"/>
      <c r="F25" s="896"/>
      <c r="G25" s="896"/>
      <c r="H25" s="896"/>
      <c r="I25" s="896"/>
      <c r="J25" s="896"/>
      <c r="K25" s="896"/>
      <c r="L25" s="896"/>
      <c r="M25" s="896"/>
      <c r="N25" s="896"/>
      <c r="O25" s="896"/>
    </row>
    <row r="26" spans="1:15" s="48" customFormat="1" ht="18.75" customHeight="1" thickBot="1">
      <c r="A26" s="2525" t="str">
        <f>"Devoluciones "&amp;'Datos Básicos'!$A$28</f>
        <v>Devoluciones IVA</v>
      </c>
      <c r="B26" s="2526"/>
      <c r="C26" s="2527">
        <f>IF(AND(IVAcc,mes0=1),-$B$22,0)</f>
        <v>0</v>
      </c>
      <c r="D26" s="2528">
        <f>-IF(AND(IVAcc,IVAmensual=1),C21+IF(mes0=COLUMN(D$18)-2,$B$22,0),0)</f>
        <v>0</v>
      </c>
      <c r="E26" s="2528">
        <f>-IF(AND(IVAcc,IVAmensual=1),D21+IF(mes0=COLUMN(E$18)-2,$B$22,0),0)</f>
        <v>0</v>
      </c>
      <c r="F26" s="2528">
        <f>-IF(AND(IVAcc,IVAmensual=0),SUM(C21:E21)+IF(AND(mes0&gt;1,mes0&lt;4),$B$22,0),0)
-IF(AND(IVAcc,IVAmensual=1),E21+IF(mes0=COLUMN(F$18)-2,$B$22,0),0)</f>
        <v>0</v>
      </c>
      <c r="G26" s="2528">
        <f>-IF(AND(IVAcc,IVAmensual=1),F21+IF(mes0=COLUMN(G$18)-2,$B$22,0),0)</f>
        <v>0</v>
      </c>
      <c r="H26" s="2528">
        <f>-IF(AND(IVAcc,IVAmensual=1),G21+IF(mes0=COLUMN(H$18)-2,$B$22,0),0)</f>
        <v>0</v>
      </c>
      <c r="I26" s="2528">
        <f>-IF(AND(IVAcc,IVAmensual=0),SUM(F21:H21)+IF(AND(mes0&gt;=4,mes0&lt;7),$B$22,0),0)
-IF(AND(IVAcc,IVAmensual=1),H21+IF(mes0=COLUMN(I$18)-2,$B$22,0),0)</f>
        <v>0</v>
      </c>
      <c r="J26" s="2528">
        <f>-IF(AND(IVAcc,IVAmensual=1),I21+IF(mes0=COLUMN(J$18)-2,$B$22,0),0)</f>
        <v>0</v>
      </c>
      <c r="K26" s="2528">
        <f>-IF(AND(IVAcc,IVAmensual=1),J21+IF(mes0=COLUMN(K$18)-2,$B$22,0),0)</f>
        <v>0</v>
      </c>
      <c r="L26" s="2528">
        <f>-IF(AND(IVAcc,IVAmensual=0),SUM(I21:K21)+IF(AND(mes0&gt;=7,mes0&lt;10),$B$22,0),0)
-IF(AND(IVAcc,IVAmensual=1),K21+IF(mes0=COLUMN(L$18)-2,$B$22,0),0)</f>
        <v>0</v>
      </c>
      <c r="M26" s="2528">
        <f>-IF(AND(IVAcc,IVAmensual=1),L21+IF(mes0=COLUMN(M$18)-2,$B$22,0),0)</f>
        <v>0</v>
      </c>
      <c r="N26" s="2528">
        <f>-IF(AND(IVAcc,IVAmensual=1),M21+IF(mes0=COLUMN(N$18)-2,$B$22,0),0)</f>
        <v>0</v>
      </c>
      <c r="O26" s="2529">
        <f>-IF(AND(IVAcc,IVAmensual=0),SUM(L21:N21)+IF(mes0&gt;=10,$B$22,0),0)
-IF(AND(IVAcc,IVAmensual=1),N21+IF(mes0=COLUMN(O$18)-2,$B$22,0),0)</f>
        <v>0</v>
      </c>
    </row>
    <row r="29" spans="1:15" s="98" customFormat="1" ht="23.25" thickBot="1">
      <c r="A29" s="67" t="s">
        <v>375</v>
      </c>
      <c r="D29" s="253"/>
      <c r="E29" s="253"/>
    </row>
    <row r="30" spans="1:15" ht="15.75" thickBot="1">
      <c r="A30" s="1142" t="str">
        <f>'Datos Básicos'!$A$28&amp;" repercutido"</f>
        <v>IVA repercutido</v>
      </c>
      <c r="B30" s="103" t="str">
        <f>"tipo "&amp;'Datos Básicos'!$A$28</f>
        <v>tipo IVA</v>
      </c>
      <c r="C30" s="427" t="str">
        <f t="array" ref="C30:N30">meses</f>
        <v>enero</v>
      </c>
      <c r="D30" s="158" t="str">
        <v>febrero</v>
      </c>
      <c r="E30" s="158" t="str">
        <v>marzo</v>
      </c>
      <c r="F30" s="158" t="str">
        <v>abril</v>
      </c>
      <c r="G30" s="158" t="str">
        <v>mayo</v>
      </c>
      <c r="H30" s="158" t="str">
        <v>junio</v>
      </c>
      <c r="I30" s="158" t="str">
        <v>julio</v>
      </c>
      <c r="J30" s="158" t="str">
        <v>agosto</v>
      </c>
      <c r="K30" s="158" t="str">
        <v>septiembre</v>
      </c>
      <c r="L30" s="158" t="str">
        <v>octubre</v>
      </c>
      <c r="M30" s="158" t="str">
        <v>noviembre</v>
      </c>
      <c r="N30" s="158" t="str">
        <v>diciembre</v>
      </c>
      <c r="O30" s="159" t="str">
        <f>$O$4</f>
        <v>Totales</v>
      </c>
    </row>
    <row r="31" spans="1:15">
      <c r="A31" s="1749" t="str">
        <f t="array" ref="A31:A38">productos</f>
        <v>producto o servicio</v>
      </c>
      <c r="B31" s="1115">
        <f t="array" ref="B31:B38">Parametros!E24:E31</f>
        <v>0.21</v>
      </c>
      <c r="C31" s="1116">
        <f t="array" aca="1" ref="C31:N38" ca="1">'Prev.Ventas 0'!B17:M24</f>
        <v>1750</v>
      </c>
      <c r="D31" s="1116">
        <f ca="1"/>
        <v>1870.6439393939395</v>
      </c>
      <c r="E31" s="1116">
        <f ca="1"/>
        <v>2054.9242424242425</v>
      </c>
      <c r="F31" s="1116">
        <f ca="1"/>
        <v>2159.659090909091</v>
      </c>
      <c r="G31" s="1116">
        <f ca="1"/>
        <v>2105.30303030303</v>
      </c>
      <c r="H31" s="1116">
        <f ca="1"/>
        <v>2114.583333333333</v>
      </c>
      <c r="I31" s="1116">
        <f ca="1"/>
        <v>2092.0454545454545</v>
      </c>
      <c r="J31" s="1116">
        <f ca="1"/>
        <v>1703.5984848484848</v>
      </c>
      <c r="K31" s="1116">
        <f ca="1"/>
        <v>2206.060606060606</v>
      </c>
      <c r="L31" s="1116">
        <f ca="1"/>
        <v>2692.613636363636</v>
      </c>
      <c r="M31" s="1116">
        <f ca="1"/>
        <v>2956.4393939393935</v>
      </c>
      <c r="N31" s="1116">
        <f ca="1"/>
        <v>3777.083333333333</v>
      </c>
      <c r="O31" s="1143">
        <f t="shared" ref="O31:O41" ca="1" si="2">SUM(C31:N31)</f>
        <v>27482.95454545454</v>
      </c>
    </row>
    <row r="32" spans="1:15">
      <c r="A32" s="1532" t="str">
        <v/>
      </c>
      <c r="B32" s="1117">
        <v>0.21</v>
      </c>
      <c r="C32" s="1118">
        <f ca="1"/>
        <v>0</v>
      </c>
      <c r="D32" s="1118">
        <f ca="1"/>
        <v>0</v>
      </c>
      <c r="E32" s="1118">
        <f ca="1"/>
        <v>0</v>
      </c>
      <c r="F32" s="1118">
        <f ca="1"/>
        <v>0</v>
      </c>
      <c r="G32" s="1118">
        <f ca="1"/>
        <v>0</v>
      </c>
      <c r="H32" s="1118">
        <f ca="1"/>
        <v>0</v>
      </c>
      <c r="I32" s="1118">
        <f ca="1"/>
        <v>0</v>
      </c>
      <c r="J32" s="1118">
        <f ca="1"/>
        <v>0</v>
      </c>
      <c r="K32" s="1118">
        <f ca="1"/>
        <v>0</v>
      </c>
      <c r="L32" s="1118">
        <f ca="1"/>
        <v>0</v>
      </c>
      <c r="M32" s="1118">
        <f ca="1"/>
        <v>0</v>
      </c>
      <c r="N32" s="1118">
        <f ca="1"/>
        <v>0</v>
      </c>
      <c r="O32" s="1144">
        <f t="shared" ca="1" si="2"/>
        <v>0</v>
      </c>
    </row>
    <row r="33" spans="1:15">
      <c r="A33" s="1532" t="str">
        <v/>
      </c>
      <c r="B33" s="1117">
        <v>0.21</v>
      </c>
      <c r="C33" s="1118">
        <f ca="1"/>
        <v>0</v>
      </c>
      <c r="D33" s="1118">
        <f ca="1"/>
        <v>0</v>
      </c>
      <c r="E33" s="1118">
        <f ca="1"/>
        <v>0</v>
      </c>
      <c r="F33" s="1118">
        <f ca="1"/>
        <v>0</v>
      </c>
      <c r="G33" s="1118">
        <f ca="1"/>
        <v>0</v>
      </c>
      <c r="H33" s="1118">
        <f ca="1"/>
        <v>0</v>
      </c>
      <c r="I33" s="1118">
        <f ca="1"/>
        <v>0</v>
      </c>
      <c r="J33" s="1118">
        <f ca="1"/>
        <v>0</v>
      </c>
      <c r="K33" s="1118">
        <f ca="1"/>
        <v>0</v>
      </c>
      <c r="L33" s="1118">
        <f ca="1"/>
        <v>0</v>
      </c>
      <c r="M33" s="1118">
        <f ca="1"/>
        <v>0</v>
      </c>
      <c r="N33" s="1118">
        <f ca="1"/>
        <v>0</v>
      </c>
      <c r="O33" s="1144">
        <f t="shared" ca="1" si="2"/>
        <v>0</v>
      </c>
    </row>
    <row r="34" spans="1:15">
      <c r="A34" s="1532" t="str">
        <v/>
      </c>
      <c r="B34" s="1117">
        <v>0.21</v>
      </c>
      <c r="C34" s="1118">
        <f ca="1"/>
        <v>0</v>
      </c>
      <c r="D34" s="1118">
        <f ca="1"/>
        <v>0</v>
      </c>
      <c r="E34" s="1118">
        <f ca="1"/>
        <v>0</v>
      </c>
      <c r="F34" s="1118">
        <f ca="1"/>
        <v>0</v>
      </c>
      <c r="G34" s="1118">
        <f ca="1"/>
        <v>0</v>
      </c>
      <c r="H34" s="1118">
        <f ca="1"/>
        <v>0</v>
      </c>
      <c r="I34" s="1118">
        <f ca="1"/>
        <v>0</v>
      </c>
      <c r="J34" s="1118">
        <f ca="1"/>
        <v>0</v>
      </c>
      <c r="K34" s="1118">
        <f ca="1"/>
        <v>0</v>
      </c>
      <c r="L34" s="1118">
        <f ca="1"/>
        <v>0</v>
      </c>
      <c r="M34" s="1118">
        <f ca="1"/>
        <v>0</v>
      </c>
      <c r="N34" s="1118">
        <f ca="1"/>
        <v>0</v>
      </c>
      <c r="O34" s="1144">
        <f t="shared" ca="1" si="2"/>
        <v>0</v>
      </c>
    </row>
    <row r="35" spans="1:15">
      <c r="A35" s="1532" t="str">
        <v/>
      </c>
      <c r="B35" s="1117">
        <v>0.21</v>
      </c>
      <c r="C35" s="1118">
        <f ca="1"/>
        <v>0</v>
      </c>
      <c r="D35" s="1118">
        <f ca="1"/>
        <v>0</v>
      </c>
      <c r="E35" s="1118">
        <f ca="1"/>
        <v>0</v>
      </c>
      <c r="F35" s="1118">
        <f ca="1"/>
        <v>0</v>
      </c>
      <c r="G35" s="1118">
        <f ca="1"/>
        <v>0</v>
      </c>
      <c r="H35" s="1118">
        <f ca="1"/>
        <v>0</v>
      </c>
      <c r="I35" s="1118">
        <f ca="1"/>
        <v>0</v>
      </c>
      <c r="J35" s="1118">
        <f ca="1"/>
        <v>0</v>
      </c>
      <c r="K35" s="1118">
        <f ca="1"/>
        <v>0</v>
      </c>
      <c r="L35" s="1118">
        <f ca="1"/>
        <v>0</v>
      </c>
      <c r="M35" s="1118">
        <f ca="1"/>
        <v>0</v>
      </c>
      <c r="N35" s="1118">
        <f ca="1"/>
        <v>0</v>
      </c>
      <c r="O35" s="1144">
        <f t="shared" ca="1" si="2"/>
        <v>0</v>
      </c>
    </row>
    <row r="36" spans="1:15">
      <c r="A36" s="1532" t="str">
        <v/>
      </c>
      <c r="B36" s="1117">
        <v>0.21</v>
      </c>
      <c r="C36" s="1118">
        <f ca="1"/>
        <v>0</v>
      </c>
      <c r="D36" s="1118">
        <f ca="1"/>
        <v>0</v>
      </c>
      <c r="E36" s="1118">
        <f ca="1"/>
        <v>0</v>
      </c>
      <c r="F36" s="1118">
        <f ca="1"/>
        <v>0</v>
      </c>
      <c r="G36" s="1118">
        <f ca="1"/>
        <v>0</v>
      </c>
      <c r="H36" s="1118">
        <f ca="1"/>
        <v>0</v>
      </c>
      <c r="I36" s="1118">
        <f ca="1"/>
        <v>0</v>
      </c>
      <c r="J36" s="1118">
        <f ca="1"/>
        <v>0</v>
      </c>
      <c r="K36" s="1118">
        <f ca="1"/>
        <v>0</v>
      </c>
      <c r="L36" s="1118">
        <f ca="1"/>
        <v>0</v>
      </c>
      <c r="M36" s="1118">
        <f ca="1"/>
        <v>0</v>
      </c>
      <c r="N36" s="1118">
        <f ca="1"/>
        <v>0</v>
      </c>
      <c r="O36" s="1144">
        <f t="shared" ca="1" si="2"/>
        <v>0</v>
      </c>
    </row>
    <row r="37" spans="1:15">
      <c r="A37" s="1532" t="str">
        <v/>
      </c>
      <c r="B37" s="1117">
        <v>0.21</v>
      </c>
      <c r="C37" s="1118">
        <f ca="1"/>
        <v>0</v>
      </c>
      <c r="D37" s="1118">
        <f ca="1"/>
        <v>0</v>
      </c>
      <c r="E37" s="1118">
        <f ca="1"/>
        <v>0</v>
      </c>
      <c r="F37" s="1118">
        <f ca="1"/>
        <v>0</v>
      </c>
      <c r="G37" s="1118">
        <f ca="1"/>
        <v>0</v>
      </c>
      <c r="H37" s="1118">
        <f ca="1"/>
        <v>0</v>
      </c>
      <c r="I37" s="1118">
        <f ca="1"/>
        <v>0</v>
      </c>
      <c r="J37" s="1118">
        <f ca="1"/>
        <v>0</v>
      </c>
      <c r="K37" s="1118">
        <f ca="1"/>
        <v>0</v>
      </c>
      <c r="L37" s="1118">
        <f ca="1"/>
        <v>0</v>
      </c>
      <c r="M37" s="1118">
        <f ca="1"/>
        <v>0</v>
      </c>
      <c r="N37" s="1118">
        <f ca="1"/>
        <v>0</v>
      </c>
      <c r="O37" s="1144">
        <f t="shared" ca="1" si="2"/>
        <v>0</v>
      </c>
    </row>
    <row r="38" spans="1:15" ht="15.75" thickBot="1">
      <c r="A38" s="1750" t="str">
        <v/>
      </c>
      <c r="B38" s="1119">
        <v>0.21</v>
      </c>
      <c r="C38" s="1120">
        <f ca="1"/>
        <v>0</v>
      </c>
      <c r="D38" s="1120">
        <f ca="1"/>
        <v>0</v>
      </c>
      <c r="E38" s="1120">
        <f ca="1"/>
        <v>0</v>
      </c>
      <c r="F38" s="1120">
        <f ca="1"/>
        <v>0</v>
      </c>
      <c r="G38" s="1120">
        <f ca="1"/>
        <v>0</v>
      </c>
      <c r="H38" s="1120">
        <f ca="1"/>
        <v>0</v>
      </c>
      <c r="I38" s="1120">
        <f ca="1"/>
        <v>0</v>
      </c>
      <c r="J38" s="1120">
        <f ca="1"/>
        <v>0</v>
      </c>
      <c r="K38" s="1120">
        <f ca="1"/>
        <v>0</v>
      </c>
      <c r="L38" s="1120">
        <f ca="1"/>
        <v>0</v>
      </c>
      <c r="M38" s="1120">
        <f ca="1"/>
        <v>0</v>
      </c>
      <c r="N38" s="1120">
        <f ca="1"/>
        <v>0</v>
      </c>
      <c r="O38" s="1145">
        <f t="shared" ca="1" si="2"/>
        <v>0</v>
      </c>
    </row>
    <row r="39" spans="1:15" ht="18" customHeight="1">
      <c r="A39" s="1146" t="str">
        <f>"Ventas sujetas a "&amp;'Datos Básicos'!$A$28</f>
        <v>Ventas sujetas a IVA</v>
      </c>
      <c r="B39" s="202"/>
      <c r="C39" s="1122">
        <f t="shared" ref="C39:N39" ca="1" si="3">SUMIF($B$31:$B$38,"&lt;&gt;0",C31:C38)</f>
        <v>1750</v>
      </c>
      <c r="D39" s="1123">
        <f t="shared" ca="1" si="3"/>
        <v>1870.6439393939395</v>
      </c>
      <c r="E39" s="1123">
        <f t="shared" ca="1" si="3"/>
        <v>2054.9242424242425</v>
      </c>
      <c r="F39" s="1123">
        <f t="shared" ca="1" si="3"/>
        <v>2159.659090909091</v>
      </c>
      <c r="G39" s="1123">
        <f t="shared" ca="1" si="3"/>
        <v>2105.30303030303</v>
      </c>
      <c r="H39" s="1123">
        <f t="shared" ca="1" si="3"/>
        <v>2114.583333333333</v>
      </c>
      <c r="I39" s="1123">
        <f t="shared" ca="1" si="3"/>
        <v>2092.0454545454545</v>
      </c>
      <c r="J39" s="1123">
        <f t="shared" ca="1" si="3"/>
        <v>1703.5984848484848</v>
      </c>
      <c r="K39" s="1123">
        <f t="shared" ca="1" si="3"/>
        <v>2206.060606060606</v>
      </c>
      <c r="L39" s="1123">
        <f t="shared" ca="1" si="3"/>
        <v>2692.613636363636</v>
      </c>
      <c r="M39" s="1123">
        <f t="shared" ca="1" si="3"/>
        <v>2956.4393939393935</v>
      </c>
      <c r="N39" s="1124">
        <f t="shared" ca="1" si="3"/>
        <v>3777.083333333333</v>
      </c>
      <c r="O39" s="1143">
        <f ca="1">SUM(C39:N39)</f>
        <v>27482.95454545454</v>
      </c>
    </row>
    <row r="40" spans="1:15" ht="18" customHeight="1">
      <c r="A40" s="1147" t="str">
        <f>"Ventas exentas de "&amp;'Datos Básicos'!$A$28</f>
        <v>Ventas exentas de IVA</v>
      </c>
      <c r="B40" s="207"/>
      <c r="C40" s="1125">
        <f>SUMIF($B$31:$B$38,"=0",C31:C38)</f>
        <v>0</v>
      </c>
      <c r="D40" s="1126">
        <f>SUMIF($B$31:$B$38,"=0",D31:D38)</f>
        <v>0</v>
      </c>
      <c r="E40" s="1126">
        <f>SUMIF($B$31:$B$38,"=0",E31:E38)</f>
        <v>0</v>
      </c>
      <c r="F40" s="1126">
        <f>SUMIF($B$31:$B$38,"=0",F31:F38)</f>
        <v>0</v>
      </c>
      <c r="G40" s="1126">
        <f t="shared" ref="G40:N40" si="4">SUMIF($B$31:$B$38,"=0",G31:G38)</f>
        <v>0</v>
      </c>
      <c r="H40" s="1126">
        <f t="shared" si="4"/>
        <v>0</v>
      </c>
      <c r="I40" s="1126">
        <f t="shared" si="4"/>
        <v>0</v>
      </c>
      <c r="J40" s="1126">
        <f t="shared" si="4"/>
        <v>0</v>
      </c>
      <c r="K40" s="1126">
        <f t="shared" si="4"/>
        <v>0</v>
      </c>
      <c r="L40" s="1126">
        <f t="shared" si="4"/>
        <v>0</v>
      </c>
      <c r="M40" s="1126">
        <f t="shared" si="4"/>
        <v>0</v>
      </c>
      <c r="N40" s="1127">
        <f t="shared" si="4"/>
        <v>0</v>
      </c>
      <c r="O40" s="1144">
        <f t="shared" si="2"/>
        <v>0</v>
      </c>
    </row>
    <row r="41" spans="1:15" ht="18" customHeight="1">
      <c r="A41" s="1147" t="s">
        <v>272</v>
      </c>
      <c r="B41" s="207"/>
      <c r="C41" s="1125">
        <f t="array" aca="1" ref="C41:N41" ca="1">C40:N40+C39:N39</f>
        <v>1750</v>
      </c>
      <c r="D41" s="1126">
        <f ca="1"/>
        <v>1870.6439393939395</v>
      </c>
      <c r="E41" s="1126">
        <f ca="1"/>
        <v>2054.9242424242425</v>
      </c>
      <c r="F41" s="1126">
        <f ca="1"/>
        <v>2159.659090909091</v>
      </c>
      <c r="G41" s="1126">
        <f ca="1"/>
        <v>2105.30303030303</v>
      </c>
      <c r="H41" s="1126">
        <f ca="1"/>
        <v>2114.583333333333</v>
      </c>
      <c r="I41" s="1126">
        <f ca="1"/>
        <v>2092.0454545454545</v>
      </c>
      <c r="J41" s="1126">
        <f ca="1"/>
        <v>1703.5984848484848</v>
      </c>
      <c r="K41" s="1126">
        <f ca="1"/>
        <v>2206.060606060606</v>
      </c>
      <c r="L41" s="1126">
        <f ca="1"/>
        <v>2692.613636363636</v>
      </c>
      <c r="M41" s="1126">
        <f ca="1"/>
        <v>2956.4393939393935</v>
      </c>
      <c r="N41" s="1127">
        <f ca="1"/>
        <v>3777.083333333333</v>
      </c>
      <c r="O41" s="1144">
        <f t="shared" ca="1" si="2"/>
        <v>27482.95454545454</v>
      </c>
    </row>
    <row r="42" spans="1:15" ht="18" customHeight="1" thickBot="1">
      <c r="A42" s="1148" t="s">
        <v>273</v>
      </c>
      <c r="B42" s="208"/>
      <c r="C42" s="3246">
        <v>1</v>
      </c>
      <c r="D42" s="3246">
        <f>IF(IVAmensual=1,    IF(OR(IVAcc,D41&lt;0.1),1,D39/D41*1+0*1), 0)*0</f>
        <v>0</v>
      </c>
      <c r="E42" s="3246">
        <f ca="1">IF(IVAmensual=1,    IF(OR(IVAcc,E41&lt;0.1),1,E39/E41*1+0*1),     IF(OR(IVAcc, SUM(C41:E41)&lt;0.4), 1, SUM(C39:E39)/SUM(C41:E41)  *1 +0*1 ) )*0</f>
        <v>0</v>
      </c>
      <c r="F42" s="3246">
        <f>IF(IVAmensual=1,    IF(OR(IVAcc,F41&lt;0.1),1,F39/F41*1+0*1), 0)*0</f>
        <v>0</v>
      </c>
      <c r="G42" s="3246">
        <f>IF(IVAmensual=1,    IF(OR(IVAcc,G41&lt;0.1),1,G39/G41*1+0*1), 0)*0</f>
        <v>0</v>
      </c>
      <c r="H42" s="3246">
        <f ca="1">IF(IVAmensual=1,    IF(OR(IVAcc,H41&lt;0.1),1,H39/H41*1+0*1),     IF(OR(IVAcc, SUM(F41:H41)&lt;0.4), 1, SUM(F39:H39)/SUM(F41:H41)  *1 +0*1 ) )*0</f>
        <v>0</v>
      </c>
      <c r="I42" s="3246">
        <f>IF(IVAmensual=1,    IF(OR(IVAcc,I41&lt;0.1),1,I39/I41*1+0*1), 0)*0</f>
        <v>0</v>
      </c>
      <c r="J42" s="3246">
        <f>IF(IVAmensual=1,    IF(OR(IVAcc,J41&lt;0.1),1,J39/J41*1+0*1), 0)*0</f>
        <v>0</v>
      </c>
      <c r="K42" s="3246">
        <f ca="1">IF(IVAmensual=1,    IF(OR(IVAcc,K41&lt;0.1),1,K39/K41*1+0*1),     IF(OR(IVAcc, SUM(I41:K41)&lt;0.4), 1, SUM(I39:K39)/SUM(I41:K41)  *1 +0*1 ) )*0</f>
        <v>0</v>
      </c>
      <c r="L42" s="3246">
        <f>IF(IVAmensual=1,    IF(OR(IVAcc,L41&lt;0.1),1,L39/L41*1+0*1), 0)*0</f>
        <v>0</v>
      </c>
      <c r="M42" s="3246">
        <f>IF(IVAmensual=1,    IF(OR(IVAcc,M41&lt;0.1),1,M39/M41*1+0*1), 0)*0</f>
        <v>0</v>
      </c>
      <c r="N42" s="3246">
        <f ca="1">IF(IVAmensual=1,    IF(OR(IVAcc,N41&lt;0.1),1,N39/N41*1+0*1),     IF(OR(IVAcc, SUM(L41:N41)&lt;0.4), 1, SUM(L39:N39)/SUM(L41:N41)  *1 +0*1 ) )*0</f>
        <v>0</v>
      </c>
      <c r="O42" s="3247">
        <f ca="1" xml:space="preserve"> IF(OR(IVAcc, O41&lt;0.4), 1, O39/O41   )</f>
        <v>1</v>
      </c>
    </row>
    <row r="46" spans="1:15">
      <c r="A46" s="1121"/>
      <c r="C46" s="999"/>
    </row>
  </sheetData>
  <sheetProtection sheet="1" objects="1" scenarios="1"/>
  <phoneticPr fontId="6" type="noConversion"/>
  <conditionalFormatting sqref="C31:N38">
    <cfRule type="expression" dxfId="12" priority="1" stopIfTrue="1">
      <formula>C31=""</formula>
    </cfRule>
  </conditionalFormatting>
  <printOptions horizontalCentered="1"/>
  <pageMargins left="0.57999999999999996" right="0.75" top="0.43" bottom="0.72" header="0" footer="0.37"/>
  <pageSetup paperSize="9" scale="68" orientation="landscape" horizontalDpi="300" r:id="rId1"/>
  <headerFooter alignWithMargins="0"/>
  <legacyDrawing r:id="rId2"/>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7">
    <tabColor indexed="41"/>
    <pageSetUpPr fitToPage="1"/>
  </sheetPr>
  <dimension ref="A1:P42"/>
  <sheetViews>
    <sheetView workbookViewId="0"/>
  </sheetViews>
  <sheetFormatPr baseColWidth="10" defaultColWidth="11" defaultRowHeight="15"/>
  <cols>
    <col min="1" max="1" width="18.625" style="35" customWidth="1"/>
    <col min="2" max="2" width="11" style="35"/>
    <col min="3" max="3" width="13.5" style="35" customWidth="1"/>
    <col min="4" max="5" width="11" style="35"/>
    <col min="6" max="6" width="12.625" style="35" customWidth="1"/>
    <col min="7" max="8" width="11" style="35"/>
    <col min="9" max="9" width="12" style="35" customWidth="1"/>
    <col min="10" max="11" width="11" style="35"/>
    <col min="12" max="12" width="11.375" style="35" customWidth="1"/>
    <col min="13" max="14" width="11" style="35"/>
    <col min="15" max="15" width="11.75" style="35" bestFit="1" customWidth="1"/>
    <col min="16" max="17" width="8.625" style="35" customWidth="1"/>
    <col min="18" max="18" width="9.875" style="35" customWidth="1"/>
    <col min="19" max="20" width="8.625" style="35" customWidth="1"/>
    <col min="21" max="16384" width="11" style="35"/>
  </cols>
  <sheetData>
    <row r="1" spans="1:16" s="67" customFormat="1" ht="22.5">
      <c r="A1" s="67" t="str">
        <f>'IVA 0'!A1</f>
        <v>Previsiones de liquidaciones de IVA</v>
      </c>
      <c r="B1" s="253"/>
      <c r="F1" s="521" t="str">
        <f>Parametros!C$77</f>
        <v>Año 1:  2027</v>
      </c>
      <c r="G1" s="253"/>
    </row>
    <row r="2" spans="1:16" s="67" customFormat="1" ht="22.5">
      <c r="A2" s="67" t="str">
        <f>'Prev.Ventas 0'!A2</f>
        <v>nombre empresa</v>
      </c>
      <c r="B2" s="253"/>
    </row>
    <row r="3" spans="1:16" ht="15.75" thickBot="1">
      <c r="A3" s="1103"/>
      <c r="B3" s="60"/>
      <c r="C3" s="60"/>
      <c r="D3" s="232"/>
      <c r="E3" s="232"/>
      <c r="F3" s="232"/>
      <c r="G3" s="232"/>
      <c r="H3" s="232"/>
      <c r="I3" s="232"/>
      <c r="J3" s="232"/>
      <c r="K3" s="232"/>
      <c r="L3" s="232"/>
      <c r="M3" s="232"/>
      <c r="N3" s="232"/>
      <c r="O3" s="232"/>
      <c r="P3" s="232"/>
    </row>
    <row r="4" spans="1:16" ht="15.75" thickBot="1">
      <c r="A4" s="1136" t="str">
        <f t="array" ref="A4:A8">'IVA 0'!A4:A8</f>
        <v>IVA Soportado</v>
      </c>
      <c r="B4" s="427"/>
      <c r="C4" s="158" t="str">
        <f t="array" ref="C4:N4">meses</f>
        <v>enero</v>
      </c>
      <c r="D4" s="158" t="str">
        <v>febrero</v>
      </c>
      <c r="E4" s="158" t="str">
        <v>marzo</v>
      </c>
      <c r="F4" s="158" t="str">
        <v>abril</v>
      </c>
      <c r="G4" s="158" t="str">
        <v>mayo</v>
      </c>
      <c r="H4" s="158" t="str">
        <v>junio</v>
      </c>
      <c r="I4" s="158" t="str">
        <v>julio</v>
      </c>
      <c r="J4" s="158" t="str">
        <v>agosto</v>
      </c>
      <c r="K4" s="158" t="str">
        <v>septiembre</v>
      </c>
      <c r="L4" s="158" t="str">
        <v>octubre</v>
      </c>
      <c r="M4" s="158" t="str">
        <v>noviembre</v>
      </c>
      <c r="N4" s="158" t="str">
        <v>diciembre</v>
      </c>
      <c r="O4" s="159" t="str">
        <f>'IVA 0'!$O$4</f>
        <v>Totales</v>
      </c>
    </row>
    <row r="5" spans="1:16">
      <c r="A5" s="2462" t="str">
        <v>IVA sop. de Compras y C.V.</v>
      </c>
      <c r="B5" s="2463"/>
      <c r="C5" s="1104">
        <f t="array" aca="1" ref="C5:N5" ca="1">'Distr CV 1'!B67:M67</f>
        <v>58.8</v>
      </c>
      <c r="D5" s="1105">
        <f ca="1"/>
        <v>73.500000000000014</v>
      </c>
      <c r="E5" s="1105">
        <f ca="1"/>
        <v>80.850000000000009</v>
      </c>
      <c r="F5" s="1105">
        <f ca="1"/>
        <v>77.175000000000011</v>
      </c>
      <c r="G5" s="1105">
        <f ca="1"/>
        <v>66.150000000000006</v>
      </c>
      <c r="H5" s="1105">
        <f ca="1"/>
        <v>62.474999999999994</v>
      </c>
      <c r="I5" s="1105">
        <f ca="1"/>
        <v>58.8</v>
      </c>
      <c r="J5" s="1105">
        <f ca="1"/>
        <v>44.1</v>
      </c>
      <c r="K5" s="1105">
        <f ca="1"/>
        <v>58.8</v>
      </c>
      <c r="L5" s="1105">
        <f ca="1"/>
        <v>69.825000000000003</v>
      </c>
      <c r="M5" s="1105">
        <f ca="1"/>
        <v>73.500000000000014</v>
      </c>
      <c r="N5" s="1106">
        <f ca="1"/>
        <v>88.2</v>
      </c>
      <c r="O5" s="1137"/>
    </row>
    <row r="6" spans="1:16">
      <c r="A6" s="1140" t="str">
        <v>IVA sop. de Gastos fijos</v>
      </c>
      <c r="B6" s="1107"/>
      <c r="C6" s="1105">
        <f t="array" aca="1" ref="C6:N6" ca="1">'G.F. 1'!B60:M60</f>
        <v>29.073259090909094</v>
      </c>
      <c r="D6" s="1105">
        <f ca="1"/>
        <v>29.073259090909094</v>
      </c>
      <c r="E6" s="1105">
        <f ca="1"/>
        <v>29.073259090909094</v>
      </c>
      <c r="F6" s="1105">
        <f ca="1"/>
        <v>29.073259090909094</v>
      </c>
      <c r="G6" s="1105">
        <f ca="1"/>
        <v>29.073259090909094</v>
      </c>
      <c r="H6" s="1105">
        <f ca="1"/>
        <v>29.073259090909094</v>
      </c>
      <c r="I6" s="1105">
        <f ca="1"/>
        <v>29.073259090909094</v>
      </c>
      <c r="J6" s="1105">
        <f ca="1"/>
        <v>29.073259090909094</v>
      </c>
      <c r="K6" s="1105">
        <f ca="1"/>
        <v>29.073259090909094</v>
      </c>
      <c r="L6" s="1105">
        <f ca="1"/>
        <v>29.073259090909094</v>
      </c>
      <c r="M6" s="1105">
        <f ca="1"/>
        <v>29.073259090909094</v>
      </c>
      <c r="N6" s="1106">
        <f ca="1"/>
        <v>29.073259090909094</v>
      </c>
      <c r="O6" s="1137">
        <f ca="1">SUM(C6:N6)</f>
        <v>348.8791090909092</v>
      </c>
    </row>
    <row r="7" spans="1:16">
      <c r="A7" s="1140" t="str">
        <v>IVA sop. de inversiones</v>
      </c>
      <c r="B7" s="1108"/>
      <c r="C7" s="1105">
        <f t="array" ref="C7:N7">+'Inversiones AC'!$C$44/12+'Inversiones AC'!$C$43/12</f>
        <v>0</v>
      </c>
      <c r="D7" s="1105">
        <v>0</v>
      </c>
      <c r="E7" s="1105">
        <v>0</v>
      </c>
      <c r="F7" s="1105">
        <v>0</v>
      </c>
      <c r="G7" s="1105">
        <v>0</v>
      </c>
      <c r="H7" s="1105">
        <v>0</v>
      </c>
      <c r="I7" s="1105">
        <v>0</v>
      </c>
      <c r="J7" s="1105">
        <v>0</v>
      </c>
      <c r="K7" s="1105">
        <v>0</v>
      </c>
      <c r="L7" s="1105">
        <v>0</v>
      </c>
      <c r="M7" s="1105">
        <v>0</v>
      </c>
      <c r="N7" s="1106">
        <v>0</v>
      </c>
      <c r="O7" s="1137">
        <f>SUM(C7:N7)</f>
        <v>0</v>
      </c>
    </row>
    <row r="8" spans="1:16" ht="15.75" thickBot="1">
      <c r="A8" s="1141" t="str">
        <v>IVA cuotas Leasing/Renting</v>
      </c>
      <c r="B8" s="1109"/>
      <c r="C8" s="1110">
        <f t="array" ref="C8:N8">Leasing!B32:M32+Renting!B31:M31</f>
        <v>0</v>
      </c>
      <c r="D8" s="1111">
        <v>0</v>
      </c>
      <c r="E8" s="1111">
        <v>0</v>
      </c>
      <c r="F8" s="1111">
        <v>0</v>
      </c>
      <c r="G8" s="1111">
        <v>0</v>
      </c>
      <c r="H8" s="1111">
        <v>0</v>
      </c>
      <c r="I8" s="1111">
        <v>0</v>
      </c>
      <c r="J8" s="1111">
        <v>0</v>
      </c>
      <c r="K8" s="1111">
        <v>0</v>
      </c>
      <c r="L8" s="1111">
        <v>0</v>
      </c>
      <c r="M8" s="1111">
        <v>0</v>
      </c>
      <c r="N8" s="1112">
        <v>0</v>
      </c>
      <c r="O8" s="1138">
        <f>SUM(C8:N8)</f>
        <v>0</v>
      </c>
    </row>
    <row r="9" spans="1:16" ht="15.75" thickBot="1">
      <c r="A9" s="2464"/>
      <c r="B9" s="2465" t="str">
        <f>'IVA 0'!B9</f>
        <v>Total IVA Soportado</v>
      </c>
      <c r="C9" s="1156">
        <f t="shared" ref="C9:O9" ca="1" si="0">SUM(C5:C8)</f>
        <v>87.873259090909087</v>
      </c>
      <c r="D9" s="1157">
        <f t="shared" ca="1" si="0"/>
        <v>102.5732590909091</v>
      </c>
      <c r="E9" s="1157">
        <f t="shared" ca="1" si="0"/>
        <v>109.9232590909091</v>
      </c>
      <c r="F9" s="1157">
        <f t="shared" ca="1" si="0"/>
        <v>106.2482590909091</v>
      </c>
      <c r="G9" s="1157">
        <f t="shared" ca="1" si="0"/>
        <v>95.223259090909096</v>
      </c>
      <c r="H9" s="1157">
        <f t="shared" ca="1" si="0"/>
        <v>91.548259090909085</v>
      </c>
      <c r="I9" s="1157">
        <f t="shared" ca="1" si="0"/>
        <v>87.873259090909087</v>
      </c>
      <c r="J9" s="1157">
        <f t="shared" ca="1" si="0"/>
        <v>73.173259090909099</v>
      </c>
      <c r="K9" s="1157">
        <f t="shared" ca="1" si="0"/>
        <v>87.873259090909087</v>
      </c>
      <c r="L9" s="1157">
        <f t="shared" ca="1" si="0"/>
        <v>98.898259090909093</v>
      </c>
      <c r="M9" s="1157">
        <f t="shared" ca="1" si="0"/>
        <v>102.5732590909091</v>
      </c>
      <c r="N9" s="1158">
        <f t="shared" ca="1" si="0"/>
        <v>117.27325909090909</v>
      </c>
      <c r="O9" s="1159">
        <f t="shared" ca="1" si="0"/>
        <v>348.8791090909092</v>
      </c>
    </row>
    <row r="10" spans="1:16" ht="15.75" thickBot="1">
      <c r="A10" s="1113"/>
      <c r="C10" s="1114"/>
      <c r="D10" s="1114"/>
      <c r="E10" s="1114"/>
      <c r="F10" s="1114"/>
      <c r="G10" s="1114"/>
      <c r="H10" s="1114"/>
      <c r="I10" s="1114"/>
      <c r="J10" s="1114"/>
      <c r="K10" s="1114"/>
      <c r="L10" s="1114"/>
      <c r="M10" s="1114"/>
      <c r="N10" s="1114"/>
      <c r="O10" s="1114"/>
    </row>
    <row r="11" spans="1:16" ht="15.75" thickBot="1">
      <c r="A11" s="3253" t="str">
        <f t="array" ref="A11:A13">'IVA 0'!A11:A13</f>
        <v>Coeficientes de prorrata Trimestrales</v>
      </c>
      <c r="B11" s="3254"/>
      <c r="C11" s="3255">
        <f t="array" ref="C11:O11" ca="1">C42:O42</f>
        <v>1</v>
      </c>
      <c r="D11" s="3255">
        <v>0</v>
      </c>
      <c r="E11" s="3256">
        <f ca="1"/>
        <v>0</v>
      </c>
      <c r="F11" s="3255">
        <v>0</v>
      </c>
      <c r="G11" s="3255">
        <v>0</v>
      </c>
      <c r="H11" s="3256">
        <f ca="1"/>
        <v>0</v>
      </c>
      <c r="I11" s="3255">
        <v>0</v>
      </c>
      <c r="J11" s="3255">
        <v>0</v>
      </c>
      <c r="K11" s="3256">
        <f ca="1"/>
        <v>0</v>
      </c>
      <c r="L11" s="3255">
        <v>0</v>
      </c>
      <c r="M11" s="3255">
        <v>0</v>
      </c>
      <c r="N11" s="3256">
        <f ca="1"/>
        <v>0</v>
      </c>
      <c r="O11" s="3252">
        <f ca="1"/>
        <v>1</v>
      </c>
    </row>
    <row r="12" spans="1:16">
      <c r="A12" s="3257" t="str">
        <v>Total IVA soportado deducible</v>
      </c>
      <c r="B12" s="3258"/>
      <c r="C12" s="3259">
        <f t="array" aca="1" ref="C12:N12" ca="1">$C$11*C9:N9</f>
        <v>87.873259090909087</v>
      </c>
      <c r="D12" s="3259">
        <f ca="1"/>
        <v>102.5732590909091</v>
      </c>
      <c r="E12" s="3259">
        <f ca="1"/>
        <v>109.9232590909091</v>
      </c>
      <c r="F12" s="3259">
        <f ca="1"/>
        <v>106.2482590909091</v>
      </c>
      <c r="G12" s="3259">
        <f ca="1"/>
        <v>95.223259090909096</v>
      </c>
      <c r="H12" s="3259">
        <f ca="1"/>
        <v>91.548259090909085</v>
      </c>
      <c r="I12" s="3259">
        <f ca="1"/>
        <v>87.873259090909087</v>
      </c>
      <c r="J12" s="3259">
        <f ca="1"/>
        <v>73.173259090909099</v>
      </c>
      <c r="K12" s="3259">
        <f ca="1"/>
        <v>87.873259090909087</v>
      </c>
      <c r="L12" s="3259">
        <f ca="1"/>
        <v>98.898259090909093</v>
      </c>
      <c r="M12" s="3259">
        <f ca="1"/>
        <v>102.5732590909091</v>
      </c>
      <c r="N12" s="3259">
        <f ca="1"/>
        <v>117.27325909090909</v>
      </c>
      <c r="O12" s="1153">
        <f ca="1">SUM(C12:N12)</f>
        <v>1161.0541090909089</v>
      </c>
    </row>
    <row r="13" spans="1:16" ht="16.5" customHeight="1" thickBot="1">
      <c r="A13" s="225" t="str">
        <v>Total IVA soportado a gasto</v>
      </c>
      <c r="B13" s="2461"/>
      <c r="C13" s="1154">
        <f t="array" aca="1" ref="C13:N13" ca="1">C9:N9-C12:N12</f>
        <v>0</v>
      </c>
      <c r="D13" s="1154">
        <f ca="1"/>
        <v>0</v>
      </c>
      <c r="E13" s="1154">
        <f ca="1"/>
        <v>0</v>
      </c>
      <c r="F13" s="1154">
        <f ca="1"/>
        <v>0</v>
      </c>
      <c r="G13" s="1154">
        <f ca="1"/>
        <v>0</v>
      </c>
      <c r="H13" s="1154">
        <f ca="1"/>
        <v>0</v>
      </c>
      <c r="I13" s="1154">
        <f ca="1"/>
        <v>0</v>
      </c>
      <c r="J13" s="1154">
        <f ca="1"/>
        <v>0</v>
      </c>
      <c r="K13" s="1154">
        <f ca="1"/>
        <v>0</v>
      </c>
      <c r="L13" s="1154">
        <f ca="1"/>
        <v>0</v>
      </c>
      <c r="M13" s="1154">
        <f ca="1"/>
        <v>0</v>
      </c>
      <c r="N13" s="1154">
        <f ca="1"/>
        <v>0</v>
      </c>
      <c r="O13" s="1155">
        <f ca="1">SUM(C13:N13)</f>
        <v>0</v>
      </c>
    </row>
    <row r="14" spans="1:16" ht="15.75" thickBot="1"/>
    <row r="15" spans="1:16" ht="15.75" thickBot="1">
      <c r="A15" s="64"/>
      <c r="B15" s="387" t="str">
        <f>'IVA 0'!B15</f>
        <v>Cuenta Corriente IVA</v>
      </c>
      <c r="C15" s="1149" t="str">
        <f>'Datos Básicos'!$B$32</f>
        <v>No</v>
      </c>
      <c r="D15" s="2432">
        <f>IVAcc</f>
        <v>0</v>
      </c>
      <c r="F15" s="1151"/>
      <c r="G15" s="683"/>
      <c r="L15" s="64"/>
      <c r="M15" s="367"/>
      <c r="N15" s="3249" t="s">
        <v>1250</v>
      </c>
      <c r="O15" s="3250">
        <f ca="1">-O9*($O$11-$C$11)</f>
        <v>0</v>
      </c>
    </row>
    <row r="17" spans="1:15" s="98" customFormat="1" ht="23.25" thickBot="1">
      <c r="A17" s="67" t="str">
        <f>'IVA 0'!A17</f>
        <v xml:space="preserve">Liquidaciones Trimestrales de IVA de la empresa </v>
      </c>
      <c r="B17" s="253"/>
      <c r="C17" s="67"/>
      <c r="D17" s="67"/>
      <c r="F17" s="253"/>
    </row>
    <row r="18" spans="1:15" ht="15.75" thickBot="1">
      <c r="A18" s="2453"/>
      <c r="B18" s="2454"/>
      <c r="C18" s="1130" t="str">
        <f t="array" ref="C18:N18">meses</f>
        <v>enero</v>
      </c>
      <c r="D18" s="1130" t="str">
        <v>febrero</v>
      </c>
      <c r="E18" s="1130" t="str">
        <v>marzo</v>
      </c>
      <c r="F18" s="1130" t="str">
        <v>abril</v>
      </c>
      <c r="G18" s="1130" t="str">
        <v>mayo</v>
      </c>
      <c r="H18" s="1130" t="str">
        <v>junio</v>
      </c>
      <c r="I18" s="1130" t="str">
        <v>julio</v>
      </c>
      <c r="J18" s="1130" t="str">
        <v>agosto</v>
      </c>
      <c r="K18" s="1130" t="str">
        <v>septiembre</v>
      </c>
      <c r="L18" s="1130" t="str">
        <v>octubre</v>
      </c>
      <c r="M18" s="1130" t="str">
        <v>noviembre</v>
      </c>
      <c r="N18" s="1130" t="str">
        <v>diciembre</v>
      </c>
      <c r="O18" s="1131" t="str">
        <f>'IVA 0'!$O$4</f>
        <v>Totales</v>
      </c>
    </row>
    <row r="19" spans="1:15">
      <c r="A19" s="2455" t="str">
        <f t="array" ref="A19:A22">'IVA 0'!A19:A22</f>
        <v>Total IVA Repercutido</v>
      </c>
      <c r="B19" s="2456"/>
      <c r="C19" s="1104">
        <f t="array" aca="1" ref="C19" ca="1">SUM(Parametros!$E$24:$E$31*C31:C38)</f>
        <v>588</v>
      </c>
      <c r="D19" s="1104">
        <f t="array" aca="1" ref="D19" ca="1">SUM(Parametros!$E$24:$E$31*D31:D38)</f>
        <v>735</v>
      </c>
      <c r="E19" s="1104">
        <f t="array" aca="1" ref="E19" ca="1">SUM(Parametros!$E$24:$E$31*E31:E38)</f>
        <v>808.5</v>
      </c>
      <c r="F19" s="1104">
        <f t="array" aca="1" ref="F19" ca="1">SUM(Parametros!$E$24:$E$31*F31:F38)</f>
        <v>771.75</v>
      </c>
      <c r="G19" s="1104">
        <f t="array" aca="1" ref="G19" ca="1">SUM(Parametros!$E$24:$E$31*G31:G38)</f>
        <v>661.5</v>
      </c>
      <c r="H19" s="1104">
        <f t="array" aca="1" ref="H19" ca="1">SUM(Parametros!$E$24:$E$31*H31:H38)</f>
        <v>624.75</v>
      </c>
      <c r="I19" s="1104">
        <f t="array" aca="1" ref="I19" ca="1">SUM(Parametros!$E$24:$E$31*I31:I38)</f>
        <v>588</v>
      </c>
      <c r="J19" s="1104">
        <f t="array" aca="1" ref="J19" ca="1">SUM(Parametros!$E$24:$E$31*J31:J38)</f>
        <v>441</v>
      </c>
      <c r="K19" s="1104">
        <f t="array" aca="1" ref="K19" ca="1">SUM(Parametros!$E$24:$E$31*K31:K38)</f>
        <v>588</v>
      </c>
      <c r="L19" s="1104">
        <f t="array" aca="1" ref="L19" ca="1">SUM(Parametros!$E$24:$E$31*L31:L38)</f>
        <v>698.25</v>
      </c>
      <c r="M19" s="1104">
        <f t="array" aca="1" ref="M19" ca="1">SUM(Parametros!$E$24:$E$31*M31:M38)</f>
        <v>735</v>
      </c>
      <c r="N19" s="1104">
        <f t="array" aca="1" ref="N19" ca="1">SUM(Parametros!$E$24:$E$31*N31:N38)</f>
        <v>882</v>
      </c>
      <c r="O19" s="1133">
        <f ca="1">SUM(C19:N19)</f>
        <v>8121.75</v>
      </c>
    </row>
    <row r="20" spans="1:15">
      <c r="A20" s="2457" t="str">
        <v>Total IVA soportado deducible</v>
      </c>
      <c r="B20" s="2458"/>
      <c r="C20" s="1105">
        <f t="array" aca="1" ref="C20:N20" ca="1">C12:N12</f>
        <v>87.873259090909087</v>
      </c>
      <c r="D20" s="1105">
        <f ca="1"/>
        <v>102.5732590909091</v>
      </c>
      <c r="E20" s="1105">
        <f ca="1"/>
        <v>109.9232590909091</v>
      </c>
      <c r="F20" s="1105">
        <f ca="1"/>
        <v>106.2482590909091</v>
      </c>
      <c r="G20" s="1105">
        <f ca="1"/>
        <v>95.223259090909096</v>
      </c>
      <c r="H20" s="1105">
        <f ca="1"/>
        <v>91.548259090909085</v>
      </c>
      <c r="I20" s="1105">
        <f ca="1"/>
        <v>87.873259090909087</v>
      </c>
      <c r="J20" s="1105">
        <f ca="1"/>
        <v>73.173259090909099</v>
      </c>
      <c r="K20" s="1105">
        <f ca="1"/>
        <v>87.873259090909087</v>
      </c>
      <c r="L20" s="1105">
        <f ca="1"/>
        <v>98.898259090909093</v>
      </c>
      <c r="M20" s="1105">
        <f ca="1"/>
        <v>102.5732590909091</v>
      </c>
      <c r="N20" s="1105">
        <f ca="1"/>
        <v>117.27325909090909</v>
      </c>
      <c r="O20" s="1128">
        <f ca="1">SUM(C20:N20)</f>
        <v>1161.0541090909089</v>
      </c>
    </row>
    <row r="21" spans="1:15" ht="15.75" thickBot="1">
      <c r="A21" s="2459" t="str">
        <v>Diferencias IVA</v>
      </c>
      <c r="B21" s="2460"/>
      <c r="C21" s="1152">
        <f t="array" aca="1" ref="C21:N21" ca="1">C19:N19-C20:N20</f>
        <v>500.12674090909093</v>
      </c>
      <c r="D21" s="1152">
        <f ca="1"/>
        <v>632.42674090909088</v>
      </c>
      <c r="E21" s="1152">
        <f ca="1"/>
        <v>698.57674090909086</v>
      </c>
      <c r="F21" s="1152">
        <f ca="1"/>
        <v>665.50174090909093</v>
      </c>
      <c r="G21" s="1152">
        <f ca="1"/>
        <v>566.2767409090909</v>
      </c>
      <c r="H21" s="1152">
        <f ca="1"/>
        <v>533.20174090909086</v>
      </c>
      <c r="I21" s="1152">
        <f ca="1"/>
        <v>500.12674090909093</v>
      </c>
      <c r="J21" s="1152">
        <f ca="1"/>
        <v>367.82674090909092</v>
      </c>
      <c r="K21" s="1152">
        <f ca="1"/>
        <v>500.12674090909093</v>
      </c>
      <c r="L21" s="1152">
        <f ca="1"/>
        <v>599.35174090909095</v>
      </c>
      <c r="M21" s="1152">
        <f ca="1"/>
        <v>632.42674090909088</v>
      </c>
      <c r="N21" s="1152">
        <f ca="1"/>
        <v>764.72674090909095</v>
      </c>
      <c r="O21" s="1129">
        <f ca="1">SUM(C21:N21)</f>
        <v>6960.6958909090908</v>
      </c>
    </row>
    <row r="22" spans="1:15" s="48" customFormat="1" ht="19.5" customHeight="1">
      <c r="A22" s="2530" t="str">
        <v>Cuotas de IVA</v>
      </c>
      <c r="B22" s="2531"/>
      <c r="C22" s="2532">
        <f ca="1">'IVA 0'!O22</f>
        <v>1718.0541477272723</v>
      </c>
      <c r="D22" s="2536">
        <f>+IF(IVAmensual=1,  IF(AND(IVAdev=1,C22&lt;0),0,MIN(C22,0))  +C21,0)</f>
        <v>0</v>
      </c>
      <c r="E22" s="2519">
        <f>+IF(IVAmensual=1,    MIN(D22,0)+D21,0)</f>
        <v>0</v>
      </c>
      <c r="F22" s="2536">
        <f ca="1">IF(IVAmensual=0,    IF(AND(IVAdev=1,C22&lt;0),0,MIN(C22,0))+SUM(C21:E21),0)
+IF(IVAmensual=1,    MIN(E22,0)+E21,0)</f>
        <v>1831.1302227272727</v>
      </c>
      <c r="G22" s="2519">
        <f>+IF(IVAmensual=1,    MIN(F22,0)+F21,0)</f>
        <v>0</v>
      </c>
      <c r="H22" s="2519">
        <f>+IF(IVAmensual=1,    MIN(G22,0)+G21,0)</f>
        <v>0</v>
      </c>
      <c r="I22" s="2519">
        <f ca="1">IF(IVAmensual=0,   MIN(F22,0)+SUM(F21:H21),0)
+IF(IVAmensual=1,    MIN(H22,0)+H21,0)</f>
        <v>1764.9802227272726</v>
      </c>
      <c r="J22" s="2519">
        <f>+IF(IVAmensual=1,    MIN(I22,0)+I21,0)</f>
        <v>0</v>
      </c>
      <c r="K22" s="2519">
        <f>+IF(IVAmensual=1,    MIN(J22,0)+J21,0)</f>
        <v>0</v>
      </c>
      <c r="L22" s="2519">
        <f ca="1">IF(IVAmensual=0,   MIN(I22,0)+SUM(I21:K21),0)
+IF(IVAmensual=1,    MIN(K22,0)+K21,0)</f>
        <v>1368.0802227272729</v>
      </c>
      <c r="M22" s="2519">
        <f>+IF(IVAmensual=1,    MIN(L22,0)+L21,0)</f>
        <v>0</v>
      </c>
      <c r="N22" s="2519">
        <f>+IF(IVAmensual=1,    MIN(M22,0)+M21,0)</f>
        <v>0</v>
      </c>
      <c r="O22" s="3251">
        <f ca="1">IF(IVAmensual=0,   MIN(L22,0)+SUM(L21:N21)+O15,0)
+IF(IVAmensual=1,    MIN(N22,0)+N21+O15,0)</f>
        <v>1996.5052227272727</v>
      </c>
    </row>
    <row r="23" spans="1:15" ht="10.5" customHeight="1">
      <c r="A23" s="380"/>
      <c r="B23" s="2458"/>
      <c r="C23" s="902"/>
      <c r="D23" s="902"/>
      <c r="E23" s="902"/>
      <c r="F23" s="902"/>
      <c r="G23" s="902"/>
      <c r="H23" s="902"/>
      <c r="I23" s="902"/>
      <c r="J23" s="902"/>
      <c r="K23" s="902"/>
      <c r="L23" s="902"/>
      <c r="M23" s="902"/>
      <c r="N23" s="902"/>
      <c r="O23" s="1134"/>
    </row>
    <row r="24" spans="1:15" s="48" customFormat="1" ht="19.5" customHeight="1" thickBot="1">
      <c r="A24" s="2520" t="str">
        <f>'IVA 0'!A24</f>
        <v>Liquidaciones de IVA</v>
      </c>
      <c r="B24" s="2521"/>
      <c r="C24" s="2522">
        <f t="shared" ref="C24:O24" ca="1" si="1">IF(AND(IVAcc=0,C22&gt;0),C22,0)</f>
        <v>1718.0541477272723</v>
      </c>
      <c r="D24" s="2523">
        <f t="shared" si="1"/>
        <v>0</v>
      </c>
      <c r="E24" s="2523">
        <f t="shared" si="1"/>
        <v>0</v>
      </c>
      <c r="F24" s="2523">
        <f t="shared" ca="1" si="1"/>
        <v>1831.1302227272727</v>
      </c>
      <c r="G24" s="2523">
        <f t="shared" si="1"/>
        <v>0</v>
      </c>
      <c r="H24" s="2523">
        <f t="shared" si="1"/>
        <v>0</v>
      </c>
      <c r="I24" s="2523">
        <f t="shared" ca="1" si="1"/>
        <v>1764.9802227272726</v>
      </c>
      <c r="J24" s="2523">
        <f t="shared" si="1"/>
        <v>0</v>
      </c>
      <c r="K24" s="2523">
        <f t="shared" si="1"/>
        <v>0</v>
      </c>
      <c r="L24" s="2523">
        <f t="shared" ca="1" si="1"/>
        <v>1368.0802227272729</v>
      </c>
      <c r="M24" s="2523">
        <f t="shared" si="1"/>
        <v>0</v>
      </c>
      <c r="N24" s="2523">
        <f t="shared" si="1"/>
        <v>0</v>
      </c>
      <c r="O24" s="2524">
        <f t="shared" ca="1" si="1"/>
        <v>1996.5052227272727</v>
      </c>
    </row>
    <row r="25" spans="1:15" ht="9" customHeight="1" thickBot="1">
      <c r="C25" s="896"/>
      <c r="D25" s="896"/>
      <c r="E25" s="896"/>
      <c r="F25" s="896"/>
      <c r="G25" s="896"/>
      <c r="H25" s="896"/>
      <c r="I25" s="896"/>
      <c r="J25" s="896"/>
      <c r="K25" s="896"/>
      <c r="L25" s="896"/>
      <c r="M25" s="896"/>
      <c r="N25" s="896"/>
      <c r="O25" s="896"/>
    </row>
    <row r="26" spans="1:15" s="48" customFormat="1" ht="18.75" customHeight="1" thickBot="1">
      <c r="A26" s="2525" t="str">
        <f>'IVA 0'!A26</f>
        <v>Devoluciones IVA</v>
      </c>
      <c r="B26" s="2526"/>
      <c r="C26" s="2528">
        <f>'IVA 0'!O26</f>
        <v>0</v>
      </c>
      <c r="D26" s="2528">
        <f>-IF(AND(IVAcc,IVAmensual=1),C21,0)</f>
        <v>0</v>
      </c>
      <c r="E26" s="2528">
        <f>-IF(AND(IVAcc,IVAmensual=1),D21,0)</f>
        <v>0</v>
      </c>
      <c r="F26" s="2528">
        <f>-IF(AND(IVAcc,IVAmensual=0),SUM(C21:E21),0)
-IF(AND(IVAcc,IVAmensual=1),E21,0)</f>
        <v>0</v>
      </c>
      <c r="G26" s="2528">
        <f>-IF(AND(IVAcc,IVAmensual=1),F21,0)</f>
        <v>0</v>
      </c>
      <c r="H26" s="2535">
        <f ca="1">-IF(AND(IVAcc,IVAmensual=1),G21,0)-IF(AND(IVAcc=0,IVAdev=1,C22&lt;0),C22,0)</f>
        <v>0</v>
      </c>
      <c r="I26" s="2528">
        <f>-IF(AND(IVAcc,IVAmensual=0),SUM(F21:H21),0)
-IF(AND(IVAcc,IVAmensual=1),H21,0)</f>
        <v>0</v>
      </c>
      <c r="J26" s="2528">
        <f>-IF(AND(IVAcc,IVAmensual=1),I21,0)</f>
        <v>0</v>
      </c>
      <c r="K26" s="2528">
        <f>-IF(AND(IVAcc,IVAmensual=1),J21,0)</f>
        <v>0</v>
      </c>
      <c r="L26" s="2528">
        <f>-IF(AND(IVAcc,IVAmensual=0),SUM(I21:K21),0)
-IF(AND(IVAcc,IVAmensual=1),K21,0)</f>
        <v>0</v>
      </c>
      <c r="M26" s="2528">
        <f>-IF(AND(IVAcc,IVAmensual=1),L21,0)</f>
        <v>0</v>
      </c>
      <c r="N26" s="2528">
        <f>-IF(AND(IVAcc,IVAmensual=1),M21,0)</f>
        <v>0</v>
      </c>
      <c r="O26" s="2534">
        <f>-IF(AND(IVAcc,IVAmensual=0),SUM(L21:N21),0)
-IF(AND(IVAcc,IVAmensual=1),N21,0)</f>
        <v>0</v>
      </c>
    </row>
    <row r="29" spans="1:15" s="98" customFormat="1" ht="23.25" thickBot="1">
      <c r="A29" s="67" t="str">
        <f>'IVA 0'!A29</f>
        <v>Regla de prorrata</v>
      </c>
      <c r="D29" s="253"/>
      <c r="E29" s="253"/>
    </row>
    <row r="30" spans="1:15" ht="15.75" thickBot="1">
      <c r="A30" s="1142" t="str">
        <f>'IVA 0'!A30</f>
        <v>IVA repercutido</v>
      </c>
      <c r="B30" s="103" t="str">
        <f>'IVA 0'!B30</f>
        <v>tipo IVA</v>
      </c>
      <c r="C30" s="427" t="str">
        <f t="array" ref="C30:N30">meses</f>
        <v>enero</v>
      </c>
      <c r="D30" s="158" t="str">
        <v>febrero</v>
      </c>
      <c r="E30" s="158" t="str">
        <v>marzo</v>
      </c>
      <c r="F30" s="158" t="str">
        <v>abril</v>
      </c>
      <c r="G30" s="158" t="str">
        <v>mayo</v>
      </c>
      <c r="H30" s="158" t="str">
        <v>junio</v>
      </c>
      <c r="I30" s="158" t="str">
        <v>julio</v>
      </c>
      <c r="J30" s="158" t="str">
        <v>agosto</v>
      </c>
      <c r="K30" s="158" t="str">
        <v>septiembre</v>
      </c>
      <c r="L30" s="158" t="str">
        <v>octubre</v>
      </c>
      <c r="M30" s="158" t="str">
        <v>noviembre</v>
      </c>
      <c r="N30" s="158" t="str">
        <v>diciembre</v>
      </c>
      <c r="O30" s="159" t="str">
        <f>'IVA 0'!$O$4</f>
        <v>Totales</v>
      </c>
    </row>
    <row r="31" spans="1:15">
      <c r="A31" s="1749" t="str">
        <f t="array" ref="A31:A38">productos</f>
        <v>producto o servicio</v>
      </c>
      <c r="B31" s="1115">
        <f t="array" ref="B31:B38">Parametros!E24:E31</f>
        <v>0.21</v>
      </c>
      <c r="C31" s="1116">
        <f t="array" aca="1" ref="C31:N38" ca="1">'Prev.Ventas 1'!B17:M24</f>
        <v>2800</v>
      </c>
      <c r="D31" s="1116">
        <f ca="1"/>
        <v>3500</v>
      </c>
      <c r="E31" s="1116">
        <f ca="1"/>
        <v>3850</v>
      </c>
      <c r="F31" s="1116">
        <f ca="1"/>
        <v>3675</v>
      </c>
      <c r="G31" s="1116">
        <f ca="1"/>
        <v>3150</v>
      </c>
      <c r="H31" s="1116">
        <f ca="1"/>
        <v>2975</v>
      </c>
      <c r="I31" s="1116">
        <f ca="1"/>
        <v>2800</v>
      </c>
      <c r="J31" s="1116">
        <f ca="1"/>
        <v>2100</v>
      </c>
      <c r="K31" s="1116">
        <f ca="1"/>
        <v>2800</v>
      </c>
      <c r="L31" s="1116">
        <f ca="1"/>
        <v>3325</v>
      </c>
      <c r="M31" s="1116">
        <f ca="1"/>
        <v>3500</v>
      </c>
      <c r="N31" s="1116">
        <f ca="1"/>
        <v>4200</v>
      </c>
      <c r="O31" s="1143">
        <f t="shared" ref="O31:O41" ca="1" si="2">SUM(C31:N31)</f>
        <v>38675</v>
      </c>
    </row>
    <row r="32" spans="1:15">
      <c r="A32" s="1532" t="str">
        <v/>
      </c>
      <c r="B32" s="1117">
        <v>0.21</v>
      </c>
      <c r="C32" s="1118">
        <f ca="1"/>
        <v>0</v>
      </c>
      <c r="D32" s="1118">
        <f ca="1"/>
        <v>0</v>
      </c>
      <c r="E32" s="1118">
        <f ca="1"/>
        <v>0</v>
      </c>
      <c r="F32" s="1118">
        <f ca="1"/>
        <v>0</v>
      </c>
      <c r="G32" s="1118">
        <f ca="1"/>
        <v>0</v>
      </c>
      <c r="H32" s="1118">
        <f ca="1"/>
        <v>0</v>
      </c>
      <c r="I32" s="1118">
        <f ca="1"/>
        <v>0</v>
      </c>
      <c r="J32" s="1118">
        <f ca="1"/>
        <v>0</v>
      </c>
      <c r="K32" s="1118">
        <f ca="1"/>
        <v>0</v>
      </c>
      <c r="L32" s="1118">
        <f ca="1"/>
        <v>0</v>
      </c>
      <c r="M32" s="1118">
        <f ca="1"/>
        <v>0</v>
      </c>
      <c r="N32" s="1118">
        <f ca="1"/>
        <v>0</v>
      </c>
      <c r="O32" s="1144">
        <f t="shared" ca="1" si="2"/>
        <v>0</v>
      </c>
    </row>
    <row r="33" spans="1:15">
      <c r="A33" s="1532" t="str">
        <v/>
      </c>
      <c r="B33" s="1117">
        <v>0.21</v>
      </c>
      <c r="C33" s="1118">
        <f ca="1"/>
        <v>0</v>
      </c>
      <c r="D33" s="1118">
        <f ca="1"/>
        <v>0</v>
      </c>
      <c r="E33" s="1118">
        <f ca="1"/>
        <v>0</v>
      </c>
      <c r="F33" s="1118">
        <f ca="1"/>
        <v>0</v>
      </c>
      <c r="G33" s="1118">
        <f ca="1"/>
        <v>0</v>
      </c>
      <c r="H33" s="1118">
        <f ca="1"/>
        <v>0</v>
      </c>
      <c r="I33" s="1118">
        <f ca="1"/>
        <v>0</v>
      </c>
      <c r="J33" s="1118">
        <f ca="1"/>
        <v>0</v>
      </c>
      <c r="K33" s="1118">
        <f ca="1"/>
        <v>0</v>
      </c>
      <c r="L33" s="1118">
        <f ca="1"/>
        <v>0</v>
      </c>
      <c r="M33" s="1118">
        <f ca="1"/>
        <v>0</v>
      </c>
      <c r="N33" s="1118">
        <f ca="1"/>
        <v>0</v>
      </c>
      <c r="O33" s="1144">
        <f t="shared" ca="1" si="2"/>
        <v>0</v>
      </c>
    </row>
    <row r="34" spans="1:15">
      <c r="A34" s="1532" t="str">
        <v/>
      </c>
      <c r="B34" s="1117">
        <v>0.21</v>
      </c>
      <c r="C34" s="1118">
        <f ca="1"/>
        <v>0</v>
      </c>
      <c r="D34" s="1118">
        <f ca="1"/>
        <v>0</v>
      </c>
      <c r="E34" s="1118">
        <f ca="1"/>
        <v>0</v>
      </c>
      <c r="F34" s="1118">
        <f ca="1"/>
        <v>0</v>
      </c>
      <c r="G34" s="1118">
        <f ca="1"/>
        <v>0</v>
      </c>
      <c r="H34" s="1118">
        <f ca="1"/>
        <v>0</v>
      </c>
      <c r="I34" s="1118">
        <f ca="1"/>
        <v>0</v>
      </c>
      <c r="J34" s="1118">
        <f ca="1"/>
        <v>0</v>
      </c>
      <c r="K34" s="1118">
        <f ca="1"/>
        <v>0</v>
      </c>
      <c r="L34" s="1118">
        <f ca="1"/>
        <v>0</v>
      </c>
      <c r="M34" s="1118">
        <f ca="1"/>
        <v>0</v>
      </c>
      <c r="N34" s="1118">
        <f ca="1"/>
        <v>0</v>
      </c>
      <c r="O34" s="1144">
        <f t="shared" ca="1" si="2"/>
        <v>0</v>
      </c>
    </row>
    <row r="35" spans="1:15">
      <c r="A35" s="1532" t="str">
        <v/>
      </c>
      <c r="B35" s="1117">
        <v>0.21</v>
      </c>
      <c r="C35" s="1118">
        <f ca="1"/>
        <v>0</v>
      </c>
      <c r="D35" s="1118">
        <f ca="1"/>
        <v>0</v>
      </c>
      <c r="E35" s="1118">
        <f ca="1"/>
        <v>0</v>
      </c>
      <c r="F35" s="1118">
        <f ca="1"/>
        <v>0</v>
      </c>
      <c r="G35" s="1118">
        <f ca="1"/>
        <v>0</v>
      </c>
      <c r="H35" s="1118">
        <f ca="1"/>
        <v>0</v>
      </c>
      <c r="I35" s="1118">
        <f ca="1"/>
        <v>0</v>
      </c>
      <c r="J35" s="1118">
        <f ca="1"/>
        <v>0</v>
      </c>
      <c r="K35" s="1118">
        <f ca="1"/>
        <v>0</v>
      </c>
      <c r="L35" s="1118">
        <f ca="1"/>
        <v>0</v>
      </c>
      <c r="M35" s="1118">
        <f ca="1"/>
        <v>0</v>
      </c>
      <c r="N35" s="1118">
        <f ca="1"/>
        <v>0</v>
      </c>
      <c r="O35" s="1144">
        <f t="shared" ca="1" si="2"/>
        <v>0</v>
      </c>
    </row>
    <row r="36" spans="1:15">
      <c r="A36" s="1532" t="str">
        <v/>
      </c>
      <c r="B36" s="1117">
        <v>0.21</v>
      </c>
      <c r="C36" s="1118">
        <f ca="1"/>
        <v>0</v>
      </c>
      <c r="D36" s="1118">
        <f ca="1"/>
        <v>0</v>
      </c>
      <c r="E36" s="1118">
        <f ca="1"/>
        <v>0</v>
      </c>
      <c r="F36" s="1118">
        <f ca="1"/>
        <v>0</v>
      </c>
      <c r="G36" s="1118">
        <f ca="1"/>
        <v>0</v>
      </c>
      <c r="H36" s="1118">
        <f ca="1"/>
        <v>0</v>
      </c>
      <c r="I36" s="1118">
        <f ca="1"/>
        <v>0</v>
      </c>
      <c r="J36" s="1118">
        <f ca="1"/>
        <v>0</v>
      </c>
      <c r="K36" s="1118">
        <f ca="1"/>
        <v>0</v>
      </c>
      <c r="L36" s="1118">
        <f ca="1"/>
        <v>0</v>
      </c>
      <c r="M36" s="1118">
        <f ca="1"/>
        <v>0</v>
      </c>
      <c r="N36" s="1118">
        <f ca="1"/>
        <v>0</v>
      </c>
      <c r="O36" s="1144">
        <f t="shared" ca="1" si="2"/>
        <v>0</v>
      </c>
    </row>
    <row r="37" spans="1:15">
      <c r="A37" s="1532" t="str">
        <v/>
      </c>
      <c r="B37" s="1117">
        <v>0.21</v>
      </c>
      <c r="C37" s="1118">
        <f ca="1"/>
        <v>0</v>
      </c>
      <c r="D37" s="1118">
        <f ca="1"/>
        <v>0</v>
      </c>
      <c r="E37" s="1118">
        <f ca="1"/>
        <v>0</v>
      </c>
      <c r="F37" s="1118">
        <f ca="1"/>
        <v>0</v>
      </c>
      <c r="G37" s="1118">
        <f ca="1"/>
        <v>0</v>
      </c>
      <c r="H37" s="1118">
        <f ca="1"/>
        <v>0</v>
      </c>
      <c r="I37" s="1118">
        <f ca="1"/>
        <v>0</v>
      </c>
      <c r="J37" s="1118">
        <f ca="1"/>
        <v>0</v>
      </c>
      <c r="K37" s="1118">
        <f ca="1"/>
        <v>0</v>
      </c>
      <c r="L37" s="1118">
        <f ca="1"/>
        <v>0</v>
      </c>
      <c r="M37" s="1118">
        <f ca="1"/>
        <v>0</v>
      </c>
      <c r="N37" s="1118">
        <f ca="1"/>
        <v>0</v>
      </c>
      <c r="O37" s="1144">
        <f t="shared" ca="1" si="2"/>
        <v>0</v>
      </c>
    </row>
    <row r="38" spans="1:15" ht="15.75" thickBot="1">
      <c r="A38" s="1750" t="str">
        <v/>
      </c>
      <c r="B38" s="1119">
        <v>0.21</v>
      </c>
      <c r="C38" s="1120">
        <f ca="1"/>
        <v>0</v>
      </c>
      <c r="D38" s="1120">
        <f ca="1"/>
        <v>0</v>
      </c>
      <c r="E38" s="1120">
        <f ca="1"/>
        <v>0</v>
      </c>
      <c r="F38" s="1120">
        <f ca="1"/>
        <v>0</v>
      </c>
      <c r="G38" s="1120">
        <f ca="1"/>
        <v>0</v>
      </c>
      <c r="H38" s="1120">
        <f ca="1"/>
        <v>0</v>
      </c>
      <c r="I38" s="1120">
        <f ca="1"/>
        <v>0</v>
      </c>
      <c r="J38" s="1120">
        <f ca="1"/>
        <v>0</v>
      </c>
      <c r="K38" s="1120">
        <f ca="1"/>
        <v>0</v>
      </c>
      <c r="L38" s="1120">
        <f ca="1"/>
        <v>0</v>
      </c>
      <c r="M38" s="1120">
        <f ca="1"/>
        <v>0</v>
      </c>
      <c r="N38" s="1120">
        <f ca="1"/>
        <v>0</v>
      </c>
      <c r="O38" s="1145">
        <f t="shared" ca="1" si="2"/>
        <v>0</v>
      </c>
    </row>
    <row r="39" spans="1:15" ht="18" customHeight="1">
      <c r="A39" s="1146" t="str">
        <f t="array" ref="A39:A42">'IVA 0'!A39:A42</f>
        <v>Ventas sujetas a IVA</v>
      </c>
      <c r="B39" s="202"/>
      <c r="C39" s="1122">
        <f ca="1">SUMIF($B$31:$B$38,"&lt;&gt;0",C31:C38)</f>
        <v>2800</v>
      </c>
      <c r="D39" s="1123">
        <f t="shared" ref="D39:N39" ca="1" si="3">SUMIF($B$31:$B$38,"&lt;&gt;0",D31:D38)</f>
        <v>3500</v>
      </c>
      <c r="E39" s="1123">
        <f t="shared" ca="1" si="3"/>
        <v>3850</v>
      </c>
      <c r="F39" s="1123">
        <f t="shared" ca="1" si="3"/>
        <v>3675</v>
      </c>
      <c r="G39" s="1123">
        <f t="shared" ca="1" si="3"/>
        <v>3150</v>
      </c>
      <c r="H39" s="1123">
        <f t="shared" ca="1" si="3"/>
        <v>2975</v>
      </c>
      <c r="I39" s="1123">
        <f t="shared" ca="1" si="3"/>
        <v>2800</v>
      </c>
      <c r="J39" s="1123">
        <f t="shared" ca="1" si="3"/>
        <v>2100</v>
      </c>
      <c r="K39" s="1123">
        <f t="shared" ca="1" si="3"/>
        <v>2800</v>
      </c>
      <c r="L39" s="1123">
        <f t="shared" ca="1" si="3"/>
        <v>3325</v>
      </c>
      <c r="M39" s="1123">
        <f t="shared" ca="1" si="3"/>
        <v>3500</v>
      </c>
      <c r="N39" s="1124">
        <f t="shared" ca="1" si="3"/>
        <v>4200</v>
      </c>
      <c r="O39" s="1143">
        <f ca="1">SUM(C39:N39)</f>
        <v>38675</v>
      </c>
    </row>
    <row r="40" spans="1:15" ht="18" customHeight="1">
      <c r="A40" s="1147" t="str">
        <v>Ventas exentas de IVA</v>
      </c>
      <c r="B40" s="207"/>
      <c r="C40" s="1125">
        <f>SUMIF($B$31:$B$38,"=0",C31:C38)</f>
        <v>0</v>
      </c>
      <c r="D40" s="1126">
        <f t="shared" ref="D40:N40" si="4">SUMIF($B$31:$B$38,"=0",D31:D38)</f>
        <v>0</v>
      </c>
      <c r="E40" s="1126">
        <f t="shared" si="4"/>
        <v>0</v>
      </c>
      <c r="F40" s="1126">
        <f t="shared" si="4"/>
        <v>0</v>
      </c>
      <c r="G40" s="1126">
        <f t="shared" si="4"/>
        <v>0</v>
      </c>
      <c r="H40" s="1126">
        <f t="shared" si="4"/>
        <v>0</v>
      </c>
      <c r="I40" s="1126">
        <f t="shared" si="4"/>
        <v>0</v>
      </c>
      <c r="J40" s="1126">
        <f t="shared" si="4"/>
        <v>0</v>
      </c>
      <c r="K40" s="1126">
        <f t="shared" si="4"/>
        <v>0</v>
      </c>
      <c r="L40" s="1126">
        <f t="shared" si="4"/>
        <v>0</v>
      </c>
      <c r="M40" s="1126">
        <f t="shared" si="4"/>
        <v>0</v>
      </c>
      <c r="N40" s="1127">
        <f t="shared" si="4"/>
        <v>0</v>
      </c>
      <c r="O40" s="1144">
        <f t="shared" si="2"/>
        <v>0</v>
      </c>
    </row>
    <row r="41" spans="1:15" ht="18" customHeight="1">
      <c r="A41" s="1147" t="str">
        <v>Total Facturación</v>
      </c>
      <c r="B41" s="207"/>
      <c r="C41" s="1125">
        <f t="array" aca="1" ref="C41:N41" ca="1">C40:N40+C39:N39</f>
        <v>2800</v>
      </c>
      <c r="D41" s="1126">
        <f ca="1"/>
        <v>3500</v>
      </c>
      <c r="E41" s="1126">
        <f ca="1"/>
        <v>3850</v>
      </c>
      <c r="F41" s="1126">
        <f ca="1"/>
        <v>3675</v>
      </c>
      <c r="G41" s="1126">
        <f ca="1"/>
        <v>3150</v>
      </c>
      <c r="H41" s="1126">
        <f ca="1"/>
        <v>2975</v>
      </c>
      <c r="I41" s="1126">
        <f ca="1"/>
        <v>2800</v>
      </c>
      <c r="J41" s="1126">
        <f ca="1"/>
        <v>2100</v>
      </c>
      <c r="K41" s="1126">
        <f ca="1"/>
        <v>2800</v>
      </c>
      <c r="L41" s="1126">
        <f ca="1"/>
        <v>3325</v>
      </c>
      <c r="M41" s="1126">
        <f ca="1"/>
        <v>3500</v>
      </c>
      <c r="N41" s="1127">
        <f ca="1"/>
        <v>4200</v>
      </c>
      <c r="O41" s="1144">
        <f t="shared" ca="1" si="2"/>
        <v>38675</v>
      </c>
    </row>
    <row r="42" spans="1:15" ht="18" customHeight="1" thickBot="1">
      <c r="A42" s="1148" t="str">
        <v>Coeficiente para la prorrata</v>
      </c>
      <c r="B42" s="208"/>
      <c r="C42" s="3246">
        <f ca="1">+'IVA 0'!O42</f>
        <v>1</v>
      </c>
      <c r="D42" s="3246">
        <f>IF(IVAmensual=1,    IF(OR(IVAcc,D41&lt;0.1),1,D39/D41), 0)*0</f>
        <v>0</v>
      </c>
      <c r="E42" s="3246">
        <f ca="1">IF(IVAmensual=1, IF(OR(IVAcc,C41&lt;0.1),1,C39/C41),    IF(OR(IVAcc,SUM(C41:E41)&lt;0.4),1,SUM(C39:E39)/SUM(C41:E41)))*0</f>
        <v>0</v>
      </c>
      <c r="F42" s="3246">
        <f>IF(IVAmensual=1,    IF(OR(IVAcc,F41&lt;0.1),1,F39/F41), 0)*0</f>
        <v>0</v>
      </c>
      <c r="G42" s="3246">
        <f>IF(IVAmensual=1,    IF(OR(IVAcc,G41&lt;0.1),1,G39/G41), 0)*0</f>
        <v>0</v>
      </c>
      <c r="H42" s="3246">
        <f ca="1">IF(IVAmensual=1, IF(OR(IVAcc,F41&lt;0.1),1,F39/F41),    IF(OR(IVAcc,SUM(F41:H41)&lt;0.4),1,SUM(F39:H39)/SUM(F41:H41)))*0</f>
        <v>0</v>
      </c>
      <c r="I42" s="3246">
        <f>IF(IVAmensual=1,    IF(OR(IVAcc,I41&lt;0.1),1,I39/I41), 0)*0</f>
        <v>0</v>
      </c>
      <c r="J42" s="3246">
        <f>IF(IVAmensual=1,    IF(OR(IVAcc,J41&lt;0.1),1,J39/J41), 0)*0</f>
        <v>0</v>
      </c>
      <c r="K42" s="3246">
        <f ca="1">IF(IVAmensual=1, IF(OR(IVAcc,I41&lt;0.1),1,I39/I41),    IF(OR(IVAcc,SUM(I41:K41)&lt;0.4),1,SUM(I39:K39)/SUM(I41:K41)))*0</f>
        <v>0</v>
      </c>
      <c r="L42" s="3246">
        <f>IF(IVAmensual=1,    IF(OR(IVAcc,L41&lt;0.1),1,L39/L41), 0)*0</f>
        <v>0</v>
      </c>
      <c r="M42" s="3246">
        <f>IF(IVAmensual=1,    IF(OR(IVAcc,M41&lt;0.1),1,M39/M41), 0)*0</f>
        <v>0</v>
      </c>
      <c r="N42" s="3246">
        <f ca="1">IF(IVAmensual=1, IF(OR(IVAcc,L41&lt;0.1),1,L39/L41),    IF(OR(IVAcc,SUM(L41:N41)&lt;0.4),1,SUM(L39:N39)/SUM(L41:N41)))*0</f>
        <v>0</v>
      </c>
      <c r="O42" s="3247">
        <f ca="1" xml:space="preserve"> IF(OR(IVAcc, O41&lt;0.4), 1, O39/O41   )</f>
        <v>1</v>
      </c>
    </row>
  </sheetData>
  <sheetProtection sheet="1" objects="1" scenarios="1"/>
  <phoneticPr fontId="6" type="noConversion"/>
  <conditionalFormatting sqref="C31:N38">
    <cfRule type="expression" dxfId="11" priority="1" stopIfTrue="1">
      <formula>C31=""</formula>
    </cfRule>
  </conditionalFormatting>
  <printOptions horizontalCentered="1"/>
  <pageMargins left="0.57999999999999996" right="0.75" top="0.46" bottom="0.89" header="0" footer="0"/>
  <pageSetup paperSize="9" scale="66" orientation="landscape" horizontalDpi="300" verticalDpi="300"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79"/>
  <sheetViews>
    <sheetView workbookViewId="0"/>
  </sheetViews>
  <sheetFormatPr baseColWidth="10" defaultRowHeight="15.75" outlineLevelRow="1"/>
  <cols>
    <col min="1" max="1" width="39" style="1" customWidth="1"/>
    <col min="2" max="2" width="9.375" customWidth="1"/>
    <col min="3" max="3" width="8.875" bestFit="1" customWidth="1"/>
    <col min="4" max="4" width="8.75" bestFit="1" customWidth="1"/>
    <col min="5" max="5" width="9.5" style="1" bestFit="1" customWidth="1"/>
    <col min="6" max="6" width="2.5" customWidth="1"/>
    <col min="7" max="7" width="7.875" style="1" customWidth="1"/>
    <col min="8" max="8" width="2.625" customWidth="1"/>
    <col min="9" max="9" width="10.625" bestFit="1" customWidth="1"/>
    <col min="10" max="10" width="9.125" customWidth="1"/>
  </cols>
  <sheetData>
    <row r="1" spans="1:11" ht="22.5">
      <c r="A1" s="406" t="s">
        <v>574</v>
      </c>
    </row>
    <row r="2" spans="1:11" ht="22.5">
      <c r="A2" s="406" t="str">
        <f>'Datos Básicos'!B9</f>
        <v>nombre empresa</v>
      </c>
    </row>
    <row r="3" spans="1:11" ht="16.5" thickBot="1">
      <c r="F3" s="4"/>
      <c r="G3" s="666"/>
      <c r="H3" s="4"/>
    </row>
    <row r="4" spans="1:11" ht="22.5">
      <c r="A4" s="1548" t="s">
        <v>575</v>
      </c>
      <c r="B4" s="1625" t="s">
        <v>236</v>
      </c>
      <c r="C4" s="1630" t="s">
        <v>344</v>
      </c>
      <c r="D4" s="1626" t="s">
        <v>345</v>
      </c>
      <c r="E4" s="1627" t="s">
        <v>346</v>
      </c>
      <c r="F4" s="1628"/>
      <c r="G4" s="1629" t="str">
        <f>CONCATENATE('Datos Básicos'!A28," sop.")</f>
        <v>IVA sop.</v>
      </c>
      <c r="H4" s="1623"/>
      <c r="I4" s="1616" t="s">
        <v>347</v>
      </c>
      <c r="J4" s="1624" t="s">
        <v>348</v>
      </c>
    </row>
    <row r="5" spans="1:11">
      <c r="A5" s="1575" t="s">
        <v>567</v>
      </c>
      <c r="B5" s="1581"/>
      <c r="C5" s="1577"/>
      <c r="D5" s="1582"/>
      <c r="E5" s="1583"/>
      <c r="F5" s="4"/>
      <c r="G5" s="1584"/>
      <c r="H5" s="646"/>
      <c r="I5" s="1577"/>
      <c r="J5" s="1585"/>
    </row>
    <row r="6" spans="1:11" outlineLevel="1">
      <c r="A6" s="1552" t="s">
        <v>97</v>
      </c>
      <c r="B6" s="15">
        <v>0</v>
      </c>
      <c r="C6" s="645">
        <v>0</v>
      </c>
      <c r="D6" s="9"/>
      <c r="E6" s="11"/>
      <c r="F6" s="4"/>
      <c r="G6" s="1555">
        <f>IF(E7=0,B6-I6,0)*Parametros!$F$33</f>
        <v>0</v>
      </c>
      <c r="H6" s="647"/>
      <c r="I6" s="643">
        <v>0</v>
      </c>
      <c r="J6" s="2284">
        <f t="array" ref="J6:J10">IF(B6:B10*I6:I10&gt;0,I6:I10/B6:B10,0)</f>
        <v>0</v>
      </c>
      <c r="K6" s="29" t="str">
        <f>IF(I6&gt;B6,"ERROR EN APORTACION EN ESPECIE","")</f>
        <v/>
      </c>
    </row>
    <row r="7" spans="1:11" outlineLevel="1">
      <c r="A7" s="13" t="s">
        <v>336</v>
      </c>
      <c r="B7" s="14">
        <v>0</v>
      </c>
      <c r="C7" s="644">
        <v>0</v>
      </c>
      <c r="D7" s="6">
        <v>30</v>
      </c>
      <c r="E7" s="665">
        <f>IF(C7&gt;D7,B7,B7*C7/D7)</f>
        <v>0</v>
      </c>
      <c r="F7" s="7"/>
      <c r="G7" s="1555">
        <f t="array" ref="G7:G8">IF(E7:E8=0,B7:B8-I7:I8,0)*Parametros!$F$33</f>
        <v>0</v>
      </c>
      <c r="H7" s="647"/>
      <c r="I7" s="643">
        <v>0</v>
      </c>
      <c r="J7" s="2284">
        <v>0</v>
      </c>
      <c r="K7" s="29" t="str">
        <f>IF(I7&gt;B7,"ERROR EN APORTACION EN ESPECIE","")</f>
        <v/>
      </c>
    </row>
    <row r="8" spans="1:11" outlineLevel="1">
      <c r="A8" s="13" t="s">
        <v>337</v>
      </c>
      <c r="B8" s="14">
        <v>0</v>
      </c>
      <c r="C8" s="644">
        <v>0</v>
      </c>
      <c r="D8" s="6">
        <v>20</v>
      </c>
      <c r="E8" s="665">
        <f>IF(C8&gt;D8,B8,B8*C8/D8)</f>
        <v>0</v>
      </c>
      <c r="F8" s="7"/>
      <c r="G8" s="1557">
        <v>0</v>
      </c>
      <c r="H8" s="647"/>
      <c r="I8" s="642">
        <v>0</v>
      </c>
      <c r="J8" s="2285">
        <v>0</v>
      </c>
      <c r="K8" s="29" t="str">
        <f>IF(I8&gt;B8,"ERROR EN APORTACION EN ESPECIE","")</f>
        <v/>
      </c>
    </row>
    <row r="9" spans="1:11" outlineLevel="1">
      <c r="A9" s="2292" t="s">
        <v>969</v>
      </c>
      <c r="B9" s="2385">
        <f>+'Bal. Inicial Previo'!D14</f>
        <v>0</v>
      </c>
      <c r="C9" s="2294"/>
      <c r="D9" s="9"/>
      <c r="E9" s="11"/>
      <c r="F9" s="1564"/>
      <c r="G9" s="2291">
        <v>0</v>
      </c>
      <c r="H9" s="3100"/>
      <c r="I9" s="2294"/>
      <c r="J9" s="3101">
        <v>0</v>
      </c>
      <c r="K9" s="29"/>
    </row>
    <row r="10" spans="1:11" ht="16.5" thickBot="1">
      <c r="A10" s="1549" t="str">
        <f>"Total "&amp;A5</f>
        <v>Total Terrenos y Edificaciones</v>
      </c>
      <c r="B10" s="676">
        <f>SUM(B6:B9)</f>
        <v>0</v>
      </c>
      <c r="C10" s="679">
        <f t="array" ref="C10">IF($B10-B6=0,0,SUM($B7:$B9*C7:C9)/($B10-B6))</f>
        <v>0</v>
      </c>
      <c r="D10" s="678">
        <f t="array" ref="D10">IF(B7+B8=0,AVERAGE(D7:D9),SUM($B7:$B9*D7:D9)/(B7+B8+B9))</f>
        <v>25</v>
      </c>
      <c r="E10" s="677">
        <f>SUM(E7:E8)</f>
        <v>0</v>
      </c>
      <c r="F10" s="8"/>
      <c r="G10" s="1558">
        <f>SUM(G6:G9)</f>
        <v>0</v>
      </c>
      <c r="H10" s="649"/>
      <c r="I10" s="640">
        <f>SUM(I6:I8)</f>
        <v>0</v>
      </c>
      <c r="J10" s="2286">
        <v>0</v>
      </c>
    </row>
    <row r="11" spans="1:11" ht="16.5" thickBot="1">
      <c r="A11" s="1554"/>
      <c r="B11" s="12"/>
      <c r="C11" s="4"/>
      <c r="D11" s="5"/>
      <c r="E11" s="666"/>
      <c r="F11" s="4"/>
      <c r="G11" s="666"/>
      <c r="H11" s="4"/>
      <c r="I11" s="4"/>
      <c r="J11" s="4"/>
    </row>
    <row r="12" spans="1:11">
      <c r="A12" s="1551" t="s">
        <v>294</v>
      </c>
      <c r="B12" s="2434" t="s">
        <v>236</v>
      </c>
      <c r="C12" s="1540" t="s">
        <v>300</v>
      </c>
      <c r="D12" s="2435" t="s">
        <v>83</v>
      </c>
      <c r="E12" s="2436" t="s">
        <v>542</v>
      </c>
      <c r="F12" s="4"/>
      <c r="G12" s="2437" t="str">
        <f>G$4</f>
        <v>IVA sop.</v>
      </c>
      <c r="H12" s="2438"/>
      <c r="I12" s="2439" t="s">
        <v>621</v>
      </c>
      <c r="J12" s="2208" t="s">
        <v>353</v>
      </c>
    </row>
    <row r="13" spans="1:11" outlineLevel="1">
      <c r="A13" s="13" t="s">
        <v>687</v>
      </c>
      <c r="B13" s="15">
        <v>0</v>
      </c>
      <c r="C13" s="1372">
        <v>0</v>
      </c>
      <c r="D13" s="1373">
        <v>10</v>
      </c>
      <c r="E13" s="1374">
        <f t="shared" ref="E13:E18" si="0">IF(C13&gt;D13,B13,B13*C13/D13)</f>
        <v>0</v>
      </c>
      <c r="F13" s="7"/>
      <c r="G13" s="1559">
        <f t="array" ref="G13:G18">IF(E13:E18=0,B13:B18-I13:I18,0)*Parametros!$F$33</f>
        <v>0</v>
      </c>
      <c r="H13" s="650"/>
      <c r="I13" s="1379">
        <v>0</v>
      </c>
      <c r="J13" s="638">
        <f t="array" ref="J13:J20">IF(B13:B20&gt;0,I13:I20/B13:B20,0)</f>
        <v>0</v>
      </c>
      <c r="K13" s="29" t="str">
        <f t="shared" ref="K13:K18" si="1">IF(I13&gt;B13,"ERROR EN APORTACION EN ESPECIE","")</f>
        <v/>
      </c>
    </row>
    <row r="14" spans="1:11" outlineLevel="1">
      <c r="A14" s="13" t="s">
        <v>686</v>
      </c>
      <c r="B14" s="14">
        <v>0</v>
      </c>
      <c r="C14" s="644">
        <v>0</v>
      </c>
      <c r="D14" s="6">
        <v>10</v>
      </c>
      <c r="E14" s="665">
        <f t="shared" si="0"/>
        <v>0</v>
      </c>
      <c r="F14" s="7"/>
      <c r="G14" s="1560">
        <v>0</v>
      </c>
      <c r="H14" s="650"/>
      <c r="I14" s="641">
        <v>0</v>
      </c>
      <c r="J14" s="637">
        <v>0</v>
      </c>
      <c r="K14" s="29" t="str">
        <f t="shared" si="1"/>
        <v/>
      </c>
    </row>
    <row r="15" spans="1:11" outlineLevel="1">
      <c r="A15" s="13" t="s">
        <v>333</v>
      </c>
      <c r="B15" s="14">
        <v>0</v>
      </c>
      <c r="C15" s="644">
        <v>0</v>
      </c>
      <c r="D15" s="6">
        <v>10</v>
      </c>
      <c r="E15" s="665">
        <f t="shared" si="0"/>
        <v>0</v>
      </c>
      <c r="F15" s="7"/>
      <c r="G15" s="1560">
        <v>0</v>
      </c>
      <c r="H15" s="650"/>
      <c r="I15" s="641">
        <v>0</v>
      </c>
      <c r="J15" s="637">
        <v>0</v>
      </c>
      <c r="K15" s="29" t="str">
        <f t="shared" si="1"/>
        <v/>
      </c>
    </row>
    <row r="16" spans="1:11" outlineLevel="1">
      <c r="A16" s="13" t="s">
        <v>351</v>
      </c>
      <c r="B16" s="14">
        <v>0</v>
      </c>
      <c r="C16" s="644">
        <v>0</v>
      </c>
      <c r="D16" s="6">
        <v>10</v>
      </c>
      <c r="E16" s="665">
        <f t="shared" si="0"/>
        <v>0</v>
      </c>
      <c r="F16" s="7"/>
      <c r="G16" s="1560">
        <v>0</v>
      </c>
      <c r="H16" s="650"/>
      <c r="I16" s="641">
        <v>0</v>
      </c>
      <c r="J16" s="637">
        <v>0</v>
      </c>
      <c r="K16" s="29" t="str">
        <f t="shared" si="1"/>
        <v/>
      </c>
    </row>
    <row r="17" spans="1:11" outlineLevel="1">
      <c r="A17" s="13" t="s">
        <v>541</v>
      </c>
      <c r="B17" s="14">
        <v>0</v>
      </c>
      <c r="C17" s="644">
        <v>0</v>
      </c>
      <c r="D17" s="6">
        <v>10</v>
      </c>
      <c r="E17" s="665">
        <f t="shared" si="0"/>
        <v>0</v>
      </c>
      <c r="F17" s="7"/>
      <c r="G17" s="1560">
        <v>0</v>
      </c>
      <c r="H17" s="650"/>
      <c r="I17" s="641">
        <v>0</v>
      </c>
      <c r="J17" s="637">
        <v>0</v>
      </c>
      <c r="K17" s="29" t="str">
        <f t="shared" si="1"/>
        <v/>
      </c>
    </row>
    <row r="18" spans="1:11" outlineLevel="1">
      <c r="A18" s="13" t="s">
        <v>540</v>
      </c>
      <c r="B18" s="14">
        <v>0</v>
      </c>
      <c r="C18" s="644">
        <v>0</v>
      </c>
      <c r="D18" s="6">
        <v>10</v>
      </c>
      <c r="E18" s="665">
        <f t="shared" si="0"/>
        <v>0</v>
      </c>
      <c r="F18" s="7"/>
      <c r="G18" s="1560">
        <v>0</v>
      </c>
      <c r="H18" s="650"/>
      <c r="I18" s="641">
        <v>0</v>
      </c>
      <c r="J18" s="637">
        <v>0</v>
      </c>
      <c r="K18" s="29" t="str">
        <f t="shared" si="1"/>
        <v/>
      </c>
    </row>
    <row r="19" spans="1:11" outlineLevel="1">
      <c r="A19" s="2292" t="s">
        <v>970</v>
      </c>
      <c r="B19" s="2385">
        <f>+'Bal. Inicial Previo'!D12</f>
        <v>0</v>
      </c>
      <c r="C19" s="2294"/>
      <c r="D19" s="3098">
        <f>'Bal. Inicial Previo'!$D$38</f>
        <v>15</v>
      </c>
      <c r="E19" s="2290">
        <f>-'Bal. Inicial Previo'!D13</f>
        <v>0</v>
      </c>
      <c r="F19" s="1564"/>
      <c r="G19" s="2291">
        <v>0</v>
      </c>
      <c r="H19" s="3099"/>
      <c r="I19" s="2294"/>
      <c r="J19" s="637">
        <v>0</v>
      </c>
      <c r="K19" s="29"/>
    </row>
    <row r="20" spans="1:11" ht="16.5" thickBot="1">
      <c r="A20" s="1553" t="str">
        <f>"Total "&amp;A12</f>
        <v>Total Instalaciones</v>
      </c>
      <c r="B20" s="676">
        <f>SUM(B12:B19)</f>
        <v>0</v>
      </c>
      <c r="C20" s="1402">
        <f t="array" ref="C20">IF($B20=0,0,SUM($B13:$B19*C13:C19)/$B20)</f>
        <v>0</v>
      </c>
      <c r="D20" s="2393">
        <f t="array" ref="D20">IF($B20=0,AVERAGE(D13:D19),SUM($B13:$B19*D13:D19)/$B20)</f>
        <v>10.714285714285714</v>
      </c>
      <c r="E20" s="677">
        <f>SUM(E12:E19)</f>
        <v>0</v>
      </c>
      <c r="F20" s="8"/>
      <c r="G20" s="1561">
        <f>SUM(G13:G19)</f>
        <v>0</v>
      </c>
      <c r="H20" s="651"/>
      <c r="I20" s="639">
        <f>SUM(I13:I19)</f>
        <v>0</v>
      </c>
      <c r="J20" s="10">
        <v>0</v>
      </c>
    </row>
    <row r="21" spans="1:11" ht="16.5" thickBot="1">
      <c r="A21" s="1554"/>
      <c r="B21" s="12"/>
      <c r="C21" s="4"/>
      <c r="D21" s="5"/>
      <c r="E21" s="666"/>
      <c r="F21" s="4"/>
      <c r="G21" s="666"/>
      <c r="H21" s="4"/>
      <c r="I21" s="4"/>
      <c r="J21" s="4"/>
    </row>
    <row r="22" spans="1:11">
      <c r="A22" s="1551" t="s">
        <v>2</v>
      </c>
      <c r="B22" s="1375" t="str">
        <f t="array" ref="B22:E22">$B$12:$E$12</f>
        <v>Importe</v>
      </c>
      <c r="C22" s="1376" t="str">
        <v>antigüedad</v>
      </c>
      <c r="D22" s="1377" t="str">
        <v>plazo</v>
      </c>
      <c r="E22" s="1378" t="str">
        <v>amort. previa</v>
      </c>
      <c r="F22" s="4"/>
      <c r="G22" s="1556" t="str">
        <f>G$4</f>
        <v>IVA sop.</v>
      </c>
      <c r="H22" s="648"/>
      <c r="I22" s="1615" t="str">
        <f t="array" ref="I22:J22">I$12:J$12</f>
        <v>Aport. Capital</v>
      </c>
      <c r="J22" s="1381" t="str">
        <v>% especie</v>
      </c>
    </row>
    <row r="23" spans="1:11" outlineLevel="1">
      <c r="A23" s="13" t="s">
        <v>681</v>
      </c>
      <c r="B23" s="15">
        <v>0</v>
      </c>
      <c r="C23" s="1372">
        <v>0</v>
      </c>
      <c r="D23" s="1373">
        <v>10</v>
      </c>
      <c r="E23" s="1374">
        <f>IF(C23&gt;D23,B23,B23*C23/D23)</f>
        <v>0</v>
      </c>
      <c r="F23" s="7"/>
      <c r="G23" s="1562">
        <f t="array" ref="G23:G25">IF(E23:E25=0,B23:B25-I23:I25,0)*Parametros!$F$33</f>
        <v>0</v>
      </c>
      <c r="H23" s="652"/>
      <c r="I23" s="1379">
        <v>0</v>
      </c>
      <c r="J23" s="638">
        <f t="array" ref="J23:J26">IF(B23:B26*I23:I26&gt;0,I23:I26/B23:B26,0)</f>
        <v>0</v>
      </c>
      <c r="K23" s="29" t="str">
        <f>IF(I23&gt;B23,"ERROR EN APORTACION EN ESPECIE","")</f>
        <v/>
      </c>
    </row>
    <row r="24" spans="1:11" outlineLevel="1">
      <c r="A24" s="13" t="s">
        <v>681</v>
      </c>
      <c r="B24" s="14">
        <v>0</v>
      </c>
      <c r="C24" s="644">
        <v>0</v>
      </c>
      <c r="D24" s="6">
        <v>10</v>
      </c>
      <c r="E24" s="665">
        <f>IF(C24&gt;D24,B24,B24*C24/D24)</f>
        <v>0</v>
      </c>
      <c r="F24" s="7"/>
      <c r="G24" s="1563">
        <v>0</v>
      </c>
      <c r="H24" s="652"/>
      <c r="I24" s="641">
        <v>0</v>
      </c>
      <c r="J24" s="637">
        <v>0</v>
      </c>
      <c r="K24" s="29" t="str">
        <f>IF(I24&gt;B24,"ERROR EN APORTACION EN ESPECIE","")</f>
        <v/>
      </c>
    </row>
    <row r="25" spans="1:11" outlineLevel="1">
      <c r="A25" s="13" t="s">
        <v>539</v>
      </c>
      <c r="B25" s="14">
        <v>0</v>
      </c>
      <c r="C25" s="644">
        <v>0</v>
      </c>
      <c r="D25" s="6">
        <v>10</v>
      </c>
      <c r="E25" s="665">
        <f>IF(C25&gt;D25,B25,B25*C25/D25)</f>
        <v>0</v>
      </c>
      <c r="F25" s="7"/>
      <c r="G25" s="1563">
        <v>0</v>
      </c>
      <c r="H25" s="652"/>
      <c r="I25" s="641">
        <v>0</v>
      </c>
      <c r="J25" s="637">
        <v>0</v>
      </c>
      <c r="K25" s="29" t="str">
        <f>IF(I25&gt;B25,"ERROR EN APORTACION EN ESPECIE","")</f>
        <v/>
      </c>
    </row>
    <row r="26" spans="1:11" ht="16.5" thickBot="1">
      <c r="A26" s="1549" t="str">
        <f>"Total "&amp;A22</f>
        <v>Total Maquinaria</v>
      </c>
      <c r="B26" s="676">
        <f>SUM(B22:B25)</f>
        <v>0</v>
      </c>
      <c r="C26" s="1402">
        <f t="array" ref="C26">IF($B26=0,0,SUM($B23:$B25*C23:C25)/$B26)</f>
        <v>0</v>
      </c>
      <c r="D26" s="678">
        <f t="array" ref="D26">IF($B26=0,AVERAGE(D23:D25),SUM($B23:$B25*D23:D25)/$B26)</f>
        <v>10</v>
      </c>
      <c r="E26" s="677">
        <f>SUM(E22:E25)</f>
        <v>0</v>
      </c>
      <c r="F26" s="8"/>
      <c r="G26" s="1561">
        <f>SUM(G22:G25)</f>
        <v>0</v>
      </c>
      <c r="H26" s="651"/>
      <c r="I26" s="639">
        <f>SUM(I22:I25)</f>
        <v>0</v>
      </c>
      <c r="J26" s="10">
        <v>0</v>
      </c>
    </row>
    <row r="27" spans="1:11" ht="16.5" thickBot="1">
      <c r="A27" s="1554"/>
      <c r="B27" s="12"/>
      <c r="C27" s="4"/>
      <c r="D27" s="5"/>
      <c r="E27" s="666"/>
      <c r="F27" s="4"/>
      <c r="G27" s="666"/>
      <c r="H27" s="4"/>
      <c r="I27" s="4"/>
      <c r="J27" s="4"/>
    </row>
    <row r="28" spans="1:11">
      <c r="A28" s="1551" t="s">
        <v>65</v>
      </c>
      <c r="B28" s="1375" t="str">
        <f t="array" ref="B28:E28">$B$12:$E$12</f>
        <v>Importe</v>
      </c>
      <c r="C28" s="1376" t="str">
        <v>antigüedad</v>
      </c>
      <c r="D28" s="1377" t="str">
        <v>plazo</v>
      </c>
      <c r="E28" s="1378" t="str">
        <v>amort. previa</v>
      </c>
      <c r="F28" s="4"/>
      <c r="G28" s="1556" t="str">
        <f>G$4</f>
        <v>IVA sop.</v>
      </c>
      <c r="H28" s="648"/>
      <c r="I28" s="1615" t="str">
        <f t="array" ref="I28:J28">I$12:J$12</f>
        <v>Aport. Capital</v>
      </c>
      <c r="J28" s="1381" t="str">
        <v>% especie</v>
      </c>
    </row>
    <row r="29" spans="1:11" outlineLevel="1">
      <c r="A29" s="13" t="s">
        <v>335</v>
      </c>
      <c r="B29" s="15">
        <v>0</v>
      </c>
      <c r="C29" s="1372">
        <v>0</v>
      </c>
      <c r="D29" s="1373">
        <v>5</v>
      </c>
      <c r="E29" s="1374">
        <f>IF(C29&gt;D29,B29,B29*C29/D29)</f>
        <v>0</v>
      </c>
      <c r="F29" s="7"/>
      <c r="G29" s="1563">
        <f t="array" ref="G29:G30">IF(E29:E30=0,B29:B30-I29:I30,0)*Parametros!$F$33</f>
        <v>0</v>
      </c>
      <c r="H29" s="652"/>
      <c r="I29" s="641">
        <v>0</v>
      </c>
      <c r="J29" s="637">
        <f t="array" ref="J29:J31">IF(B29:B31*I29:I31&gt;0,I29:I31/B29:B31,0)</f>
        <v>0</v>
      </c>
      <c r="K29" s="29" t="str">
        <f>IF(I29&gt;B29,"ERROR EN APORTACION EN ESPECIE","")</f>
        <v/>
      </c>
    </row>
    <row r="30" spans="1:11" outlineLevel="1">
      <c r="A30" s="13" t="s">
        <v>538</v>
      </c>
      <c r="B30" s="14">
        <v>0</v>
      </c>
      <c r="C30" s="644">
        <v>0</v>
      </c>
      <c r="D30" s="6">
        <v>5</v>
      </c>
      <c r="E30" s="665">
        <f>IF(C30&gt;D30,B30,B30*C30/D30)</f>
        <v>0</v>
      </c>
      <c r="F30" s="7"/>
      <c r="G30" s="1563">
        <v>0</v>
      </c>
      <c r="H30" s="652"/>
      <c r="I30" s="641">
        <v>0</v>
      </c>
      <c r="J30" s="637">
        <v>0</v>
      </c>
      <c r="K30" s="29" t="str">
        <f>IF(I30&gt;B30,"ERROR EN APORTACION EN ESPECIE","")</f>
        <v/>
      </c>
    </row>
    <row r="31" spans="1:11" ht="16.5" thickBot="1">
      <c r="A31" s="1553" t="str">
        <f>"Total "&amp;A28</f>
        <v>Total Utillaje, Herramientas, ...</v>
      </c>
      <c r="B31" s="676">
        <f>SUM(B28:B30)</f>
        <v>0</v>
      </c>
      <c r="C31" s="1402">
        <f t="array" ref="C31">IF($B31=0,0,SUM($B29:$B30*C29:C30)/$B31)</f>
        <v>0</v>
      </c>
      <c r="D31" s="678">
        <f t="array" ref="D31">IF($B31=0,AVERAGE(D29:D30),SUM($B29:$B30*D29:D30)/$B31)</f>
        <v>5</v>
      </c>
      <c r="E31" s="677">
        <f>SUM(E28:E30)</f>
        <v>0</v>
      </c>
      <c r="F31" s="8"/>
      <c r="G31" s="1561">
        <f>SUM(G28:G30)</f>
        <v>0</v>
      </c>
      <c r="H31" s="651"/>
      <c r="I31" s="639">
        <f>SUM(I28:I30)</f>
        <v>0</v>
      </c>
      <c r="J31" s="10">
        <v>0</v>
      </c>
    </row>
    <row r="32" spans="1:11" ht="16.5" thickBot="1">
      <c r="A32" s="1554"/>
      <c r="B32" s="12"/>
      <c r="C32" s="4"/>
      <c r="D32" s="5"/>
      <c r="E32" s="666"/>
      <c r="F32" s="4"/>
      <c r="G32" s="666"/>
      <c r="H32" s="4"/>
      <c r="I32" s="4"/>
      <c r="J32" s="4"/>
    </row>
    <row r="33" spans="1:11">
      <c r="A33" s="1551" t="s">
        <v>3</v>
      </c>
      <c r="B33" s="1375" t="str">
        <f t="array" ref="B33:E33">$B$12:$E$12</f>
        <v>Importe</v>
      </c>
      <c r="C33" s="1376" t="str">
        <v>antigüedad</v>
      </c>
      <c r="D33" s="1377" t="str">
        <v>plazo</v>
      </c>
      <c r="E33" s="1378" t="str">
        <v>amort. previa</v>
      </c>
      <c r="F33" s="4"/>
      <c r="G33" s="1556" t="str">
        <f>G$4</f>
        <v>IVA sop.</v>
      </c>
      <c r="H33" s="648"/>
      <c r="I33" s="1615" t="str">
        <f t="array" ref="I33:J33">I$12:J$12</f>
        <v>Aport. Capital</v>
      </c>
      <c r="J33" s="1381" t="str">
        <v>% especie</v>
      </c>
    </row>
    <row r="34" spans="1:11" outlineLevel="1">
      <c r="A34" s="13" t="s">
        <v>334</v>
      </c>
      <c r="B34" s="15">
        <v>0</v>
      </c>
      <c r="C34" s="1372">
        <v>0</v>
      </c>
      <c r="D34" s="1373">
        <v>5</v>
      </c>
      <c r="E34" s="1374">
        <f>IF(C34&gt;D34,B34,B34*C34/D34)</f>
        <v>0</v>
      </c>
      <c r="F34" s="7"/>
      <c r="G34" s="1562">
        <f t="array" ref="G34:G36">IF(E34:E36=0,B34:B36-I34:I36,0)*Parametros!$F$33</f>
        <v>0</v>
      </c>
      <c r="H34" s="652"/>
      <c r="I34" s="641">
        <v>0</v>
      </c>
      <c r="J34" s="637">
        <f t="array" ref="J34:J37">IF(B34:B37*I34:I37&gt;0,I37:I37/B34:B37,0)</f>
        <v>0</v>
      </c>
      <c r="K34" s="29" t="str">
        <f>IF(I34&gt;B34,"ERROR EN APORTACION EN ESPECIE","")</f>
        <v/>
      </c>
    </row>
    <row r="35" spans="1:11" outlineLevel="1">
      <c r="A35" s="13" t="s">
        <v>352</v>
      </c>
      <c r="B35" s="14">
        <v>0</v>
      </c>
      <c r="C35" s="644">
        <v>0</v>
      </c>
      <c r="D35" s="6">
        <v>5</v>
      </c>
      <c r="E35" s="665">
        <f>IF(C35&gt;D35,B35,B35*C35/D35)</f>
        <v>0</v>
      </c>
      <c r="F35" s="7"/>
      <c r="G35" s="1563">
        <v>0</v>
      </c>
      <c r="H35" s="652"/>
      <c r="I35" s="641">
        <v>0</v>
      </c>
      <c r="J35" s="637">
        <v>0</v>
      </c>
      <c r="K35" s="29" t="str">
        <f>IF(I35&gt;B35,"ERROR EN APORTACION EN ESPECIE","")</f>
        <v/>
      </c>
    </row>
    <row r="36" spans="1:11" outlineLevel="1">
      <c r="A36" s="13" t="s">
        <v>338</v>
      </c>
      <c r="B36" s="14">
        <v>0</v>
      </c>
      <c r="C36" s="644">
        <v>0</v>
      </c>
      <c r="D36" s="6">
        <v>5</v>
      </c>
      <c r="E36" s="665">
        <f>IF(C36&gt;D36,B36,B36*C36/D36)</f>
        <v>0</v>
      </c>
      <c r="F36" s="7"/>
      <c r="G36" s="1563">
        <v>0</v>
      </c>
      <c r="H36" s="652"/>
      <c r="I36" s="641">
        <v>0</v>
      </c>
      <c r="J36" s="637">
        <v>0</v>
      </c>
      <c r="K36" s="29" t="str">
        <f>IF(I36&gt;B36,"ERROR EN APORTACION EN ESPECIE","")</f>
        <v/>
      </c>
    </row>
    <row r="37" spans="1:11" ht="16.5" thickBot="1">
      <c r="A37" s="1549" t="str">
        <f>"Total "&amp;A33</f>
        <v>Total Mobiliario</v>
      </c>
      <c r="B37" s="676">
        <f>SUM(B33:B36)</f>
        <v>0</v>
      </c>
      <c r="C37" s="1402">
        <f t="array" ref="C37">IF($B37=0,0,SUM($B34:$B36*C34:C36)/$B37)</f>
        <v>0</v>
      </c>
      <c r="D37" s="678">
        <f t="array" ref="D37">IF($B37=0,AVERAGE(D34:D36),SUM($B34:$B36*D34:D36)/$B37)</f>
        <v>5</v>
      </c>
      <c r="E37" s="677">
        <f>SUM(E33:E36)</f>
        <v>0</v>
      </c>
      <c r="F37" s="8"/>
      <c r="G37" s="1561">
        <f>SUM(G33:G36)</f>
        <v>0</v>
      </c>
      <c r="H37" s="651"/>
      <c r="I37" s="639">
        <f>SUM(I33:I36)</f>
        <v>0</v>
      </c>
      <c r="J37" s="10">
        <v>0</v>
      </c>
    </row>
    <row r="38" spans="1:11" ht="16.5" thickBot="1">
      <c r="A38" s="1554"/>
      <c r="B38" s="12"/>
      <c r="C38" s="4"/>
      <c r="D38" s="5"/>
      <c r="E38" s="666"/>
      <c r="F38" s="4"/>
      <c r="G38" s="666"/>
      <c r="H38" s="4"/>
      <c r="I38" s="4"/>
      <c r="J38" s="4"/>
    </row>
    <row r="39" spans="1:11">
      <c r="A39" s="1551" t="s">
        <v>339</v>
      </c>
      <c r="B39" s="1375" t="str">
        <f t="array" ref="B39:E39">$B$12:$E$12</f>
        <v>Importe</v>
      </c>
      <c r="C39" s="1376" t="str">
        <v>antigüedad</v>
      </c>
      <c r="D39" s="1377" t="str">
        <v>plazo</v>
      </c>
      <c r="E39" s="1378" t="str">
        <v>amort. previa</v>
      </c>
      <c r="F39" s="4"/>
      <c r="G39" s="1556" t="str">
        <f>G$4</f>
        <v>IVA sop.</v>
      </c>
      <c r="H39" s="648"/>
      <c r="I39" s="1615" t="str">
        <f t="array" ref="I39:J39">I$12:J$12</f>
        <v>Aport. Capital</v>
      </c>
      <c r="J39" s="1381" t="str">
        <v>% especie</v>
      </c>
    </row>
    <row r="40" spans="1:11" outlineLevel="1">
      <c r="A40" s="13" t="s">
        <v>85</v>
      </c>
      <c r="B40" s="15">
        <v>0</v>
      </c>
      <c r="C40" s="1372">
        <v>0</v>
      </c>
      <c r="D40" s="1373">
        <v>5</v>
      </c>
      <c r="E40" s="1374">
        <f>IF(C40&gt;D40,B40,B40*C40/D40)</f>
        <v>0</v>
      </c>
      <c r="F40" s="7"/>
      <c r="G40" s="1562">
        <f t="array" ref="G40:G42">IF(E40:E42=0,B40:B42-I40:I42,0)*Parametros!$F$33</f>
        <v>0</v>
      </c>
      <c r="H40" s="652"/>
      <c r="I40" s="641">
        <v>0</v>
      </c>
      <c r="J40" s="637">
        <f t="array" ref="J40:J43">IF(B40:B43*I40:I43&gt;0,I43:I43/B40:B43,0)</f>
        <v>0</v>
      </c>
      <c r="K40" s="29" t="str">
        <f>IF(I40&gt;B40,"ERROR EN APORTACION EN ESPECIE","")</f>
        <v/>
      </c>
    </row>
    <row r="41" spans="1:11" outlineLevel="1">
      <c r="A41" s="13" t="s">
        <v>349</v>
      </c>
      <c r="B41" s="14">
        <v>0</v>
      </c>
      <c r="C41" s="644">
        <v>0</v>
      </c>
      <c r="D41" s="6">
        <v>5</v>
      </c>
      <c r="E41" s="665">
        <f>IF(C41&gt;D41,B41,B41*C41/D41)</f>
        <v>0</v>
      </c>
      <c r="F41" s="7"/>
      <c r="G41" s="1563">
        <v>0</v>
      </c>
      <c r="H41" s="652"/>
      <c r="I41" s="641">
        <v>0</v>
      </c>
      <c r="J41" s="637">
        <v>0</v>
      </c>
      <c r="K41" s="29" t="str">
        <f>IF(I41&gt;B41,"ERROR EN APORTACION EN ESPECIE","")</f>
        <v/>
      </c>
    </row>
    <row r="42" spans="1:11" outlineLevel="1">
      <c r="A42" s="13" t="s">
        <v>340</v>
      </c>
      <c r="B42" s="14">
        <v>0</v>
      </c>
      <c r="C42" s="644">
        <v>0</v>
      </c>
      <c r="D42" s="6">
        <v>5</v>
      </c>
      <c r="E42" s="665">
        <f>IF(C42&gt;D42,B42,B42*C42/D42)</f>
        <v>0</v>
      </c>
      <c r="F42" s="7"/>
      <c r="G42" s="1563">
        <v>0</v>
      </c>
      <c r="H42" s="652"/>
      <c r="I42" s="641">
        <v>0</v>
      </c>
      <c r="J42" s="637">
        <v>0</v>
      </c>
      <c r="K42" s="29" t="str">
        <f>IF(I42&gt;B42,"ERROR EN APORTACION EN ESPECIE","")</f>
        <v/>
      </c>
    </row>
    <row r="43" spans="1:11" ht="16.5" thickBot="1">
      <c r="A43" s="1549" t="str">
        <f>"Total "&amp;A39</f>
        <v>Total Elementos de Transporte</v>
      </c>
      <c r="B43" s="676">
        <f>SUM(B39:B42)</f>
        <v>0</v>
      </c>
      <c r="C43" s="1402">
        <f t="array" ref="C43">IF($B43=0,0,SUM($B40:$B42*C40:C42)/$B43)</f>
        <v>0</v>
      </c>
      <c r="D43" s="678">
        <f t="array" ref="D43">IF($B43=0,AVERAGE(D40:D42),SUM($B40:$B42*D40:D42)/$B43)</f>
        <v>5</v>
      </c>
      <c r="E43" s="677">
        <f>SUM(E39:E42)</f>
        <v>0</v>
      </c>
      <c r="F43" s="8"/>
      <c r="G43" s="1561">
        <f>SUM(G39:G42)</f>
        <v>0</v>
      </c>
      <c r="H43" s="651"/>
      <c r="I43" s="639">
        <f>SUM(I39:I42)</f>
        <v>0</v>
      </c>
      <c r="J43" s="10">
        <v>0</v>
      </c>
    </row>
    <row r="44" spans="1:11" ht="16.5" thickBot="1">
      <c r="A44" s="1554"/>
      <c r="B44" s="12"/>
      <c r="C44" s="4"/>
      <c r="D44" s="4"/>
      <c r="E44" s="666"/>
      <c r="F44" s="4"/>
      <c r="G44" s="666"/>
      <c r="H44" s="4"/>
      <c r="I44" s="4"/>
      <c r="J44" s="4"/>
    </row>
    <row r="45" spans="1:11">
      <c r="A45" s="1551" t="s">
        <v>4</v>
      </c>
      <c r="B45" s="1375" t="str">
        <f t="array" ref="B45:E45">$B$12:$E$12</f>
        <v>Importe</v>
      </c>
      <c r="C45" s="1376" t="str">
        <v>antigüedad</v>
      </c>
      <c r="D45" s="1377" t="str">
        <v>plazo</v>
      </c>
      <c r="E45" s="1378" t="str">
        <v>amort. previa</v>
      </c>
      <c r="F45" s="4"/>
      <c r="G45" s="1556" t="str">
        <f>G$4</f>
        <v>IVA sop.</v>
      </c>
      <c r="H45" s="648"/>
      <c r="I45" s="1615" t="str">
        <f t="array" ref="I45:J45">I$12:J$12</f>
        <v>Aport. Capital</v>
      </c>
      <c r="J45" s="1381" t="str">
        <v>% especie</v>
      </c>
    </row>
    <row r="46" spans="1:11" outlineLevel="1">
      <c r="A46" s="13" t="s">
        <v>341</v>
      </c>
      <c r="B46" s="15">
        <v>0</v>
      </c>
      <c r="C46" s="1372">
        <v>0</v>
      </c>
      <c r="D46" s="1373">
        <v>5</v>
      </c>
      <c r="E46" s="1374">
        <f>IF(C46&gt;D46,B46,B46*C46/D46)</f>
        <v>0</v>
      </c>
      <c r="F46" s="7"/>
      <c r="G46" s="1563">
        <f t="array" ref="G46:G49">IF(E46:E49=0,B46:B49-I46:I49,0)*Parametros!$F$33</f>
        <v>0</v>
      </c>
      <c r="H46" s="652"/>
      <c r="I46" s="641">
        <v>0</v>
      </c>
      <c r="J46" s="637">
        <f t="array" ref="J46:J50">IF(B46:B50*I46:I50&gt;0,I46:I50/B46:B50,0)</f>
        <v>0</v>
      </c>
      <c r="K46" s="29" t="str">
        <f>IF(I46&gt;B46,"ERROR EN APORTACION EN ESPECIE","")</f>
        <v/>
      </c>
    </row>
    <row r="47" spans="1:11" outlineLevel="1">
      <c r="A47" s="13" t="s">
        <v>350</v>
      </c>
      <c r="B47" s="14">
        <v>0</v>
      </c>
      <c r="C47" s="644">
        <v>0</v>
      </c>
      <c r="D47" s="6">
        <v>5</v>
      </c>
      <c r="E47" s="665">
        <f>IF(C47&gt;D47,B47,B47*C47/D47)</f>
        <v>0</v>
      </c>
      <c r="F47" s="7"/>
      <c r="G47" s="1563">
        <v>0</v>
      </c>
      <c r="H47" s="652"/>
      <c r="I47" s="641">
        <v>0</v>
      </c>
      <c r="J47" s="637">
        <v>0</v>
      </c>
      <c r="K47" s="29" t="str">
        <f>IF(I47&gt;B47,"ERROR EN APORTACION EN ESPECIE","")</f>
        <v/>
      </c>
    </row>
    <row r="48" spans="1:11" outlineLevel="1">
      <c r="A48" s="13" t="s">
        <v>342</v>
      </c>
      <c r="B48" s="14">
        <v>0</v>
      </c>
      <c r="C48" s="644">
        <v>0</v>
      </c>
      <c r="D48" s="6">
        <v>5</v>
      </c>
      <c r="E48" s="665">
        <f>IF(C48&gt;D48,B48,B48*C48/D48)</f>
        <v>0</v>
      </c>
      <c r="F48" s="7"/>
      <c r="G48" s="1563">
        <v>0</v>
      </c>
      <c r="H48" s="652"/>
      <c r="I48" s="641">
        <v>0</v>
      </c>
      <c r="J48" s="637">
        <v>0</v>
      </c>
      <c r="K48" s="29" t="str">
        <f>IF(I48&gt;B48,"ERROR EN APORTACION EN ESPECIE","")</f>
        <v/>
      </c>
    </row>
    <row r="49" spans="1:11" outlineLevel="1">
      <c r="A49" s="13" t="s">
        <v>343</v>
      </c>
      <c r="B49" s="14">
        <v>0</v>
      </c>
      <c r="C49" s="644">
        <v>0</v>
      </c>
      <c r="D49" s="6">
        <v>5</v>
      </c>
      <c r="E49" s="665">
        <f>IF(C49&gt;D49,B49,B49*C49/D49)</f>
        <v>0</v>
      </c>
      <c r="F49" s="7"/>
      <c r="G49" s="1563">
        <v>0</v>
      </c>
      <c r="H49" s="652"/>
      <c r="I49" s="641">
        <v>0</v>
      </c>
      <c r="J49" s="637">
        <v>0</v>
      </c>
      <c r="K49" s="29" t="str">
        <f>IF(I49&gt;B49,"ERROR EN APORTACION EN ESPECIE","")</f>
        <v/>
      </c>
    </row>
    <row r="50" spans="1:11" ht="16.5" thickBot="1">
      <c r="A50" s="1549" t="str">
        <f>"Total "&amp;A45</f>
        <v>Total Equipos informáticos</v>
      </c>
      <c r="B50" s="676">
        <f>SUM(B45:B49)</f>
        <v>0</v>
      </c>
      <c r="C50" s="1402">
        <f t="array" ref="C50">IF($B50=0,0,SUM($B46:$B49*C46:C49)/$B50)</f>
        <v>0</v>
      </c>
      <c r="D50" s="678">
        <f t="array" ref="D50">IF($B50=0,AVERAGE(D46:D49),SUM($B46:$B49*D46:D49)/$B50)</f>
        <v>5</v>
      </c>
      <c r="E50" s="677">
        <f>SUM(E45:E49)</f>
        <v>0</v>
      </c>
      <c r="F50" s="8"/>
      <c r="G50" s="1561">
        <f>SUM(G45:G49)</f>
        <v>0</v>
      </c>
      <c r="H50" s="651"/>
      <c r="I50" s="639">
        <f>SUM(I45:I49)</f>
        <v>0</v>
      </c>
      <c r="J50" s="10">
        <v>0</v>
      </c>
    </row>
    <row r="51" spans="1:11" ht="16.5" thickBot="1">
      <c r="A51" s="1554"/>
      <c r="B51" s="12"/>
      <c r="C51" s="4"/>
      <c r="D51" s="4"/>
      <c r="E51" s="666"/>
      <c r="F51" s="4"/>
      <c r="G51" s="666"/>
      <c r="H51" s="4"/>
      <c r="I51" s="4"/>
      <c r="J51" s="4"/>
    </row>
    <row r="52" spans="1:11">
      <c r="A52" s="1551" t="s">
        <v>63</v>
      </c>
      <c r="B52" s="1375" t="str">
        <f t="array" ref="B52:E52">$B$12:$E$12</f>
        <v>Importe</v>
      </c>
      <c r="C52" s="1376" t="str">
        <v>antigüedad</v>
      </c>
      <c r="D52" s="1377" t="str">
        <v>plazo</v>
      </c>
      <c r="E52" s="1378" t="str">
        <v>amort. previa</v>
      </c>
      <c r="F52" s="4"/>
      <c r="G52" s="1556" t="str">
        <f>G$4</f>
        <v>IVA sop.</v>
      </c>
      <c r="H52" s="648"/>
      <c r="I52" s="1615" t="str">
        <f t="array" ref="I52:J52">I$12:J$12</f>
        <v>Aport. Capital</v>
      </c>
      <c r="J52" s="1381" t="str">
        <v>% especie</v>
      </c>
    </row>
    <row r="53" spans="1:11" outlineLevel="1">
      <c r="A53" s="13" t="s">
        <v>594</v>
      </c>
      <c r="B53" s="15">
        <v>0</v>
      </c>
      <c r="C53" s="1372">
        <v>0</v>
      </c>
      <c r="D53" s="1373">
        <v>5</v>
      </c>
      <c r="E53" s="1374">
        <f>IF(C53&gt;D53,B53,B53*C53/D53)</f>
        <v>0</v>
      </c>
      <c r="F53" s="4"/>
      <c r="G53" s="1563">
        <f t="array" ref="G53:G54">IF(E53:E54=0,B53:B54-I53:I54,0)*Parametros!$F$33</f>
        <v>0</v>
      </c>
      <c r="H53" s="652"/>
      <c r="I53" s="641">
        <v>0</v>
      </c>
      <c r="J53" s="637">
        <f t="array" ref="J53:J55">IF(B53:B55*I53:I55&gt;0,I53:I55/B53:B55,0)</f>
        <v>0</v>
      </c>
      <c r="K53" s="29" t="str">
        <f>IF(I53&gt;B53,"ERROR EN APORTACION EN ESPECIE","")</f>
        <v/>
      </c>
    </row>
    <row r="54" spans="1:11" outlineLevel="1">
      <c r="A54" s="13" t="s">
        <v>677</v>
      </c>
      <c r="B54" s="14">
        <v>0</v>
      </c>
      <c r="C54" s="644">
        <v>0</v>
      </c>
      <c r="D54" s="6">
        <v>5</v>
      </c>
      <c r="E54" s="665">
        <f>IF(C54&gt;D54,B54,B54*C54/D54)</f>
        <v>0</v>
      </c>
      <c r="F54" s="7"/>
      <c r="G54" s="1563">
        <v>0</v>
      </c>
      <c r="H54" s="652"/>
      <c r="I54" s="641">
        <v>0</v>
      </c>
      <c r="J54" s="637">
        <v>0</v>
      </c>
      <c r="K54" s="29" t="str">
        <f>IF(I54&gt;B54,"ERROR EN APORTACION EN ESPECIE","")</f>
        <v/>
      </c>
    </row>
    <row r="55" spans="1:11" ht="16.5" thickBot="1">
      <c r="A55" s="1549" t="str">
        <f>"Total "&amp;A52</f>
        <v>Total Otro Inmovilizado Material</v>
      </c>
      <c r="B55" s="676">
        <f>SUM(B52:B54)</f>
        <v>0</v>
      </c>
      <c r="C55" s="1402">
        <f t="array" ref="C55">IF($B55=0,0,SUM($B53:$B54*C53:C54)/$B55)</f>
        <v>0</v>
      </c>
      <c r="D55" s="678">
        <f t="array" ref="D55">IF($B55=0,AVERAGE(D53:D54),SUM($B53:$B54*D53:D54)/$B55)</f>
        <v>5</v>
      </c>
      <c r="E55" s="677">
        <f>SUM(E52:E54)</f>
        <v>0</v>
      </c>
      <c r="F55" s="8"/>
      <c r="G55" s="1561">
        <f>SUM(G52:G54)</f>
        <v>0</v>
      </c>
      <c r="H55" s="651"/>
      <c r="I55" s="639">
        <f>SUM(I52:I54)</f>
        <v>0</v>
      </c>
      <c r="J55" s="10">
        <v>0</v>
      </c>
    </row>
    <row r="56" spans="1:11" ht="16.5" thickBot="1">
      <c r="F56" s="4"/>
      <c r="G56" s="666"/>
      <c r="H56" s="4"/>
    </row>
    <row r="57" spans="1:11">
      <c r="A57" s="1551" t="s">
        <v>690</v>
      </c>
      <c r="B57" s="1375" t="str">
        <f t="array" ref="B57:E57">$B$12:$E$12</f>
        <v>Importe</v>
      </c>
      <c r="C57" s="1376" t="str">
        <v>antigüedad</v>
      </c>
      <c r="D57" s="1377" t="str">
        <v>plazo</v>
      </c>
      <c r="E57" s="1378" t="str">
        <v>amort. previa</v>
      </c>
      <c r="F57" s="4"/>
      <c r="G57" s="1556" t="str">
        <f>G$4</f>
        <v>IVA sop.</v>
      </c>
      <c r="H57" s="648"/>
      <c r="I57" s="1615" t="str">
        <f t="array" ref="I57:J57">I$12:J$12</f>
        <v>Aport. Capital</v>
      </c>
      <c r="J57" s="1381" t="str">
        <v>% especie</v>
      </c>
    </row>
    <row r="58" spans="1:11" outlineLevel="1">
      <c r="A58" s="13" t="s">
        <v>688</v>
      </c>
      <c r="B58" s="15">
        <v>0</v>
      </c>
      <c r="C58" s="1372">
        <v>0</v>
      </c>
      <c r="D58" s="1373">
        <v>3</v>
      </c>
      <c r="E58" s="1374">
        <f>IF(C58&gt;D58,B58,B58*C58/D58)</f>
        <v>0</v>
      </c>
      <c r="F58" s="7"/>
      <c r="G58" s="1563">
        <f t="array" ref="G58:G61">IF(E58:E61=0,B58:B61-I58:I61,0)*Parametros!$F$33</f>
        <v>0</v>
      </c>
      <c r="H58" s="652"/>
      <c r="I58" s="641">
        <v>0</v>
      </c>
      <c r="J58" s="637">
        <f t="array" ref="J58:J63">IF(B58:B63*I58:I63&gt;0,I58:I63/B58:B63,0)</f>
        <v>0</v>
      </c>
      <c r="K58" s="29" t="str">
        <f>IF(I58&gt;B58,"ERROR EN APORTACION EN ESPECIE","")</f>
        <v/>
      </c>
    </row>
    <row r="59" spans="1:11" outlineLevel="1">
      <c r="A59" s="13" t="s">
        <v>355</v>
      </c>
      <c r="B59" s="14">
        <v>0</v>
      </c>
      <c r="C59" s="644">
        <v>0</v>
      </c>
      <c r="D59" s="6">
        <v>5</v>
      </c>
      <c r="E59" s="665">
        <f>IF(C59&gt;D59,B59,B59*C59/D59)</f>
        <v>0</v>
      </c>
      <c r="F59" s="7"/>
      <c r="G59" s="1563">
        <v>0</v>
      </c>
      <c r="H59" s="652"/>
      <c r="I59" s="641">
        <v>0</v>
      </c>
      <c r="J59" s="637">
        <v>0</v>
      </c>
      <c r="K59" s="29" t="str">
        <f>IF(I59&gt;B59,"ERROR EN APORTACION EN ESPECIE","")</f>
        <v/>
      </c>
    </row>
    <row r="60" spans="1:11" outlineLevel="1">
      <c r="A60" s="13" t="s">
        <v>356</v>
      </c>
      <c r="B60" s="14">
        <v>0</v>
      </c>
      <c r="C60" s="644">
        <v>0</v>
      </c>
      <c r="D60" s="6">
        <v>5</v>
      </c>
      <c r="E60" s="665">
        <f>IF(C60&gt;D60,B60,B60*C60/D60)</f>
        <v>0</v>
      </c>
      <c r="F60" s="7"/>
      <c r="G60" s="1563">
        <v>0</v>
      </c>
      <c r="H60" s="652"/>
      <c r="I60" s="641">
        <v>0</v>
      </c>
      <c r="J60" s="637">
        <v>0</v>
      </c>
      <c r="K60" s="29" t="str">
        <f>IF(I60&gt;B60,"ERROR EN APORTACION EN ESPECIE","")</f>
        <v/>
      </c>
    </row>
    <row r="61" spans="1:11" outlineLevel="1">
      <c r="A61" s="13" t="s">
        <v>357</v>
      </c>
      <c r="B61" s="14">
        <v>0</v>
      </c>
      <c r="C61" s="644">
        <v>0</v>
      </c>
      <c r="D61" s="6">
        <v>5</v>
      </c>
      <c r="E61" s="665">
        <f>IF(C61&gt;D61,B61,B61*C61/D61)</f>
        <v>0</v>
      </c>
      <c r="F61" s="7"/>
      <c r="G61" s="1563">
        <v>0</v>
      </c>
      <c r="H61" s="652"/>
      <c r="I61" s="641">
        <v>0</v>
      </c>
      <c r="J61" s="637">
        <v>0</v>
      </c>
      <c r="K61" s="29" t="str">
        <f>IF(I61&gt;B61,"ERROR EN APORTACION EN ESPECIE","")</f>
        <v/>
      </c>
    </row>
    <row r="62" spans="1:11" outlineLevel="1">
      <c r="A62" s="2292" t="s">
        <v>971</v>
      </c>
      <c r="B62" s="2385">
        <f>+'Bal. Inicial Previo'!D10</f>
        <v>0</v>
      </c>
      <c r="C62" s="2294"/>
      <c r="D62" s="3098">
        <f>'Bal. Inicial Previo'!$D$39</f>
        <v>5</v>
      </c>
      <c r="E62" s="2290">
        <f>-'Bal. Inicial Previo'!D11</f>
        <v>0</v>
      </c>
      <c r="F62" s="1564"/>
      <c r="G62" s="2293">
        <v>0</v>
      </c>
      <c r="H62" s="3102"/>
      <c r="I62" s="2294"/>
      <c r="J62" s="3103">
        <v>0</v>
      </c>
      <c r="K62" s="29"/>
    </row>
    <row r="63" spans="1:11" ht="16.5" thickBot="1">
      <c r="A63" s="1549" t="str">
        <f>"Total "&amp;A57</f>
        <v>Total Inmovilizado Intangible</v>
      </c>
      <c r="B63" s="676">
        <f>SUM(B57:B62)</f>
        <v>0</v>
      </c>
      <c r="C63" s="1402">
        <f t="array" ref="C63">IF($B63=0,0,SUM($B58:$B62*C58:C62)/$B63)</f>
        <v>0</v>
      </c>
      <c r="D63" s="2393">
        <f t="array" ref="D63">IF($B63=0,AVERAGE(D58:D62),SUM($B58:$B62*D58:D62)/$B63)</f>
        <v>4.5999999999999996</v>
      </c>
      <c r="E63" s="677">
        <f>SUM(E57:E62)</f>
        <v>0</v>
      </c>
      <c r="F63" s="8"/>
      <c r="G63" s="1561">
        <f>SUM(G57:G61)</f>
        <v>0</v>
      </c>
      <c r="H63" s="651"/>
      <c r="I63" s="639">
        <f>SUM(I57:I61)</f>
        <v>0</v>
      </c>
      <c r="J63" s="10">
        <v>0</v>
      </c>
    </row>
    <row r="64" spans="1:11" ht="17.25" customHeight="1"/>
    <row r="65" spans="1:8">
      <c r="A65" s="2424" t="s">
        <v>1007</v>
      </c>
      <c r="B65" s="1788">
        <f>+B10+B20+B26+B31+B37+B43+B50+B55+B63
-(B62+B19+B9)</f>
        <v>0</v>
      </c>
      <c r="E65" s="1788">
        <f>+E10+E20+E26+E31+E37+E43+E50+E55+E63
-(E62+E19+E9)</f>
        <v>0</v>
      </c>
      <c r="F65" s="4"/>
      <c r="G65" s="1788">
        <f>+G10+G20+G26+G31+G37+G43+G50+G55+G63</f>
        <v>0</v>
      </c>
      <c r="H65" s="4"/>
    </row>
    <row r="66" spans="1:8">
      <c r="F66" s="4"/>
      <c r="G66" s="666"/>
      <c r="H66" s="4"/>
    </row>
    <row r="67" spans="1:8">
      <c r="F67" s="7"/>
      <c r="G67" s="1564"/>
      <c r="H67" s="7"/>
    </row>
    <row r="68" spans="1:8">
      <c r="A68" s="2735" t="s">
        <v>1015</v>
      </c>
      <c r="F68" s="8"/>
      <c r="G68" s="1565"/>
      <c r="H68" s="8"/>
    </row>
    <row r="69" spans="1:8">
      <c r="A69" s="2735" t="s">
        <v>1018</v>
      </c>
    </row>
    <row r="70" spans="1:8">
      <c r="A70" s="2735" t="s">
        <v>1016</v>
      </c>
    </row>
    <row r="71" spans="1:8">
      <c r="A71" s="2735" t="s">
        <v>1074</v>
      </c>
    </row>
    <row r="72" spans="1:8">
      <c r="A72" s="2735" t="s">
        <v>1017</v>
      </c>
    </row>
    <row r="73" spans="1:8">
      <c r="E73" s="667"/>
    </row>
    <row r="76" spans="1:8" s="20" customFormat="1">
      <c r="D76"/>
      <c r="E76" s="1"/>
      <c r="F76" s="19"/>
      <c r="H76" s="19"/>
    </row>
    <row r="77" spans="1:8" s="20" customFormat="1" ht="15">
      <c r="F77" s="19"/>
      <c r="H77" s="19"/>
    </row>
    <row r="78" spans="1:8" s="20" customFormat="1" ht="15">
      <c r="F78" s="19"/>
      <c r="H78" s="19"/>
    </row>
    <row r="79" spans="1:8" s="20" customFormat="1" ht="15">
      <c r="F79" s="21"/>
      <c r="H79" s="19"/>
    </row>
  </sheetData>
  <sheetProtection sheet="1" objects="1" scenarios="1"/>
  <phoneticPr fontId="6" type="noConversion"/>
  <dataValidations count="7">
    <dataValidation type="whole" allowBlank="1" showInputMessage="1" showErrorMessage="1" error="La amortización acumulada debe ser mayor que 0 y MENOR que la inversión total" sqref="E29:F30 H36 H42 H67 H15:H19 E7:F9 E13:F19 E40:F42 E46:F49 E58:F62 E54:F54 E53 E34:F36 E23:F25 F67 H25" xr:uid="{00000000-0002-0000-0500-000000000000}">
      <formula1>0</formula1>
      <formula2>B7</formula2>
    </dataValidation>
    <dataValidation type="custom" allowBlank="1" showInputMessage="1" showErrorMessage="1" error="La aportación en especie no puede ser superior al importe." sqref="I34:I36 I29:I30 I40:I42 I46:I49 I58:I62 I53:I54 I23:I25 I13:I19" xr:uid="{00000000-0002-0000-0500-000001000000}">
      <formula1>OR(AND(E13=0,I13&lt;=B13,I13&gt;0),I13=0)</formula1>
    </dataValidation>
    <dataValidation type="whole" allowBlank="1" showInputMessage="1" showErrorMessage="1" error="El plazo mínimo de amortización es 2 años._x000a_El plazo máximo 99 años." sqref="D7:D9 D13:D19 D58:D62 D53:D54 D46:D49 D40:D42 D34:D36 D29:D30 D23:D25" xr:uid="{00000000-0002-0000-0500-000002000000}">
      <formula1>2</formula1>
      <formula2>99</formula2>
    </dataValidation>
    <dataValidation allowBlank="1" showInputMessage="1" showErrorMessage="1" error="La amortización acumulada debe ser mayor que 0 y MENOR que la inversión total" sqref="H58:H62 H53:H54 H46:H49 H40:H41 H34:H35 H29:H30 H23:H24 H13:H14 H6:H9" xr:uid="{00000000-0002-0000-0500-000003000000}"/>
    <dataValidation type="list" allowBlank="1" showInputMessage="1" showErrorMessage="1" sqref="A29" xr:uid="{00000000-0002-0000-0500-000004000000}">
      <formula1>$A$68:$A$72</formula1>
    </dataValidation>
    <dataValidation type="custom" allowBlank="1" showInputMessage="1" showErrorMessage="1" error="La aportación en especie no puede ser superior al importe." sqref="I6:I7" xr:uid="{00000000-0002-0000-0500-000005000000}">
      <formula1>OR(AND($E$6=0,$I$6&lt;=$B$6,$I$6&gt;0),$I$6=0)</formula1>
    </dataValidation>
    <dataValidation type="custom" allowBlank="1" showInputMessage="1" showErrorMessage="1" error="La aportación en especie no puede ser superior al importe." sqref="I8:I9" xr:uid="{00000000-0002-0000-0500-000006000000}">
      <formula1>OR(AND(E6=0,I6&lt;=B6,I6&gt;0),I6=0)</formula1>
    </dataValidation>
  </dataValidations>
  <printOptions horizontalCentered="1"/>
  <pageMargins left="0.78740157480314965" right="0.48" top="0.37" bottom="0.4" header="0" footer="0"/>
  <pageSetup paperSize="9" scale="76" orientation="portrait" r:id="rId1"/>
  <headerFooter alignWithMargins="0"/>
  <legacyDrawing r:id="rId2"/>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28">
    <tabColor indexed="41"/>
    <pageSetUpPr fitToPage="1"/>
  </sheetPr>
  <dimension ref="A1:P42"/>
  <sheetViews>
    <sheetView workbookViewId="0"/>
  </sheetViews>
  <sheetFormatPr baseColWidth="10" defaultColWidth="11" defaultRowHeight="15"/>
  <cols>
    <col min="1" max="1" width="18.625" style="35" customWidth="1"/>
    <col min="2" max="2" width="11" style="35"/>
    <col min="3" max="3" width="13.5" style="35" customWidth="1"/>
    <col min="4" max="5" width="11" style="35"/>
    <col min="6" max="6" width="12.625" style="35" customWidth="1"/>
    <col min="7" max="8" width="11" style="35"/>
    <col min="9" max="9" width="12" style="35" customWidth="1"/>
    <col min="10" max="11" width="11" style="35"/>
    <col min="12" max="12" width="11.375" style="35" customWidth="1"/>
    <col min="13" max="13" width="11" style="35"/>
    <col min="14" max="14" width="13.375" style="35" bestFit="1" customWidth="1"/>
    <col min="15" max="15" width="11.75" style="35" bestFit="1" customWidth="1"/>
    <col min="16" max="17" width="8.625" style="35" customWidth="1"/>
    <col min="18" max="18" width="9.875" style="35" customWidth="1"/>
    <col min="19" max="20" width="8.625" style="35" customWidth="1"/>
    <col min="21" max="16384" width="11" style="35"/>
  </cols>
  <sheetData>
    <row r="1" spans="1:16" s="67" customFormat="1" ht="22.5">
      <c r="A1" s="67" t="str">
        <f>'IVA 0'!A1</f>
        <v>Previsiones de liquidaciones de IVA</v>
      </c>
      <c r="B1" s="253"/>
      <c r="F1" s="521" t="str">
        <f>Parametros!D$77</f>
        <v>Año 2:  2028</v>
      </c>
      <c r="G1" s="253"/>
    </row>
    <row r="2" spans="1:16" s="67" customFormat="1" ht="22.5">
      <c r="A2" s="67" t="str">
        <f>'Prev.Ventas 0'!A2</f>
        <v>nombre empresa</v>
      </c>
      <c r="B2" s="253"/>
    </row>
    <row r="3" spans="1:16" ht="15.75" thickBot="1">
      <c r="A3" s="1103"/>
      <c r="B3" s="60"/>
      <c r="C3" s="60"/>
      <c r="D3" s="232"/>
      <c r="E3" s="232"/>
      <c r="F3" s="232"/>
      <c r="G3" s="232"/>
      <c r="H3" s="232"/>
      <c r="I3" s="232"/>
      <c r="J3" s="232"/>
      <c r="K3" s="232"/>
      <c r="L3" s="232"/>
      <c r="M3" s="232"/>
      <c r="N3" s="232"/>
      <c r="O3" s="232"/>
      <c r="P3" s="232"/>
    </row>
    <row r="4" spans="1:16" ht="15.75" thickBot="1">
      <c r="A4" s="1136" t="str">
        <f t="array" ref="A4:A8">'IVA 0'!A4:A8</f>
        <v>IVA Soportado</v>
      </c>
      <c r="B4" s="427"/>
      <c r="C4" s="158" t="str">
        <f t="array" ref="C4:N4">meses</f>
        <v>enero</v>
      </c>
      <c r="D4" s="158" t="str">
        <v>febrero</v>
      </c>
      <c r="E4" s="158" t="str">
        <v>marzo</v>
      </c>
      <c r="F4" s="158" t="str">
        <v>abril</v>
      </c>
      <c r="G4" s="158" t="str">
        <v>mayo</v>
      </c>
      <c r="H4" s="158" t="str">
        <v>junio</v>
      </c>
      <c r="I4" s="158" t="str">
        <v>julio</v>
      </c>
      <c r="J4" s="158" t="str">
        <v>agosto</v>
      </c>
      <c r="K4" s="158" t="str">
        <v>septiembre</v>
      </c>
      <c r="L4" s="158" t="str">
        <v>octubre</v>
      </c>
      <c r="M4" s="158" t="str">
        <v>noviembre</v>
      </c>
      <c r="N4" s="158" t="str">
        <v>diciembre</v>
      </c>
      <c r="O4" s="159" t="str">
        <f>'IVA 0'!$O$4</f>
        <v>Totales</v>
      </c>
    </row>
    <row r="5" spans="1:16">
      <c r="A5" s="2462" t="str">
        <v>IVA sop. de Compras y C.V.</v>
      </c>
      <c r="B5" s="2463"/>
      <c r="C5" s="1104">
        <f t="array" aca="1" ref="C5:N5" ca="1">'Distr CV 2'!B67:M67</f>
        <v>60.564000000000007</v>
      </c>
      <c r="D5" s="1105">
        <f ca="1"/>
        <v>75.705000000000013</v>
      </c>
      <c r="E5" s="1105">
        <f ca="1"/>
        <v>83.275499999999994</v>
      </c>
      <c r="F5" s="1105">
        <f ca="1"/>
        <v>79.490250000000003</v>
      </c>
      <c r="G5" s="1105">
        <f ca="1"/>
        <v>68.134500000000003</v>
      </c>
      <c r="H5" s="1105">
        <f ca="1"/>
        <v>64.349249999999998</v>
      </c>
      <c r="I5" s="1105">
        <f ca="1"/>
        <v>60.564000000000007</v>
      </c>
      <c r="J5" s="1105">
        <f ca="1"/>
        <v>45.423000000000002</v>
      </c>
      <c r="K5" s="1105">
        <f ca="1"/>
        <v>60.564000000000007</v>
      </c>
      <c r="L5" s="1105">
        <f ca="1"/>
        <v>71.919750000000008</v>
      </c>
      <c r="M5" s="1105">
        <f ca="1"/>
        <v>75.705000000000013</v>
      </c>
      <c r="N5" s="1106">
        <f ca="1"/>
        <v>90.846000000000004</v>
      </c>
      <c r="O5" s="1137">
        <f ca="1">SUM(C5:N5)</f>
        <v>836.54025000000001</v>
      </c>
    </row>
    <row r="6" spans="1:16">
      <c r="A6" s="1140" t="str">
        <v>IVA sop. de Gastos fijos</v>
      </c>
      <c r="B6" s="1107"/>
      <c r="C6" s="1105">
        <f t="array" aca="1" ref="C6:N6" ca="1">'G.F. 2'!B60:M60</f>
        <v>29.965464454545444</v>
      </c>
      <c r="D6" s="1105">
        <f ca="1"/>
        <v>29.965464454545444</v>
      </c>
      <c r="E6" s="1105">
        <f ca="1"/>
        <v>29.965464454545444</v>
      </c>
      <c r="F6" s="1105">
        <f ca="1"/>
        <v>29.965464454545444</v>
      </c>
      <c r="G6" s="1105">
        <f ca="1"/>
        <v>29.965464454545444</v>
      </c>
      <c r="H6" s="1105">
        <f ca="1"/>
        <v>29.965464454545444</v>
      </c>
      <c r="I6" s="1105">
        <f ca="1"/>
        <v>29.965464454545444</v>
      </c>
      <c r="J6" s="1105">
        <f ca="1"/>
        <v>29.965464454545444</v>
      </c>
      <c r="K6" s="1105">
        <f ca="1"/>
        <v>29.965464454545444</v>
      </c>
      <c r="L6" s="1105">
        <f ca="1"/>
        <v>29.965464454545444</v>
      </c>
      <c r="M6" s="1105">
        <f ca="1"/>
        <v>29.965464454545444</v>
      </c>
      <c r="N6" s="1106">
        <f ca="1"/>
        <v>29.965464454545444</v>
      </c>
      <c r="O6" s="1137">
        <f ca="1">SUM(C6:N6)</f>
        <v>359.58557345454534</v>
      </c>
    </row>
    <row r="7" spans="1:16">
      <c r="A7" s="1140" t="str">
        <v>IVA sop. de inversiones</v>
      </c>
      <c r="B7" s="1108"/>
      <c r="C7" s="1105">
        <f t="array" ref="C7:N7">'Inversiones AC'!$D$44/12+'Inversiones AC'!$D$43/12</f>
        <v>0</v>
      </c>
      <c r="D7" s="1105">
        <v>0</v>
      </c>
      <c r="E7" s="1105">
        <v>0</v>
      </c>
      <c r="F7" s="1105">
        <v>0</v>
      </c>
      <c r="G7" s="1105">
        <v>0</v>
      </c>
      <c r="H7" s="1105">
        <v>0</v>
      </c>
      <c r="I7" s="1105">
        <v>0</v>
      </c>
      <c r="J7" s="1105">
        <v>0</v>
      </c>
      <c r="K7" s="1105">
        <v>0</v>
      </c>
      <c r="L7" s="1105">
        <v>0</v>
      </c>
      <c r="M7" s="1105">
        <v>0</v>
      </c>
      <c r="N7" s="1106">
        <v>0</v>
      </c>
      <c r="O7" s="1137">
        <f>SUM(C7:N7)</f>
        <v>0</v>
      </c>
    </row>
    <row r="8" spans="1:16" ht="15.75" thickBot="1">
      <c r="A8" s="1141" t="str">
        <v>IVA cuotas Leasing/Renting</v>
      </c>
      <c r="B8" s="1109"/>
      <c r="C8" s="1110">
        <f t="array" ref="C8:N8">Leasing!B40:M40+Renting!B38:M38</f>
        <v>0</v>
      </c>
      <c r="D8" s="1111">
        <v>0</v>
      </c>
      <c r="E8" s="1111">
        <v>0</v>
      </c>
      <c r="F8" s="1111">
        <v>0</v>
      </c>
      <c r="G8" s="1111">
        <v>0</v>
      </c>
      <c r="H8" s="1111">
        <v>0</v>
      </c>
      <c r="I8" s="1111">
        <v>0</v>
      </c>
      <c r="J8" s="1111">
        <v>0</v>
      </c>
      <c r="K8" s="1111">
        <v>0</v>
      </c>
      <c r="L8" s="1111">
        <v>0</v>
      </c>
      <c r="M8" s="1111">
        <v>0</v>
      </c>
      <c r="N8" s="1112">
        <v>0</v>
      </c>
      <c r="O8" s="1138">
        <f>SUM(C8:N8)</f>
        <v>0</v>
      </c>
    </row>
    <row r="9" spans="1:16" ht="15.75" thickBot="1">
      <c r="A9" s="2464"/>
      <c r="B9" s="2465" t="str">
        <f>'IVA 0'!B9</f>
        <v>Total IVA Soportado</v>
      </c>
      <c r="C9" s="1156">
        <f t="shared" ref="C9:O9" ca="1" si="0">SUM(C5:C8)</f>
        <v>90.529464454545447</v>
      </c>
      <c r="D9" s="1157">
        <f t="shared" ca="1" si="0"/>
        <v>105.67046445454545</v>
      </c>
      <c r="E9" s="1157">
        <f t="shared" ca="1" si="0"/>
        <v>113.24096445454543</v>
      </c>
      <c r="F9" s="1157">
        <f t="shared" ca="1" si="0"/>
        <v>109.45571445454544</v>
      </c>
      <c r="G9" s="1157">
        <f t="shared" ca="1" si="0"/>
        <v>98.099964454545443</v>
      </c>
      <c r="H9" s="1157">
        <f t="shared" ca="1" si="0"/>
        <v>94.314714454545438</v>
      </c>
      <c r="I9" s="1157">
        <f t="shared" ca="1" si="0"/>
        <v>90.529464454545447</v>
      </c>
      <c r="J9" s="1157">
        <f t="shared" ca="1" si="0"/>
        <v>75.388464454545442</v>
      </c>
      <c r="K9" s="1157">
        <f t="shared" ca="1" si="0"/>
        <v>90.529464454545447</v>
      </c>
      <c r="L9" s="1157">
        <f t="shared" ca="1" si="0"/>
        <v>101.88521445454545</v>
      </c>
      <c r="M9" s="1157">
        <f t="shared" ca="1" si="0"/>
        <v>105.67046445454545</v>
      </c>
      <c r="N9" s="1158">
        <f t="shared" ca="1" si="0"/>
        <v>120.81146445454544</v>
      </c>
      <c r="O9" s="1159">
        <f t="shared" ca="1" si="0"/>
        <v>1196.1258234545453</v>
      </c>
    </row>
    <row r="10" spans="1:16" ht="15.75" thickBot="1">
      <c r="A10" s="1113"/>
      <c r="C10" s="1114"/>
      <c r="D10" s="1114"/>
      <c r="E10" s="1114"/>
      <c r="F10" s="1114"/>
      <c r="G10" s="1114"/>
      <c r="H10" s="1114"/>
      <c r="I10" s="1114"/>
      <c r="J10" s="1114"/>
      <c r="K10" s="1114"/>
      <c r="L10" s="1114"/>
      <c r="M10" s="1114"/>
      <c r="N10" s="1114"/>
      <c r="O10" s="1114"/>
    </row>
    <row r="11" spans="1:16" ht="15.75" thickBot="1">
      <c r="A11" s="3253" t="str">
        <f t="array" ref="A11:A13">'IVA 0'!A11:A13</f>
        <v>Coeficientes de prorrata Trimestrales</v>
      </c>
      <c r="B11" s="3254"/>
      <c r="C11" s="3255">
        <f t="array" ref="C11:O11" ca="1">C42:O42</f>
        <v>1</v>
      </c>
      <c r="D11" s="3255">
        <v>0</v>
      </c>
      <c r="E11" s="3256">
        <f ca="1"/>
        <v>0</v>
      </c>
      <c r="F11" s="3255">
        <v>0</v>
      </c>
      <c r="G11" s="3255">
        <v>0</v>
      </c>
      <c r="H11" s="3256">
        <f ca="1"/>
        <v>0</v>
      </c>
      <c r="I11" s="3255">
        <v>0</v>
      </c>
      <c r="J11" s="3255">
        <v>0</v>
      </c>
      <c r="K11" s="3256">
        <f ca="1"/>
        <v>0</v>
      </c>
      <c r="L11" s="3255">
        <v>0</v>
      </c>
      <c r="M11" s="3255">
        <v>0</v>
      </c>
      <c r="N11" s="3256">
        <f ca="1"/>
        <v>0</v>
      </c>
      <c r="O11" s="3252">
        <f ca="1"/>
        <v>1</v>
      </c>
    </row>
    <row r="12" spans="1:16">
      <c r="A12" s="3257" t="str">
        <v>Total IVA soportado deducible</v>
      </c>
      <c r="B12" s="3258"/>
      <c r="C12" s="3259">
        <f t="array" aca="1" ref="C12:N12" ca="1">$C$11*C9:N9</f>
        <v>90.529464454545447</v>
      </c>
      <c r="D12" s="3259">
        <f ca="1"/>
        <v>105.67046445454545</v>
      </c>
      <c r="E12" s="3259">
        <f ca="1"/>
        <v>113.24096445454543</v>
      </c>
      <c r="F12" s="3259">
        <f ca="1"/>
        <v>109.45571445454544</v>
      </c>
      <c r="G12" s="3259">
        <f ca="1"/>
        <v>98.099964454545443</v>
      </c>
      <c r="H12" s="3259">
        <f ca="1"/>
        <v>94.314714454545438</v>
      </c>
      <c r="I12" s="3259">
        <f ca="1"/>
        <v>90.529464454545447</v>
      </c>
      <c r="J12" s="3259">
        <f ca="1"/>
        <v>75.388464454545442</v>
      </c>
      <c r="K12" s="3259">
        <f ca="1"/>
        <v>90.529464454545447</v>
      </c>
      <c r="L12" s="3259">
        <f ca="1"/>
        <v>101.88521445454545</v>
      </c>
      <c r="M12" s="3259">
        <f ca="1"/>
        <v>105.67046445454545</v>
      </c>
      <c r="N12" s="3259">
        <f ca="1"/>
        <v>120.81146445454544</v>
      </c>
      <c r="O12" s="1153">
        <f ca="1">SUM(C12:N12)</f>
        <v>1196.1258234545453</v>
      </c>
    </row>
    <row r="13" spans="1:16" ht="16.5" customHeight="1" thickBot="1">
      <c r="A13" s="225" t="str">
        <v>Total IVA soportado a gasto</v>
      </c>
      <c r="B13" s="2461"/>
      <c r="C13" s="1154">
        <f t="array" aca="1" ref="C13:N13" ca="1">C9:N9-C12:N12</f>
        <v>0</v>
      </c>
      <c r="D13" s="1154">
        <f ca="1"/>
        <v>0</v>
      </c>
      <c r="E13" s="1154">
        <f ca="1"/>
        <v>0</v>
      </c>
      <c r="F13" s="1154">
        <f ca="1"/>
        <v>0</v>
      </c>
      <c r="G13" s="1154">
        <f ca="1"/>
        <v>0</v>
      </c>
      <c r="H13" s="1154">
        <f ca="1"/>
        <v>0</v>
      </c>
      <c r="I13" s="1154">
        <f ca="1"/>
        <v>0</v>
      </c>
      <c r="J13" s="1154">
        <f ca="1"/>
        <v>0</v>
      </c>
      <c r="K13" s="1154">
        <f ca="1"/>
        <v>0</v>
      </c>
      <c r="L13" s="1154">
        <f ca="1"/>
        <v>0</v>
      </c>
      <c r="M13" s="1154">
        <f ca="1"/>
        <v>0</v>
      </c>
      <c r="N13" s="1154">
        <f ca="1"/>
        <v>0</v>
      </c>
      <c r="O13" s="1155">
        <f ca="1">SUM(C13:N13)</f>
        <v>0</v>
      </c>
    </row>
    <row r="14" spans="1:16" ht="15.75" thickBot="1"/>
    <row r="15" spans="1:16" ht="15.75" thickBot="1">
      <c r="A15" s="64"/>
      <c r="B15" s="387" t="str">
        <f>'IVA 0'!B15</f>
        <v>Cuenta Corriente IVA</v>
      </c>
      <c r="C15" s="1149" t="str">
        <f>'Datos Básicos'!$B$32</f>
        <v>No</v>
      </c>
      <c r="D15" s="2432">
        <f>IVAcc</f>
        <v>0</v>
      </c>
      <c r="F15" s="1151"/>
      <c r="G15" s="683"/>
      <c r="L15" s="64"/>
      <c r="M15" s="367"/>
      <c r="N15" s="3249" t="s">
        <v>1250</v>
      </c>
      <c r="O15" s="3250">
        <f ca="1">-O9*($O$11-$C$11)</f>
        <v>0</v>
      </c>
    </row>
    <row r="17" spans="1:15" s="98" customFormat="1" ht="23.25" thickBot="1">
      <c r="A17" s="67" t="str">
        <f>'IVA 0'!A17</f>
        <v xml:space="preserve">Liquidaciones Trimestrales de IVA de la empresa </v>
      </c>
      <c r="B17" s="253"/>
      <c r="C17" s="67"/>
      <c r="D17" s="67"/>
      <c r="F17" s="253"/>
    </row>
    <row r="18" spans="1:15" ht="15.75" thickBot="1">
      <c r="A18" s="2453"/>
      <c r="B18" s="2454"/>
      <c r="C18" s="1130" t="str">
        <f t="array" ref="C18:N18">meses</f>
        <v>enero</v>
      </c>
      <c r="D18" s="1130" t="str">
        <v>febrero</v>
      </c>
      <c r="E18" s="1130" t="str">
        <v>marzo</v>
      </c>
      <c r="F18" s="1130" t="str">
        <v>abril</v>
      </c>
      <c r="G18" s="1130" t="str">
        <v>mayo</v>
      </c>
      <c r="H18" s="1130" t="str">
        <v>junio</v>
      </c>
      <c r="I18" s="1130" t="str">
        <v>julio</v>
      </c>
      <c r="J18" s="1130" t="str">
        <v>agosto</v>
      </c>
      <c r="K18" s="1130" t="str">
        <v>septiembre</v>
      </c>
      <c r="L18" s="1130" t="str">
        <v>octubre</v>
      </c>
      <c r="M18" s="1130" t="str">
        <v>noviembre</v>
      </c>
      <c r="N18" s="1130" t="str">
        <v>diciembre</v>
      </c>
      <c r="O18" s="1131" t="str">
        <f>'IVA 0'!$O$4</f>
        <v>Totales</v>
      </c>
    </row>
    <row r="19" spans="1:15">
      <c r="A19" s="2455" t="str">
        <f t="array" ref="A19:A22">'IVA 0'!A19:A22</f>
        <v>Total IVA Repercutido</v>
      </c>
      <c r="B19" s="2456"/>
      <c r="C19" s="1104">
        <f t="array" aca="1" ref="C19" ca="1">SUM(Parametros!$E$24:$E$31*C31:C38)</f>
        <v>605.64</v>
      </c>
      <c r="D19" s="1104">
        <f t="array" aca="1" ref="D19" ca="1">SUM(Parametros!$E$24:$E$31*D31:D38)</f>
        <v>757.05</v>
      </c>
      <c r="E19" s="1104">
        <f t="array" aca="1" ref="E19" ca="1">SUM(Parametros!$E$24:$E$31*E31:E38)</f>
        <v>832.755</v>
      </c>
      <c r="F19" s="1104">
        <f t="array" aca="1" ref="F19" ca="1">SUM(Parametros!$E$24:$E$31*F31:F38)</f>
        <v>794.90249999999992</v>
      </c>
      <c r="G19" s="1104">
        <f t="array" aca="1" ref="G19" ca="1">SUM(Parametros!$E$24:$E$31*G31:G38)</f>
        <v>681.34500000000003</v>
      </c>
      <c r="H19" s="1104">
        <f t="array" aca="1" ref="H19" ca="1">SUM(Parametros!$E$24:$E$31*H31:H38)</f>
        <v>643.49249999999995</v>
      </c>
      <c r="I19" s="1104">
        <f t="array" aca="1" ref="I19" ca="1">SUM(Parametros!$E$24:$E$31*I31:I38)</f>
        <v>605.64</v>
      </c>
      <c r="J19" s="1104">
        <f t="array" aca="1" ref="J19" ca="1">SUM(Parametros!$E$24:$E$31*J31:J38)</f>
        <v>454.22999999999996</v>
      </c>
      <c r="K19" s="1104">
        <f t="array" aca="1" ref="K19" ca="1">SUM(Parametros!$E$24:$E$31*K31:K38)</f>
        <v>605.64</v>
      </c>
      <c r="L19" s="1104">
        <f t="array" aca="1" ref="L19" ca="1">SUM(Parametros!$E$24:$E$31*L31:L38)</f>
        <v>719.19749999999999</v>
      </c>
      <c r="M19" s="1104">
        <f t="array" aca="1" ref="M19" ca="1">SUM(Parametros!$E$24:$E$31*M31:M38)</f>
        <v>757.05</v>
      </c>
      <c r="N19" s="1104">
        <f t="array" aca="1" ref="N19" ca="1">SUM(Parametros!$E$24:$E$31*N31:N38)</f>
        <v>908.45999999999992</v>
      </c>
      <c r="O19" s="1133">
        <f ca="1">SUM(C19:N19)</f>
        <v>8365.4025000000001</v>
      </c>
    </row>
    <row r="20" spans="1:15">
      <c r="A20" s="2457" t="str">
        <v>Total IVA soportado deducible</v>
      </c>
      <c r="B20" s="2458"/>
      <c r="C20" s="1105">
        <f t="array" aca="1" ref="C20:N20" ca="1">C12:N12</f>
        <v>90.529464454545447</v>
      </c>
      <c r="D20" s="1105">
        <f ca="1"/>
        <v>105.67046445454545</v>
      </c>
      <c r="E20" s="1105">
        <f ca="1"/>
        <v>113.24096445454543</v>
      </c>
      <c r="F20" s="1105">
        <f ca="1"/>
        <v>109.45571445454544</v>
      </c>
      <c r="G20" s="1105">
        <f ca="1"/>
        <v>98.099964454545443</v>
      </c>
      <c r="H20" s="1105">
        <f ca="1"/>
        <v>94.314714454545438</v>
      </c>
      <c r="I20" s="1105">
        <f ca="1"/>
        <v>90.529464454545447</v>
      </c>
      <c r="J20" s="1105">
        <f ca="1"/>
        <v>75.388464454545442</v>
      </c>
      <c r="K20" s="1105">
        <f ca="1"/>
        <v>90.529464454545447</v>
      </c>
      <c r="L20" s="1105">
        <f ca="1"/>
        <v>101.88521445454545</v>
      </c>
      <c r="M20" s="1105">
        <f ca="1"/>
        <v>105.67046445454545</v>
      </c>
      <c r="N20" s="1105">
        <f ca="1"/>
        <v>120.81146445454544</v>
      </c>
      <c r="O20" s="1128">
        <f ca="1">SUM(C20:N20)</f>
        <v>1196.1258234545453</v>
      </c>
    </row>
    <row r="21" spans="1:15" ht="15.75" thickBot="1">
      <c r="A21" s="2459" t="str">
        <v>Diferencias IVA</v>
      </c>
      <c r="B21" s="2460"/>
      <c r="C21" s="1152">
        <f t="array" aca="1" ref="C21:N21" ca="1">C19:N19-C20:N20</f>
        <v>515.11053554545458</v>
      </c>
      <c r="D21" s="1152">
        <f ca="1"/>
        <v>651.37953554545447</v>
      </c>
      <c r="E21" s="1152">
        <f ca="1"/>
        <v>719.51403554545459</v>
      </c>
      <c r="F21" s="1152">
        <f ca="1"/>
        <v>685.44678554545453</v>
      </c>
      <c r="G21" s="1152">
        <f ca="1"/>
        <v>583.24503554545458</v>
      </c>
      <c r="H21" s="1152">
        <f ca="1"/>
        <v>549.17778554545453</v>
      </c>
      <c r="I21" s="1152">
        <f ca="1"/>
        <v>515.11053554545458</v>
      </c>
      <c r="J21" s="1152">
        <f ca="1"/>
        <v>378.84153554545452</v>
      </c>
      <c r="K21" s="1152">
        <f ca="1"/>
        <v>515.11053554545458</v>
      </c>
      <c r="L21" s="1152">
        <f ca="1"/>
        <v>617.31228554545453</v>
      </c>
      <c r="M21" s="1152">
        <f ca="1"/>
        <v>651.37953554545447</v>
      </c>
      <c r="N21" s="1152">
        <f ca="1"/>
        <v>787.64853554545448</v>
      </c>
      <c r="O21" s="1129">
        <f ca="1">SUM(C21:N21)</f>
        <v>7169.2766765454553</v>
      </c>
    </row>
    <row r="22" spans="1:15" s="48" customFormat="1" ht="19.5" customHeight="1">
      <c r="A22" s="2530" t="str">
        <v>Cuotas de IVA</v>
      </c>
      <c r="B22" s="2531"/>
      <c r="C22" s="2532">
        <f ca="1">'IVA 1'!O22</f>
        <v>1996.5052227272727</v>
      </c>
      <c r="D22" s="2536">
        <f>+IF(IVAmensual=1,  IF(AND(IVAdev=1,C22&lt;0),0,MIN(C22,0))  +C21,0)</f>
        <v>0</v>
      </c>
      <c r="E22" s="2519">
        <f>+IF(IVAmensual=1,    MIN(D22,0)+D21,0)</f>
        <v>0</v>
      </c>
      <c r="F22" s="2536">
        <f ca="1">IF(IVAmensual=0,    IF(AND(IVAdev=1,C22&lt;0),0,MIN(C22,0))+SUM(C21:E21),0)
+IF(IVAmensual=1,    MIN(E22,0)+E21,0)</f>
        <v>1886.0041066363638</v>
      </c>
      <c r="G22" s="2519">
        <f>+IF(IVAmensual=1,    MIN(F22,0)+F21,0)</f>
        <v>0</v>
      </c>
      <c r="H22" s="2519">
        <f>+IF(IVAmensual=1,    MIN(G22,0)+G21,0)</f>
        <v>0</v>
      </c>
      <c r="I22" s="2519">
        <f ca="1">IF(IVAmensual=0,   MIN(F22,0)+SUM(F21:H21),0)
+IF(IVAmensual=1,    MIN(H22,0)+H21,0)</f>
        <v>1817.8696066363636</v>
      </c>
      <c r="J22" s="2519">
        <f>+IF(IVAmensual=1,    MIN(I22,0)+I21,0)</f>
        <v>0</v>
      </c>
      <c r="K22" s="2519">
        <f>+IF(IVAmensual=1,    MIN(J22,0)+J21,0)</f>
        <v>0</v>
      </c>
      <c r="L22" s="2519">
        <f ca="1">IF(IVAmensual=0,   MIN(I22,0)+SUM(I21:K21),0)
+IF(IVAmensual=1,    MIN(K22,0)+K21,0)</f>
        <v>1409.0626066363639</v>
      </c>
      <c r="M22" s="2519">
        <f>+IF(IVAmensual=1,    MIN(L22,0)+L21,0)</f>
        <v>0</v>
      </c>
      <c r="N22" s="2519">
        <f>+IF(IVAmensual=1,    MIN(M22,0)+M21,0)</f>
        <v>0</v>
      </c>
      <c r="O22" s="3248">
        <f ca="1">IF(IVAmensual=0,   MIN(L22,0)+SUM(L21:N21)+O15,0)
+IF(IVAmensual=1,    MIN(N22,0)+N21+O15,0)</f>
        <v>2056.3403566363631</v>
      </c>
    </row>
    <row r="23" spans="1:15" ht="10.5" customHeight="1">
      <c r="A23" s="380"/>
      <c r="B23" s="2458"/>
      <c r="C23" s="902"/>
      <c r="D23" s="902"/>
      <c r="E23" s="902"/>
      <c r="F23" s="902"/>
      <c r="G23" s="902"/>
      <c r="H23" s="902"/>
      <c r="I23" s="902"/>
      <c r="J23" s="902"/>
      <c r="K23" s="902"/>
      <c r="L23" s="902"/>
      <c r="M23" s="902"/>
      <c r="N23" s="902"/>
      <c r="O23" s="1134"/>
    </row>
    <row r="24" spans="1:15" s="48" customFormat="1" ht="19.5" customHeight="1" thickBot="1">
      <c r="A24" s="2520" t="str">
        <f>'IVA 0'!A24</f>
        <v>Liquidaciones de IVA</v>
      </c>
      <c r="B24" s="2521"/>
      <c r="C24" s="2522">
        <f t="shared" ref="C24:O24" ca="1" si="1">IF(AND(IVAcc=0,C22&gt;0),C22,0)</f>
        <v>1996.5052227272727</v>
      </c>
      <c r="D24" s="2523">
        <f t="shared" si="1"/>
        <v>0</v>
      </c>
      <c r="E24" s="2523">
        <f t="shared" si="1"/>
        <v>0</v>
      </c>
      <c r="F24" s="2523">
        <f t="shared" ca="1" si="1"/>
        <v>1886.0041066363638</v>
      </c>
      <c r="G24" s="2523">
        <f t="shared" si="1"/>
        <v>0</v>
      </c>
      <c r="H24" s="2523">
        <f t="shared" si="1"/>
        <v>0</v>
      </c>
      <c r="I24" s="2523">
        <f t="shared" ca="1" si="1"/>
        <v>1817.8696066363636</v>
      </c>
      <c r="J24" s="2523">
        <f t="shared" si="1"/>
        <v>0</v>
      </c>
      <c r="K24" s="2523">
        <f t="shared" si="1"/>
        <v>0</v>
      </c>
      <c r="L24" s="2523">
        <f t="shared" ca="1" si="1"/>
        <v>1409.0626066363639</v>
      </c>
      <c r="M24" s="2523">
        <f t="shared" si="1"/>
        <v>0</v>
      </c>
      <c r="N24" s="2523">
        <f t="shared" si="1"/>
        <v>0</v>
      </c>
      <c r="O24" s="2524">
        <f t="shared" ca="1" si="1"/>
        <v>2056.3403566363631</v>
      </c>
    </row>
    <row r="25" spans="1:15" ht="9" customHeight="1" thickBot="1">
      <c r="C25" s="896"/>
      <c r="D25" s="896"/>
      <c r="E25" s="896"/>
      <c r="F25" s="896"/>
      <c r="G25" s="896"/>
      <c r="H25" s="896"/>
      <c r="I25" s="896"/>
      <c r="J25" s="896"/>
      <c r="K25" s="896"/>
      <c r="L25" s="896"/>
      <c r="M25" s="896"/>
      <c r="N25" s="896"/>
      <c r="O25" s="896"/>
    </row>
    <row r="26" spans="1:15" s="48" customFormat="1" ht="18.75" customHeight="1" thickBot="1">
      <c r="A26" s="2525" t="str">
        <f>'IVA 0'!A26</f>
        <v>Devoluciones IVA</v>
      </c>
      <c r="B26" s="2526"/>
      <c r="C26" s="2527">
        <f>'IVA 1'!O26</f>
        <v>0</v>
      </c>
      <c r="D26" s="2528">
        <f>-IF(AND(IVAcc,IVAmensual=1),C21,0)</f>
        <v>0</v>
      </c>
      <c r="E26" s="2528">
        <f>-IF(AND(IVAcc,IVAmensual=1),D21,0)</f>
        <v>0</v>
      </c>
      <c r="F26" s="2528">
        <f>-IF(AND(IVAcc,IVAmensual=0),SUM(C21:E21),0)
-IF(AND(IVAcc,IVAmensual=1),E21,0)</f>
        <v>0</v>
      </c>
      <c r="G26" s="2528">
        <f>-IF(AND(IVAcc,IVAmensual=1),F21,0)</f>
        <v>0</v>
      </c>
      <c r="H26" s="2535">
        <f ca="1">-IF(AND(IVAcc,IVAmensual=1),G21,0)-IF(AND(IVAcc=0,IVAdev=1,C22&lt;0),C22,0)</f>
        <v>0</v>
      </c>
      <c r="I26" s="2528">
        <f>-IF(AND(IVAcc,IVAmensual=0),SUM(F21:H21),0)
-IF(AND(IVAcc,IVAmensual=1),H21,0)</f>
        <v>0</v>
      </c>
      <c r="J26" s="2528">
        <f>-IF(AND(IVAcc,IVAmensual=1),I21,0)</f>
        <v>0</v>
      </c>
      <c r="K26" s="2528">
        <f>-IF(AND(IVAcc,IVAmensual=1),J21,0)</f>
        <v>0</v>
      </c>
      <c r="L26" s="2528">
        <f>-IF(AND(IVAcc,IVAmensual=0),SUM(I21:K21),0)
-IF(AND(IVAcc,IVAmensual=1),K21,0)</f>
        <v>0</v>
      </c>
      <c r="M26" s="2528">
        <f>-IF(AND(IVAcc,IVAmensual=1),L21,0)</f>
        <v>0</v>
      </c>
      <c r="N26" s="2528">
        <f>-IF(AND(IVAcc,IVAmensual=1),M21,0)</f>
        <v>0</v>
      </c>
      <c r="O26" s="2533">
        <f>-IF(AND(IVAcc,IVAmensual=0),SUM(L21:N21),0)
-IF(AND(IVAcc,IVAmensual=1),N21,0)</f>
        <v>0</v>
      </c>
    </row>
    <row r="29" spans="1:15" s="98" customFormat="1" ht="23.25" thickBot="1">
      <c r="A29" s="67" t="str">
        <f>'IVA 0'!A29</f>
        <v>Regla de prorrata</v>
      </c>
      <c r="D29" s="253"/>
      <c r="E29" s="253"/>
    </row>
    <row r="30" spans="1:15" ht="15.75" thickBot="1">
      <c r="A30" s="1142" t="str">
        <f>'IVA 0'!A30</f>
        <v>IVA repercutido</v>
      </c>
      <c r="B30" s="103" t="str">
        <f>'IVA 0'!B30</f>
        <v>tipo IVA</v>
      </c>
      <c r="C30" s="427" t="str">
        <f t="array" ref="C30:N30">meses</f>
        <v>enero</v>
      </c>
      <c r="D30" s="158" t="str">
        <v>febrero</v>
      </c>
      <c r="E30" s="158" t="str">
        <v>marzo</v>
      </c>
      <c r="F30" s="158" t="str">
        <v>abril</v>
      </c>
      <c r="G30" s="158" t="str">
        <v>mayo</v>
      </c>
      <c r="H30" s="158" t="str">
        <v>junio</v>
      </c>
      <c r="I30" s="158" t="str">
        <v>julio</v>
      </c>
      <c r="J30" s="158" t="str">
        <v>agosto</v>
      </c>
      <c r="K30" s="158" t="str">
        <v>septiembre</v>
      </c>
      <c r="L30" s="158" t="str">
        <v>octubre</v>
      </c>
      <c r="M30" s="158" t="str">
        <v>noviembre</v>
      </c>
      <c r="N30" s="158" t="str">
        <v>diciembre</v>
      </c>
      <c r="O30" s="159" t="str">
        <f>'IVA 0'!$O$4</f>
        <v>Totales</v>
      </c>
    </row>
    <row r="31" spans="1:15">
      <c r="A31" s="1749" t="str">
        <f t="array" ref="A31:A38">productos</f>
        <v>producto o servicio</v>
      </c>
      <c r="B31" s="1115">
        <f t="array" ref="B31:B38">Parametros!E24:E31</f>
        <v>0.21</v>
      </c>
      <c r="C31" s="1116">
        <f t="array" aca="1" ref="C31:N38" ca="1">'Prev.Ventas 2'!B17:M24</f>
        <v>2884</v>
      </c>
      <c r="D31" s="1116">
        <f ca="1"/>
        <v>3605</v>
      </c>
      <c r="E31" s="1116">
        <f ca="1"/>
        <v>3965.5</v>
      </c>
      <c r="F31" s="1116">
        <f ca="1"/>
        <v>3785.25</v>
      </c>
      <c r="G31" s="1116">
        <f ca="1"/>
        <v>3244.5</v>
      </c>
      <c r="H31" s="1116">
        <f ca="1"/>
        <v>3064.25</v>
      </c>
      <c r="I31" s="1116">
        <f ca="1"/>
        <v>2884</v>
      </c>
      <c r="J31" s="1116">
        <f ca="1"/>
        <v>2163</v>
      </c>
      <c r="K31" s="1116">
        <f ca="1"/>
        <v>2884</v>
      </c>
      <c r="L31" s="1116">
        <f ca="1"/>
        <v>3424.75</v>
      </c>
      <c r="M31" s="1116">
        <f ca="1"/>
        <v>3605</v>
      </c>
      <c r="N31" s="1116">
        <f ca="1"/>
        <v>4326</v>
      </c>
      <c r="O31" s="1143">
        <f t="shared" ref="O31:O41" ca="1" si="2">SUM(C31:N31)</f>
        <v>39835.25</v>
      </c>
    </row>
    <row r="32" spans="1:15">
      <c r="A32" s="1532" t="str">
        <v/>
      </c>
      <c r="B32" s="1117">
        <v>0.21</v>
      </c>
      <c r="C32" s="1118">
        <f ca="1"/>
        <v>0</v>
      </c>
      <c r="D32" s="1118">
        <f ca="1"/>
        <v>0</v>
      </c>
      <c r="E32" s="1118">
        <f ca="1"/>
        <v>0</v>
      </c>
      <c r="F32" s="1118">
        <f ca="1"/>
        <v>0</v>
      </c>
      <c r="G32" s="1118">
        <f ca="1"/>
        <v>0</v>
      </c>
      <c r="H32" s="1118">
        <f ca="1"/>
        <v>0</v>
      </c>
      <c r="I32" s="1118">
        <f ca="1"/>
        <v>0</v>
      </c>
      <c r="J32" s="1118">
        <f ca="1"/>
        <v>0</v>
      </c>
      <c r="K32" s="1118">
        <f ca="1"/>
        <v>0</v>
      </c>
      <c r="L32" s="1118">
        <f ca="1"/>
        <v>0</v>
      </c>
      <c r="M32" s="1118">
        <f ca="1"/>
        <v>0</v>
      </c>
      <c r="N32" s="1118">
        <f ca="1"/>
        <v>0</v>
      </c>
      <c r="O32" s="1144">
        <f t="shared" ca="1" si="2"/>
        <v>0</v>
      </c>
    </row>
    <row r="33" spans="1:15">
      <c r="A33" s="1532" t="str">
        <v/>
      </c>
      <c r="B33" s="1117">
        <v>0.21</v>
      </c>
      <c r="C33" s="1118">
        <f ca="1"/>
        <v>0</v>
      </c>
      <c r="D33" s="1118">
        <f ca="1"/>
        <v>0</v>
      </c>
      <c r="E33" s="1118">
        <f ca="1"/>
        <v>0</v>
      </c>
      <c r="F33" s="1118">
        <f ca="1"/>
        <v>0</v>
      </c>
      <c r="G33" s="1118">
        <f ca="1"/>
        <v>0</v>
      </c>
      <c r="H33" s="1118">
        <f ca="1"/>
        <v>0</v>
      </c>
      <c r="I33" s="1118">
        <f ca="1"/>
        <v>0</v>
      </c>
      <c r="J33" s="1118">
        <f ca="1"/>
        <v>0</v>
      </c>
      <c r="K33" s="1118">
        <f ca="1"/>
        <v>0</v>
      </c>
      <c r="L33" s="1118">
        <f ca="1"/>
        <v>0</v>
      </c>
      <c r="M33" s="1118">
        <f ca="1"/>
        <v>0</v>
      </c>
      <c r="N33" s="1118">
        <f ca="1"/>
        <v>0</v>
      </c>
      <c r="O33" s="1144">
        <f t="shared" ca="1" si="2"/>
        <v>0</v>
      </c>
    </row>
    <row r="34" spans="1:15">
      <c r="A34" s="1532" t="str">
        <v/>
      </c>
      <c r="B34" s="1117">
        <v>0.21</v>
      </c>
      <c r="C34" s="1118">
        <f ca="1"/>
        <v>0</v>
      </c>
      <c r="D34" s="1118">
        <f ca="1"/>
        <v>0</v>
      </c>
      <c r="E34" s="1118">
        <f ca="1"/>
        <v>0</v>
      </c>
      <c r="F34" s="1118">
        <f ca="1"/>
        <v>0</v>
      </c>
      <c r="G34" s="1118">
        <f ca="1"/>
        <v>0</v>
      </c>
      <c r="H34" s="1118">
        <f ca="1"/>
        <v>0</v>
      </c>
      <c r="I34" s="1118">
        <f ca="1"/>
        <v>0</v>
      </c>
      <c r="J34" s="1118">
        <f ca="1"/>
        <v>0</v>
      </c>
      <c r="K34" s="1118">
        <f ca="1"/>
        <v>0</v>
      </c>
      <c r="L34" s="1118">
        <f ca="1"/>
        <v>0</v>
      </c>
      <c r="M34" s="1118">
        <f ca="1"/>
        <v>0</v>
      </c>
      <c r="N34" s="1118">
        <f ca="1"/>
        <v>0</v>
      </c>
      <c r="O34" s="1144">
        <f t="shared" ca="1" si="2"/>
        <v>0</v>
      </c>
    </row>
    <row r="35" spans="1:15">
      <c r="A35" s="1532" t="str">
        <v/>
      </c>
      <c r="B35" s="1117">
        <v>0.21</v>
      </c>
      <c r="C35" s="1118">
        <f ca="1"/>
        <v>0</v>
      </c>
      <c r="D35" s="1118">
        <f ca="1"/>
        <v>0</v>
      </c>
      <c r="E35" s="1118">
        <f ca="1"/>
        <v>0</v>
      </c>
      <c r="F35" s="1118">
        <f ca="1"/>
        <v>0</v>
      </c>
      <c r="G35" s="1118">
        <f ca="1"/>
        <v>0</v>
      </c>
      <c r="H35" s="1118">
        <f ca="1"/>
        <v>0</v>
      </c>
      <c r="I35" s="1118">
        <f ca="1"/>
        <v>0</v>
      </c>
      <c r="J35" s="1118">
        <f ca="1"/>
        <v>0</v>
      </c>
      <c r="K35" s="1118">
        <f ca="1"/>
        <v>0</v>
      </c>
      <c r="L35" s="1118">
        <f ca="1"/>
        <v>0</v>
      </c>
      <c r="M35" s="1118">
        <f ca="1"/>
        <v>0</v>
      </c>
      <c r="N35" s="1118">
        <f ca="1"/>
        <v>0</v>
      </c>
      <c r="O35" s="1144">
        <f t="shared" ca="1" si="2"/>
        <v>0</v>
      </c>
    </row>
    <row r="36" spans="1:15">
      <c r="A36" s="1532" t="str">
        <v/>
      </c>
      <c r="B36" s="1117">
        <v>0.21</v>
      </c>
      <c r="C36" s="1118">
        <f ca="1"/>
        <v>0</v>
      </c>
      <c r="D36" s="1118">
        <f ca="1"/>
        <v>0</v>
      </c>
      <c r="E36" s="1118">
        <f ca="1"/>
        <v>0</v>
      </c>
      <c r="F36" s="1118">
        <f ca="1"/>
        <v>0</v>
      </c>
      <c r="G36" s="1118">
        <f ca="1"/>
        <v>0</v>
      </c>
      <c r="H36" s="1118">
        <f ca="1"/>
        <v>0</v>
      </c>
      <c r="I36" s="1118">
        <f ca="1"/>
        <v>0</v>
      </c>
      <c r="J36" s="1118">
        <f ca="1"/>
        <v>0</v>
      </c>
      <c r="K36" s="1118">
        <f ca="1"/>
        <v>0</v>
      </c>
      <c r="L36" s="1118">
        <f ca="1"/>
        <v>0</v>
      </c>
      <c r="M36" s="1118">
        <f ca="1"/>
        <v>0</v>
      </c>
      <c r="N36" s="1118">
        <f ca="1"/>
        <v>0</v>
      </c>
      <c r="O36" s="1144">
        <f t="shared" ca="1" si="2"/>
        <v>0</v>
      </c>
    </row>
    <row r="37" spans="1:15">
      <c r="A37" s="1532" t="str">
        <v/>
      </c>
      <c r="B37" s="1117">
        <v>0.21</v>
      </c>
      <c r="C37" s="1118">
        <f ca="1"/>
        <v>0</v>
      </c>
      <c r="D37" s="1118">
        <f ca="1"/>
        <v>0</v>
      </c>
      <c r="E37" s="1118">
        <f ca="1"/>
        <v>0</v>
      </c>
      <c r="F37" s="1118">
        <f ca="1"/>
        <v>0</v>
      </c>
      <c r="G37" s="1118">
        <f ca="1"/>
        <v>0</v>
      </c>
      <c r="H37" s="1118">
        <f ca="1"/>
        <v>0</v>
      </c>
      <c r="I37" s="1118">
        <f ca="1"/>
        <v>0</v>
      </c>
      <c r="J37" s="1118">
        <f ca="1"/>
        <v>0</v>
      </c>
      <c r="K37" s="1118">
        <f ca="1"/>
        <v>0</v>
      </c>
      <c r="L37" s="1118">
        <f ca="1"/>
        <v>0</v>
      </c>
      <c r="M37" s="1118">
        <f ca="1"/>
        <v>0</v>
      </c>
      <c r="N37" s="1118">
        <f ca="1"/>
        <v>0</v>
      </c>
      <c r="O37" s="1144">
        <f t="shared" ca="1" si="2"/>
        <v>0</v>
      </c>
    </row>
    <row r="38" spans="1:15" ht="15.75" thickBot="1">
      <c r="A38" s="1750" t="str">
        <v/>
      </c>
      <c r="B38" s="1119">
        <v>0.21</v>
      </c>
      <c r="C38" s="1120">
        <f ca="1"/>
        <v>0</v>
      </c>
      <c r="D38" s="1120">
        <f ca="1"/>
        <v>0</v>
      </c>
      <c r="E38" s="1120">
        <f ca="1"/>
        <v>0</v>
      </c>
      <c r="F38" s="1120">
        <f ca="1"/>
        <v>0</v>
      </c>
      <c r="G38" s="1120">
        <f ca="1"/>
        <v>0</v>
      </c>
      <c r="H38" s="1120">
        <f ca="1"/>
        <v>0</v>
      </c>
      <c r="I38" s="1120">
        <f ca="1"/>
        <v>0</v>
      </c>
      <c r="J38" s="1120">
        <f ca="1"/>
        <v>0</v>
      </c>
      <c r="K38" s="1120">
        <f ca="1"/>
        <v>0</v>
      </c>
      <c r="L38" s="1120">
        <f ca="1"/>
        <v>0</v>
      </c>
      <c r="M38" s="1120">
        <f ca="1"/>
        <v>0</v>
      </c>
      <c r="N38" s="1120">
        <f ca="1"/>
        <v>0</v>
      </c>
      <c r="O38" s="1145">
        <f t="shared" ca="1" si="2"/>
        <v>0</v>
      </c>
    </row>
    <row r="39" spans="1:15" ht="18" customHeight="1">
      <c r="A39" s="1146" t="str">
        <f t="array" ref="A39:A42">'IVA 0'!A39:A42</f>
        <v>Ventas sujetas a IVA</v>
      </c>
      <c r="B39" s="202"/>
      <c r="C39" s="1122">
        <f ca="1">SUMIF($B$31:$B$38,"&lt;&gt;0",C31:C38)</f>
        <v>2884</v>
      </c>
      <c r="D39" s="1123">
        <f t="shared" ref="D39:N39" ca="1" si="3">SUMIF($B$31:$B$38,"&lt;&gt;0",D31:D38)</f>
        <v>3605</v>
      </c>
      <c r="E39" s="1123">
        <f t="shared" ca="1" si="3"/>
        <v>3965.5</v>
      </c>
      <c r="F39" s="1123">
        <f t="shared" ca="1" si="3"/>
        <v>3785.25</v>
      </c>
      <c r="G39" s="1123">
        <f t="shared" ca="1" si="3"/>
        <v>3244.5</v>
      </c>
      <c r="H39" s="1123">
        <f t="shared" ca="1" si="3"/>
        <v>3064.25</v>
      </c>
      <c r="I39" s="1123">
        <f t="shared" ca="1" si="3"/>
        <v>2884</v>
      </c>
      <c r="J39" s="1123">
        <f t="shared" ca="1" si="3"/>
        <v>2163</v>
      </c>
      <c r="K39" s="1123">
        <f t="shared" ca="1" si="3"/>
        <v>2884</v>
      </c>
      <c r="L39" s="1123">
        <f t="shared" ca="1" si="3"/>
        <v>3424.75</v>
      </c>
      <c r="M39" s="1123">
        <f t="shared" ca="1" si="3"/>
        <v>3605</v>
      </c>
      <c r="N39" s="1124">
        <f t="shared" ca="1" si="3"/>
        <v>4326</v>
      </c>
      <c r="O39" s="1143">
        <f ca="1">SUM(C39:N39)</f>
        <v>39835.25</v>
      </c>
    </row>
    <row r="40" spans="1:15" ht="18" customHeight="1">
      <c r="A40" s="1147" t="str">
        <v>Ventas exentas de IVA</v>
      </c>
      <c r="B40" s="207"/>
      <c r="C40" s="1125">
        <f>SUMIF($B$31:$B$38,"=0",C31:C38)</f>
        <v>0</v>
      </c>
      <c r="D40" s="1126">
        <f t="shared" ref="D40:N40" si="4">SUMIF($B$31:$B$38,"=0",D31:D38)</f>
        <v>0</v>
      </c>
      <c r="E40" s="1126">
        <f t="shared" si="4"/>
        <v>0</v>
      </c>
      <c r="F40" s="1126">
        <f t="shared" si="4"/>
        <v>0</v>
      </c>
      <c r="G40" s="1126">
        <f t="shared" si="4"/>
        <v>0</v>
      </c>
      <c r="H40" s="1126">
        <f t="shared" si="4"/>
        <v>0</v>
      </c>
      <c r="I40" s="1126">
        <f t="shared" si="4"/>
        <v>0</v>
      </c>
      <c r="J40" s="1126">
        <f t="shared" si="4"/>
        <v>0</v>
      </c>
      <c r="K40" s="1126">
        <f t="shared" si="4"/>
        <v>0</v>
      </c>
      <c r="L40" s="1126">
        <f t="shared" si="4"/>
        <v>0</v>
      </c>
      <c r="M40" s="1126">
        <f t="shared" si="4"/>
        <v>0</v>
      </c>
      <c r="N40" s="1127">
        <f t="shared" si="4"/>
        <v>0</v>
      </c>
      <c r="O40" s="1144">
        <f t="shared" si="2"/>
        <v>0</v>
      </c>
    </row>
    <row r="41" spans="1:15" ht="18" customHeight="1">
      <c r="A41" s="1147" t="str">
        <v>Total Facturación</v>
      </c>
      <c r="B41" s="207"/>
      <c r="C41" s="1125">
        <f t="array" aca="1" ref="C41:N41" ca="1">C40:N40+C39:N39</f>
        <v>2884</v>
      </c>
      <c r="D41" s="1126">
        <f ca="1"/>
        <v>3605</v>
      </c>
      <c r="E41" s="1126">
        <f ca="1"/>
        <v>3965.5</v>
      </c>
      <c r="F41" s="1126">
        <f ca="1"/>
        <v>3785.25</v>
      </c>
      <c r="G41" s="1126">
        <f ca="1"/>
        <v>3244.5</v>
      </c>
      <c r="H41" s="1126">
        <f ca="1"/>
        <v>3064.25</v>
      </c>
      <c r="I41" s="1126">
        <f ca="1"/>
        <v>2884</v>
      </c>
      <c r="J41" s="1126">
        <f ca="1"/>
        <v>2163</v>
      </c>
      <c r="K41" s="1126">
        <f ca="1"/>
        <v>2884</v>
      </c>
      <c r="L41" s="1126">
        <f ca="1"/>
        <v>3424.75</v>
      </c>
      <c r="M41" s="1126">
        <f ca="1"/>
        <v>3605</v>
      </c>
      <c r="N41" s="1127">
        <f ca="1"/>
        <v>4326</v>
      </c>
      <c r="O41" s="1144">
        <f t="shared" ca="1" si="2"/>
        <v>39835.25</v>
      </c>
    </row>
    <row r="42" spans="1:15" ht="18" customHeight="1" thickBot="1">
      <c r="A42" s="1148" t="str">
        <v>Coeficiente para la prorrata</v>
      </c>
      <c r="B42" s="208"/>
      <c r="C42" s="3246">
        <f ca="1">+'IVA 1'!O42</f>
        <v>1</v>
      </c>
      <c r="D42" s="3246">
        <f>IF(IVAmensual=1,    IF(OR(IVAcc,D41&lt;0.1),1,D39/D41), 0)*0</f>
        <v>0</v>
      </c>
      <c r="E42" s="3246">
        <f ca="1">IF(IVAmensual=1, IF(OR(IVAcc,C41&lt;0.1),1,C39/C41),    IF(OR(IVAcc,SUM(C41:E41)&lt;0.4),1,SUM(C39:E39)/SUM(C41:E41)))*0</f>
        <v>0</v>
      </c>
      <c r="F42" s="3246">
        <f>IF(IVAmensual=1,    IF(OR(IVAcc,F41&lt;0.1),1,F39/F41), 0)*0</f>
        <v>0</v>
      </c>
      <c r="G42" s="3246">
        <f>IF(IVAmensual=1,    IF(OR(IVAcc,G41&lt;0.1),1,G39/G41), 0)*0</f>
        <v>0</v>
      </c>
      <c r="H42" s="3246">
        <f ca="1">IF(IVAmensual=1, IF(OR(IVAcc,F41&lt;0.1),1,F39/F41),    IF(OR(IVAcc,SUM(F41:H41)&lt;0.4),1,SUM(F39:H39)/SUM(F41:H41)))*0</f>
        <v>0</v>
      </c>
      <c r="I42" s="3246">
        <f>IF(IVAmensual=1,    IF(OR(IVAcc,I41&lt;0.1),1,I39/I41), 0)*0</f>
        <v>0</v>
      </c>
      <c r="J42" s="3246">
        <f>IF(IVAmensual=1,    IF(OR(IVAcc,J41&lt;0.1),1,J39/J41), 0)*0</f>
        <v>0</v>
      </c>
      <c r="K42" s="3246">
        <f ca="1">IF(IVAmensual=1, IF(OR(IVAcc,I41&lt;0.1),1,I39/I41),    IF(OR(IVAcc,SUM(I41:K41)&lt;0.4),1,SUM(I39:K39)/SUM(I41:K41)))*0</f>
        <v>0</v>
      </c>
      <c r="L42" s="3246">
        <f>IF(IVAmensual=1,    IF(OR(IVAcc,L41&lt;0.1),1,L39/L41), 0)*0</f>
        <v>0</v>
      </c>
      <c r="M42" s="3246">
        <f>IF(IVAmensual=1,    IF(OR(IVAcc,M41&lt;0.1),1,M39/M41), 0)*0</f>
        <v>0</v>
      </c>
      <c r="N42" s="3246">
        <f ca="1">IF(IVAmensual=1, IF(OR(IVAcc,L41&lt;0.1),1,L39/L41),    IF(OR(IVAcc,SUM(L41:N41)&lt;0.4),1,SUM(L39:N39)/SUM(L41:N41)))*0</f>
        <v>0</v>
      </c>
      <c r="O42" s="3247">
        <f ca="1" xml:space="preserve"> IF(OR(IVAcc, O41&lt;0.4), 1, O39/O41   )</f>
        <v>1</v>
      </c>
    </row>
  </sheetData>
  <sheetProtection sheet="1" objects="1" scenarios="1"/>
  <phoneticPr fontId="6" type="noConversion"/>
  <conditionalFormatting sqref="C31:N38">
    <cfRule type="expression" dxfId="10" priority="1" stopIfTrue="1">
      <formula>C31=""</formula>
    </cfRule>
  </conditionalFormatting>
  <printOptions horizontalCentered="1"/>
  <pageMargins left="0.57999999999999996" right="0.75" top="0.46" bottom="0.89" header="0" footer="0"/>
  <pageSetup paperSize="9" scale="68" orientation="landscape" horizontalDpi="300" r:id="rId1"/>
  <headerFooter alignWithMargins="0"/>
  <legacyDrawing r:id="rId2"/>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47">
    <tabColor indexed="61"/>
    <pageSetUpPr fitToPage="1"/>
  </sheetPr>
  <dimension ref="A1:P42"/>
  <sheetViews>
    <sheetView workbookViewId="0"/>
  </sheetViews>
  <sheetFormatPr baseColWidth="10" defaultColWidth="11" defaultRowHeight="15"/>
  <cols>
    <col min="1" max="1" width="18.625" style="35" customWidth="1"/>
    <col min="2" max="2" width="11" style="35"/>
    <col min="3" max="3" width="13.5" style="35" customWidth="1"/>
    <col min="4" max="5" width="11" style="35"/>
    <col min="6" max="6" width="12.625" style="35" customWidth="1"/>
    <col min="7" max="8" width="11" style="35"/>
    <col min="9" max="9" width="12" style="35" customWidth="1"/>
    <col min="10" max="11" width="11" style="35"/>
    <col min="12" max="12" width="11.375" style="35" customWidth="1"/>
    <col min="13" max="13" width="11" style="35"/>
    <col min="14" max="14" width="14.5" style="35" bestFit="1" customWidth="1"/>
    <col min="15" max="15" width="11.75" style="35" bestFit="1" customWidth="1"/>
    <col min="16" max="17" width="8.625" style="35" customWidth="1"/>
    <col min="18" max="18" width="9.875" style="35" customWidth="1"/>
    <col min="19" max="20" width="8.625" style="35" customWidth="1"/>
    <col min="21" max="16384" width="11" style="35"/>
  </cols>
  <sheetData>
    <row r="1" spans="1:16" s="67" customFormat="1" ht="22.5">
      <c r="A1" s="67" t="str">
        <f>'IVA 0'!A1</f>
        <v>Previsiones de liquidaciones de IVA</v>
      </c>
      <c r="B1" s="253"/>
      <c r="F1" s="521" t="str">
        <f>Parametros!E$77</f>
        <v>Año 3:  2029</v>
      </c>
      <c r="G1" s="253"/>
    </row>
    <row r="2" spans="1:16" s="67" customFormat="1" ht="22.5">
      <c r="A2" s="67" t="str">
        <f>'Prev.Ventas 0'!A2</f>
        <v>nombre empresa</v>
      </c>
      <c r="B2" s="253"/>
    </row>
    <row r="3" spans="1:16" ht="15.75" thickBot="1">
      <c r="A3" s="1103"/>
      <c r="B3" s="60"/>
      <c r="C3" s="60"/>
      <c r="D3" s="232"/>
      <c r="E3" s="232"/>
      <c r="F3" s="232"/>
      <c r="G3" s="232"/>
      <c r="H3" s="232"/>
      <c r="I3" s="232"/>
      <c r="J3" s="232"/>
      <c r="K3" s="232"/>
      <c r="L3" s="232"/>
      <c r="M3" s="232"/>
      <c r="N3" s="232"/>
      <c r="O3" s="232"/>
      <c r="P3" s="232"/>
    </row>
    <row r="4" spans="1:16" ht="15.75" thickBot="1">
      <c r="A4" s="1136" t="str">
        <f t="array" ref="A4:A8">'IVA 0'!A4:A8</f>
        <v>IVA Soportado</v>
      </c>
      <c r="B4" s="427"/>
      <c r="C4" s="158" t="str">
        <f t="array" ref="C4:N4">meses</f>
        <v>enero</v>
      </c>
      <c r="D4" s="158" t="str">
        <v>febrero</v>
      </c>
      <c r="E4" s="158" t="str">
        <v>marzo</v>
      </c>
      <c r="F4" s="158" t="str">
        <v>abril</v>
      </c>
      <c r="G4" s="158" t="str">
        <v>mayo</v>
      </c>
      <c r="H4" s="158" t="str">
        <v>junio</v>
      </c>
      <c r="I4" s="158" t="str">
        <v>julio</v>
      </c>
      <c r="J4" s="158" t="str">
        <v>agosto</v>
      </c>
      <c r="K4" s="158" t="str">
        <v>septiembre</v>
      </c>
      <c r="L4" s="158" t="str">
        <v>octubre</v>
      </c>
      <c r="M4" s="158" t="str">
        <v>noviembre</v>
      </c>
      <c r="N4" s="158" t="str">
        <v>diciembre</v>
      </c>
      <c r="O4" s="159" t="str">
        <f>'IVA 0'!$O$4</f>
        <v>Totales</v>
      </c>
    </row>
    <row r="5" spans="1:16">
      <c r="A5" s="2462" t="str">
        <v>IVA sop. de Compras y C.V.</v>
      </c>
      <c r="B5" s="2463"/>
      <c r="C5" s="1104">
        <f t="array" aca="1" ref="C5:N5" ca="1">'Distr CV 3'!B67:M67</f>
        <v>62.380920000000003</v>
      </c>
      <c r="D5" s="1105">
        <f ca="1"/>
        <v>77.976150000000004</v>
      </c>
      <c r="E5" s="1105">
        <f ca="1"/>
        <v>85.773764999999997</v>
      </c>
      <c r="F5" s="1105">
        <f ca="1"/>
        <v>81.874957500000008</v>
      </c>
      <c r="G5" s="1105">
        <f ca="1"/>
        <v>70.178535000000011</v>
      </c>
      <c r="H5" s="1105">
        <f ca="1"/>
        <v>66.279727499999993</v>
      </c>
      <c r="I5" s="1105">
        <f ca="1"/>
        <v>62.380920000000003</v>
      </c>
      <c r="J5" s="1105">
        <f ca="1"/>
        <v>46.785690000000002</v>
      </c>
      <c r="K5" s="1105">
        <f ca="1"/>
        <v>62.380920000000003</v>
      </c>
      <c r="L5" s="1105">
        <f ca="1"/>
        <v>74.0773425</v>
      </c>
      <c r="M5" s="1105">
        <f ca="1"/>
        <v>77.976150000000004</v>
      </c>
      <c r="N5" s="1106">
        <f ca="1"/>
        <v>93.571380000000005</v>
      </c>
      <c r="O5" s="1137">
        <f ca="1">SUM(C5:N5)</f>
        <v>861.63645749999989</v>
      </c>
    </row>
    <row r="6" spans="1:16">
      <c r="A6" s="1140" t="str">
        <v>IVA sop. de Gastos fijos</v>
      </c>
      <c r="B6" s="1107"/>
      <c r="C6" s="1105">
        <f t="array" aca="1" ref="C6:N6" ca="1">'G.F. 3'!B60:M60</f>
        <v>30.885236282727281</v>
      </c>
      <c r="D6" s="1105">
        <f ca="1"/>
        <v>30.885236282727281</v>
      </c>
      <c r="E6" s="1105">
        <f ca="1"/>
        <v>30.885236282727281</v>
      </c>
      <c r="F6" s="1105">
        <f ca="1"/>
        <v>30.885236282727281</v>
      </c>
      <c r="G6" s="1105">
        <f ca="1"/>
        <v>30.885236282727281</v>
      </c>
      <c r="H6" s="1105">
        <f ca="1"/>
        <v>30.885236282727281</v>
      </c>
      <c r="I6" s="1105">
        <f ca="1"/>
        <v>30.885236282727281</v>
      </c>
      <c r="J6" s="1105">
        <f ca="1"/>
        <v>30.885236282727281</v>
      </c>
      <c r="K6" s="1105">
        <f ca="1"/>
        <v>30.885236282727281</v>
      </c>
      <c r="L6" s="1105">
        <f ca="1"/>
        <v>30.885236282727281</v>
      </c>
      <c r="M6" s="1105">
        <f ca="1"/>
        <v>30.885236282727281</v>
      </c>
      <c r="N6" s="1106">
        <f ca="1"/>
        <v>30.885236282727281</v>
      </c>
      <c r="O6" s="1137">
        <f ca="1">SUM(C6:N6)</f>
        <v>370.62283539272744</v>
      </c>
    </row>
    <row r="7" spans="1:16">
      <c r="A7" s="1140" t="str">
        <v>IVA sop. de inversiones</v>
      </c>
      <c r="B7" s="1108"/>
      <c r="C7" s="1105">
        <f t="array" ref="C7:N7">'Inversiones AC'!$E$44/12+'Inversiones AC'!$E$43/12</f>
        <v>0</v>
      </c>
      <c r="D7" s="1105">
        <v>0</v>
      </c>
      <c r="E7" s="1105">
        <v>0</v>
      </c>
      <c r="F7" s="1105">
        <v>0</v>
      </c>
      <c r="G7" s="1105">
        <v>0</v>
      </c>
      <c r="H7" s="1105">
        <v>0</v>
      </c>
      <c r="I7" s="1105">
        <v>0</v>
      </c>
      <c r="J7" s="1105">
        <v>0</v>
      </c>
      <c r="K7" s="1105">
        <v>0</v>
      </c>
      <c r="L7" s="1105">
        <v>0</v>
      </c>
      <c r="M7" s="1105">
        <v>0</v>
      </c>
      <c r="N7" s="1106">
        <v>0</v>
      </c>
      <c r="O7" s="1137">
        <f>SUM(C7:N7)</f>
        <v>0</v>
      </c>
    </row>
    <row r="8" spans="1:16" ht="15.75" thickBot="1">
      <c r="A8" s="1141" t="str">
        <v>IVA cuotas Leasing/Renting</v>
      </c>
      <c r="B8" s="1109"/>
      <c r="C8" s="1110">
        <f t="array" ref="C8:N8">Leasing!B48:M48+Renting!B45:M45</f>
        <v>0</v>
      </c>
      <c r="D8" s="1111">
        <v>0</v>
      </c>
      <c r="E8" s="1111">
        <v>0</v>
      </c>
      <c r="F8" s="1111">
        <v>0</v>
      </c>
      <c r="G8" s="1111">
        <v>0</v>
      </c>
      <c r="H8" s="1111">
        <v>0</v>
      </c>
      <c r="I8" s="1111">
        <v>0</v>
      </c>
      <c r="J8" s="1111">
        <v>0</v>
      </c>
      <c r="K8" s="1111">
        <v>0</v>
      </c>
      <c r="L8" s="1111">
        <v>0</v>
      </c>
      <c r="M8" s="1111">
        <v>0</v>
      </c>
      <c r="N8" s="1112">
        <v>0</v>
      </c>
      <c r="O8" s="1138">
        <f>SUM(C8:N8)</f>
        <v>0</v>
      </c>
    </row>
    <row r="9" spans="1:16" ht="15.75" thickBot="1">
      <c r="A9" s="2464"/>
      <c r="B9" s="2465" t="str">
        <f>'IVA 0'!B9</f>
        <v>Total IVA Soportado</v>
      </c>
      <c r="C9" s="1156">
        <f t="shared" ref="C9:O9" ca="1" si="0">SUM(C5:C8)</f>
        <v>93.26615628272728</v>
      </c>
      <c r="D9" s="1157">
        <f t="shared" ca="1" si="0"/>
        <v>108.86138628272728</v>
      </c>
      <c r="E9" s="1157">
        <f t="shared" ca="1" si="0"/>
        <v>116.65900128272727</v>
      </c>
      <c r="F9" s="1157">
        <f t="shared" ca="1" si="0"/>
        <v>112.76019378272728</v>
      </c>
      <c r="G9" s="1157">
        <f t="shared" ca="1" si="0"/>
        <v>101.06377128272729</v>
      </c>
      <c r="H9" s="1157">
        <f t="shared" ca="1" si="0"/>
        <v>97.16496378272727</v>
      </c>
      <c r="I9" s="1157">
        <f t="shared" ca="1" si="0"/>
        <v>93.26615628272728</v>
      </c>
      <c r="J9" s="1157">
        <f t="shared" ca="1" si="0"/>
        <v>77.670926282727279</v>
      </c>
      <c r="K9" s="1157">
        <f t="shared" ca="1" si="0"/>
        <v>93.26615628272728</v>
      </c>
      <c r="L9" s="1157">
        <f t="shared" ca="1" si="0"/>
        <v>104.96257878272728</v>
      </c>
      <c r="M9" s="1157">
        <f t="shared" ca="1" si="0"/>
        <v>108.86138628272728</v>
      </c>
      <c r="N9" s="1158">
        <f t="shared" ca="1" si="0"/>
        <v>124.45661628272728</v>
      </c>
      <c r="O9" s="1159">
        <f t="shared" ca="1" si="0"/>
        <v>1232.2592928927274</v>
      </c>
    </row>
    <row r="10" spans="1:16" ht="15.75" thickBot="1">
      <c r="A10" s="1113"/>
      <c r="C10" s="1114"/>
      <c r="D10" s="1114"/>
      <c r="E10" s="1114"/>
      <c r="F10" s="1114"/>
      <c r="G10" s="1114"/>
      <c r="H10" s="1114"/>
      <c r="I10" s="1114"/>
      <c r="J10" s="1114"/>
      <c r="K10" s="1114"/>
      <c r="L10" s="1114"/>
      <c r="M10" s="1114"/>
      <c r="N10" s="1114"/>
      <c r="O10" s="1114"/>
    </row>
    <row r="11" spans="1:16" ht="15.75" thickBot="1">
      <c r="A11" s="3253" t="str">
        <f t="array" ref="A11:A13">'IVA 0'!A11:A13</f>
        <v>Coeficientes de prorrata Trimestrales</v>
      </c>
      <c r="B11" s="3254"/>
      <c r="C11" s="3255">
        <f t="array" ref="C11:O11" ca="1">C42:O42</f>
        <v>1</v>
      </c>
      <c r="D11" s="3255">
        <v>0</v>
      </c>
      <c r="E11" s="3256">
        <f ca="1"/>
        <v>0</v>
      </c>
      <c r="F11" s="3255">
        <v>0</v>
      </c>
      <c r="G11" s="3255">
        <v>0</v>
      </c>
      <c r="H11" s="3256">
        <f ca="1"/>
        <v>0</v>
      </c>
      <c r="I11" s="3255">
        <v>0</v>
      </c>
      <c r="J11" s="3255">
        <v>0</v>
      </c>
      <c r="K11" s="3256">
        <f ca="1"/>
        <v>0</v>
      </c>
      <c r="L11" s="3255">
        <v>0</v>
      </c>
      <c r="M11" s="3255">
        <v>0</v>
      </c>
      <c r="N11" s="3256">
        <f ca="1"/>
        <v>0</v>
      </c>
      <c r="O11" s="3252">
        <f ca="1"/>
        <v>1</v>
      </c>
    </row>
    <row r="12" spans="1:16">
      <c r="A12" s="3257" t="str">
        <v>Total IVA soportado deducible</v>
      </c>
      <c r="B12" s="3258"/>
      <c r="C12" s="3259">
        <f t="array" aca="1" ref="C12:N12" ca="1">$C$11*C9:N9</f>
        <v>93.26615628272728</v>
      </c>
      <c r="D12" s="3259">
        <f ca="1"/>
        <v>108.86138628272728</v>
      </c>
      <c r="E12" s="3259">
        <f ca="1"/>
        <v>116.65900128272727</v>
      </c>
      <c r="F12" s="3259">
        <f ca="1"/>
        <v>112.76019378272728</v>
      </c>
      <c r="G12" s="3259">
        <f ca="1"/>
        <v>101.06377128272729</v>
      </c>
      <c r="H12" s="3259">
        <f ca="1"/>
        <v>97.16496378272727</v>
      </c>
      <c r="I12" s="3259">
        <f ca="1"/>
        <v>93.26615628272728</v>
      </c>
      <c r="J12" s="3259">
        <f ca="1"/>
        <v>77.670926282727279</v>
      </c>
      <c r="K12" s="3259">
        <f ca="1"/>
        <v>93.26615628272728</v>
      </c>
      <c r="L12" s="3259">
        <f ca="1"/>
        <v>104.96257878272728</v>
      </c>
      <c r="M12" s="3259">
        <f ca="1"/>
        <v>108.86138628272728</v>
      </c>
      <c r="N12" s="3259">
        <f ca="1"/>
        <v>124.45661628272728</v>
      </c>
      <c r="O12" s="1153">
        <f ca="1">SUM(C12:N12)</f>
        <v>1232.2592928927272</v>
      </c>
    </row>
    <row r="13" spans="1:16" ht="16.5" customHeight="1" thickBot="1">
      <c r="A13" s="225" t="str">
        <v>Total IVA soportado a gasto</v>
      </c>
      <c r="B13" s="2461"/>
      <c r="C13" s="1154">
        <f t="array" aca="1" ref="C13:N13" ca="1">C9:N9-C12:N12</f>
        <v>0</v>
      </c>
      <c r="D13" s="1154">
        <f ca="1"/>
        <v>0</v>
      </c>
      <c r="E13" s="1154">
        <f ca="1"/>
        <v>0</v>
      </c>
      <c r="F13" s="1154">
        <f ca="1"/>
        <v>0</v>
      </c>
      <c r="G13" s="1154">
        <f ca="1"/>
        <v>0</v>
      </c>
      <c r="H13" s="1154">
        <f ca="1"/>
        <v>0</v>
      </c>
      <c r="I13" s="1154">
        <f ca="1"/>
        <v>0</v>
      </c>
      <c r="J13" s="1154">
        <f ca="1"/>
        <v>0</v>
      </c>
      <c r="K13" s="1154">
        <f ca="1"/>
        <v>0</v>
      </c>
      <c r="L13" s="1154">
        <f ca="1"/>
        <v>0</v>
      </c>
      <c r="M13" s="1154">
        <f ca="1"/>
        <v>0</v>
      </c>
      <c r="N13" s="1154">
        <f ca="1"/>
        <v>0</v>
      </c>
      <c r="O13" s="1155">
        <f ca="1">SUM(C13:N13)</f>
        <v>0</v>
      </c>
    </row>
    <row r="14" spans="1:16" ht="15.75" thickBot="1"/>
    <row r="15" spans="1:16" ht="15.75" thickBot="1">
      <c r="A15" s="64"/>
      <c r="B15" s="387" t="str">
        <f>'IVA 0'!B15</f>
        <v>Cuenta Corriente IVA</v>
      </c>
      <c r="C15" s="1149" t="str">
        <f>'Datos Básicos'!$B$32</f>
        <v>No</v>
      </c>
      <c r="D15" s="2432">
        <f>IVAcc</f>
        <v>0</v>
      </c>
      <c r="F15" s="1151"/>
      <c r="G15" s="683"/>
      <c r="L15" s="64"/>
      <c r="M15" s="367"/>
      <c r="N15" s="3249" t="s">
        <v>1250</v>
      </c>
      <c r="O15" s="3250">
        <f ca="1">-O9*($O$11-$C$11)</f>
        <v>0</v>
      </c>
    </row>
    <row r="17" spans="1:15" s="98" customFormat="1" ht="23.25" thickBot="1">
      <c r="A17" s="67" t="str">
        <f>'IVA 0'!A17</f>
        <v xml:space="preserve">Liquidaciones Trimestrales de IVA de la empresa </v>
      </c>
      <c r="B17" s="253"/>
      <c r="C17" s="67"/>
      <c r="D17" s="67"/>
      <c r="F17" s="253"/>
    </row>
    <row r="18" spans="1:15" ht="15.75" thickBot="1">
      <c r="A18" s="2453"/>
      <c r="B18" s="2454"/>
      <c r="C18" s="1130" t="str">
        <f t="array" ref="C18:N18">meses</f>
        <v>enero</v>
      </c>
      <c r="D18" s="1130" t="str">
        <v>febrero</v>
      </c>
      <c r="E18" s="1130" t="str">
        <v>marzo</v>
      </c>
      <c r="F18" s="1130" t="str">
        <v>abril</v>
      </c>
      <c r="G18" s="1130" t="str">
        <v>mayo</v>
      </c>
      <c r="H18" s="1130" t="str">
        <v>junio</v>
      </c>
      <c r="I18" s="1130" t="str">
        <v>julio</v>
      </c>
      <c r="J18" s="1130" t="str">
        <v>agosto</v>
      </c>
      <c r="K18" s="1130" t="str">
        <v>septiembre</v>
      </c>
      <c r="L18" s="1130" t="str">
        <v>octubre</v>
      </c>
      <c r="M18" s="1130" t="str">
        <v>noviembre</v>
      </c>
      <c r="N18" s="1130" t="str">
        <v>diciembre</v>
      </c>
      <c r="O18" s="1131" t="str">
        <f>'IVA 0'!$O$4</f>
        <v>Totales</v>
      </c>
    </row>
    <row r="19" spans="1:15">
      <c r="A19" s="2455" t="str">
        <f t="array" ref="A19:A22">'IVA 0'!A19:A22</f>
        <v>Total IVA Repercutido</v>
      </c>
      <c r="B19" s="2456"/>
      <c r="C19" s="1104">
        <f t="array" aca="1" ref="C19" ca="1">SUM(Parametros!$E$24:$E$31*C31:C38)</f>
        <v>623.80919999999992</v>
      </c>
      <c r="D19" s="1104">
        <f t="array" aca="1" ref="D19" ca="1">SUM(Parametros!$E$24:$E$31*D31:D38)</f>
        <v>779.76150000000007</v>
      </c>
      <c r="E19" s="1104">
        <f t="array" aca="1" ref="E19" ca="1">SUM(Parametros!$E$24:$E$31*E31:E38)</f>
        <v>857.73765000000003</v>
      </c>
      <c r="F19" s="1104">
        <f t="array" aca="1" ref="F19" ca="1">SUM(Parametros!$E$24:$E$31*F31:F38)</f>
        <v>818.74957499999994</v>
      </c>
      <c r="G19" s="1104">
        <f t="array" aca="1" ref="G19" ca="1">SUM(Parametros!$E$24:$E$31*G31:G38)</f>
        <v>701.78534999999999</v>
      </c>
      <c r="H19" s="1104">
        <f t="array" aca="1" ref="H19" ca="1">SUM(Parametros!$E$24:$E$31*H31:H38)</f>
        <v>662.7972749999999</v>
      </c>
      <c r="I19" s="1104">
        <f t="array" aca="1" ref="I19" ca="1">SUM(Parametros!$E$24:$E$31*I31:I38)</f>
        <v>623.80919999999992</v>
      </c>
      <c r="J19" s="1104">
        <f t="array" aca="1" ref="J19" ca="1">SUM(Parametros!$E$24:$E$31*J31:J38)</f>
        <v>467.85689999999994</v>
      </c>
      <c r="K19" s="1104">
        <f t="array" aca="1" ref="K19" ca="1">SUM(Parametros!$E$24:$E$31*K31:K38)</f>
        <v>623.80919999999992</v>
      </c>
      <c r="L19" s="1104">
        <f t="array" aca="1" ref="L19" ca="1">SUM(Parametros!$E$24:$E$31*L31:L38)</f>
        <v>740.77342500000009</v>
      </c>
      <c r="M19" s="1104">
        <f t="array" aca="1" ref="M19" ca="1">SUM(Parametros!$E$24:$E$31*M31:M38)</f>
        <v>779.76150000000007</v>
      </c>
      <c r="N19" s="1104">
        <f t="array" aca="1" ref="N19" ca="1">SUM(Parametros!$E$24:$E$31*N31:N38)</f>
        <v>935.71379999999988</v>
      </c>
      <c r="O19" s="1133">
        <f ca="1">SUM(C19:N19)</f>
        <v>8616.3645749999996</v>
      </c>
    </row>
    <row r="20" spans="1:15">
      <c r="A20" s="2457" t="str">
        <v>Total IVA soportado deducible</v>
      </c>
      <c r="B20" s="2458"/>
      <c r="C20" s="1105">
        <f t="array" aca="1" ref="C20:N20" ca="1">C12:N12</f>
        <v>93.26615628272728</v>
      </c>
      <c r="D20" s="1105">
        <f ca="1"/>
        <v>108.86138628272728</v>
      </c>
      <c r="E20" s="1105">
        <f ca="1"/>
        <v>116.65900128272727</v>
      </c>
      <c r="F20" s="1105">
        <f ca="1"/>
        <v>112.76019378272728</v>
      </c>
      <c r="G20" s="1105">
        <f ca="1"/>
        <v>101.06377128272729</v>
      </c>
      <c r="H20" s="1105">
        <f ca="1"/>
        <v>97.16496378272727</v>
      </c>
      <c r="I20" s="1105">
        <f ca="1"/>
        <v>93.26615628272728</v>
      </c>
      <c r="J20" s="1105">
        <f ca="1"/>
        <v>77.670926282727279</v>
      </c>
      <c r="K20" s="1105">
        <f ca="1"/>
        <v>93.26615628272728</v>
      </c>
      <c r="L20" s="1105">
        <f ca="1"/>
        <v>104.96257878272728</v>
      </c>
      <c r="M20" s="1105">
        <f ca="1"/>
        <v>108.86138628272728</v>
      </c>
      <c r="N20" s="1105">
        <f ca="1"/>
        <v>124.45661628272728</v>
      </c>
      <c r="O20" s="1128">
        <f ca="1">SUM(C20:N20)</f>
        <v>1232.2592928927272</v>
      </c>
    </row>
    <row r="21" spans="1:15" ht="15.75" thickBot="1">
      <c r="A21" s="2459" t="str">
        <v>Diferencias IVA</v>
      </c>
      <c r="B21" s="2460"/>
      <c r="C21" s="1152">
        <f t="array" aca="1" ref="C21:N21" ca="1">C19:N19-C20:N20</f>
        <v>530.54304371727267</v>
      </c>
      <c r="D21" s="1152">
        <f ca="1"/>
        <v>670.9001137172728</v>
      </c>
      <c r="E21" s="1152">
        <f ca="1"/>
        <v>741.0786487172727</v>
      </c>
      <c r="F21" s="1152">
        <f ca="1"/>
        <v>705.98938121727269</v>
      </c>
      <c r="G21" s="1152">
        <f ca="1"/>
        <v>600.72157871727268</v>
      </c>
      <c r="H21" s="1152">
        <f ca="1"/>
        <v>565.63231121727267</v>
      </c>
      <c r="I21" s="1152">
        <f ca="1"/>
        <v>530.54304371727267</v>
      </c>
      <c r="J21" s="1152">
        <f ca="1"/>
        <v>390.18597371727265</v>
      </c>
      <c r="K21" s="1152">
        <f ca="1"/>
        <v>530.54304371727267</v>
      </c>
      <c r="L21" s="1152">
        <f ca="1"/>
        <v>635.8108462172728</v>
      </c>
      <c r="M21" s="1152">
        <f ca="1"/>
        <v>670.9001137172728</v>
      </c>
      <c r="N21" s="1152">
        <f ca="1"/>
        <v>811.2571837172726</v>
      </c>
      <c r="O21" s="1129">
        <f ca="1">SUM(C21:N21)</f>
        <v>7384.1052821072726</v>
      </c>
    </row>
    <row r="22" spans="1:15" s="48" customFormat="1" ht="19.5" customHeight="1">
      <c r="A22" s="2530" t="str">
        <v>Cuotas de IVA</v>
      </c>
      <c r="B22" s="2531"/>
      <c r="C22" s="2532">
        <f ca="1">'IVA 2'!O22</f>
        <v>2056.3403566363631</v>
      </c>
      <c r="D22" s="2536">
        <f>+IF(IVAmensual=1,  IF(AND(IVAdev=1,C22&lt;0),0,MIN(C22,0))  +C21,0)</f>
        <v>0</v>
      </c>
      <c r="E22" s="2519">
        <f>+IF(IVAmensual=1,    MIN(D22,0)+D21,0)</f>
        <v>0</v>
      </c>
      <c r="F22" s="2536">
        <f ca="1">IF(IVAmensual=0,    IF(AND(IVAdev=1,C22&lt;0),0,MIN(C22,0))+SUM(C21:E21),0)
+IF(IVAmensual=1,    MIN(E22,0)+E21,0)</f>
        <v>1942.5218061518181</v>
      </c>
      <c r="G22" s="2519">
        <f>+IF(IVAmensual=1,    MIN(F22,0)+F21,0)</f>
        <v>0</v>
      </c>
      <c r="H22" s="2519">
        <f>+IF(IVAmensual=1,    MIN(G22,0)+G21,0)</f>
        <v>0</v>
      </c>
      <c r="I22" s="2519">
        <f ca="1">IF(IVAmensual=0,   MIN(F22,0)+SUM(F21:H21),0)
+IF(IVAmensual=1,    MIN(H22,0)+H21,0)</f>
        <v>1872.343271151818</v>
      </c>
      <c r="J22" s="2519">
        <f>+IF(IVAmensual=1,    MIN(I22,0)+I21,0)</f>
        <v>0</v>
      </c>
      <c r="K22" s="2519">
        <f>+IF(IVAmensual=1,    MIN(J22,0)+J21,0)</f>
        <v>0</v>
      </c>
      <c r="L22" s="2519">
        <f ca="1">IF(IVAmensual=0,   MIN(I22,0)+SUM(I21:K21),0)
+IF(IVAmensual=1,    MIN(K22,0)+K21,0)</f>
        <v>1451.272061151818</v>
      </c>
      <c r="M22" s="2519">
        <f>+IF(IVAmensual=1,    MIN(L22,0)+L21,0)</f>
        <v>0</v>
      </c>
      <c r="N22" s="2519">
        <f>+IF(IVAmensual=1,    MIN(M22,0)+M21,0)</f>
        <v>0</v>
      </c>
      <c r="O22" s="3248">
        <f ca="1">IF(IVAmensual=0,   MIN(L22,0)+SUM(L21:N21)+O15,0)
+IF(IVAmensual=1,    MIN(N22,0)+N21+O15,0)</f>
        <v>2117.9681436518181</v>
      </c>
    </row>
    <row r="23" spans="1:15" ht="10.5" customHeight="1">
      <c r="A23" s="380"/>
      <c r="B23" s="2458"/>
      <c r="C23" s="902"/>
      <c r="D23" s="902"/>
      <c r="E23" s="902"/>
      <c r="F23" s="902"/>
      <c r="G23" s="902"/>
      <c r="H23" s="902"/>
      <c r="I23" s="902"/>
      <c r="J23" s="902"/>
      <c r="K23" s="902"/>
      <c r="L23" s="902"/>
      <c r="M23" s="902"/>
      <c r="N23" s="902"/>
      <c r="O23" s="1134"/>
    </row>
    <row r="24" spans="1:15" s="48" customFormat="1" ht="19.5" customHeight="1" thickBot="1">
      <c r="A24" s="2520" t="str">
        <f>'IVA 0'!A24</f>
        <v>Liquidaciones de IVA</v>
      </c>
      <c r="B24" s="2521"/>
      <c r="C24" s="2522">
        <f t="shared" ref="C24:O24" ca="1" si="1">IF(AND(IVAcc=0,C22&gt;0),C22,0)</f>
        <v>2056.3403566363631</v>
      </c>
      <c r="D24" s="2523">
        <f t="shared" si="1"/>
        <v>0</v>
      </c>
      <c r="E24" s="2523">
        <f t="shared" si="1"/>
        <v>0</v>
      </c>
      <c r="F24" s="2523">
        <f t="shared" ca="1" si="1"/>
        <v>1942.5218061518181</v>
      </c>
      <c r="G24" s="2523">
        <f t="shared" si="1"/>
        <v>0</v>
      </c>
      <c r="H24" s="2523">
        <f t="shared" si="1"/>
        <v>0</v>
      </c>
      <c r="I24" s="2523">
        <f t="shared" ca="1" si="1"/>
        <v>1872.343271151818</v>
      </c>
      <c r="J24" s="2523">
        <f t="shared" si="1"/>
        <v>0</v>
      </c>
      <c r="K24" s="2523">
        <f t="shared" si="1"/>
        <v>0</v>
      </c>
      <c r="L24" s="2523">
        <f t="shared" ca="1" si="1"/>
        <v>1451.272061151818</v>
      </c>
      <c r="M24" s="2523">
        <f t="shared" si="1"/>
        <v>0</v>
      </c>
      <c r="N24" s="2523">
        <f t="shared" si="1"/>
        <v>0</v>
      </c>
      <c r="O24" s="2524">
        <f t="shared" ca="1" si="1"/>
        <v>2117.9681436518181</v>
      </c>
    </row>
    <row r="25" spans="1:15" ht="9" customHeight="1" thickBot="1">
      <c r="C25" s="896"/>
      <c r="D25" s="896"/>
      <c r="E25" s="896"/>
      <c r="F25" s="896"/>
      <c r="G25" s="896"/>
      <c r="H25" s="896"/>
      <c r="I25" s="896"/>
      <c r="J25" s="896"/>
      <c r="K25" s="896"/>
      <c r="L25" s="896"/>
      <c r="M25" s="896"/>
      <c r="N25" s="896"/>
      <c r="O25" s="896"/>
    </row>
    <row r="26" spans="1:15" s="48" customFormat="1" ht="18.75" customHeight="1" thickBot="1">
      <c r="A26" s="2525" t="str">
        <f>'IVA 0'!A26</f>
        <v>Devoluciones IVA</v>
      </c>
      <c r="B26" s="2526"/>
      <c r="C26" s="2527">
        <f>'IVA 2'!O26</f>
        <v>0</v>
      </c>
      <c r="D26" s="2528">
        <f>-IF(AND(IVAcc,IVAmensual=1),C21,0)</f>
        <v>0</v>
      </c>
      <c r="E26" s="2528">
        <f>-IF(AND(IVAcc,IVAmensual=1),D21,0)</f>
        <v>0</v>
      </c>
      <c r="F26" s="2528">
        <f>-IF(AND(IVAcc,IVAmensual=0),SUM(C21:E21),0)
-IF(AND(IVAcc,IVAmensual=1),E21,0)</f>
        <v>0</v>
      </c>
      <c r="G26" s="2528">
        <f>-IF(AND(IVAcc,IVAmensual=1),F21,0)</f>
        <v>0</v>
      </c>
      <c r="H26" s="2535">
        <f ca="1">-IF(AND(IVAcc,IVAmensual=1),G21,0)-IF(AND(IVAcc=0,IVAdev=1,C22&lt;0),C22,0)</f>
        <v>0</v>
      </c>
      <c r="I26" s="2528">
        <f>-IF(AND(IVAcc,IVAmensual=0),SUM(F21:H21),0)
-IF(AND(IVAcc,IVAmensual=1),H21,0)</f>
        <v>0</v>
      </c>
      <c r="J26" s="2528">
        <f>-IF(AND(IVAcc,IVAmensual=1),I21,0)</f>
        <v>0</v>
      </c>
      <c r="K26" s="2528">
        <f>-IF(AND(IVAcc,IVAmensual=1),J21,0)</f>
        <v>0</v>
      </c>
      <c r="L26" s="2528">
        <f>-IF(AND(IVAcc,IVAmensual=0),SUM(I21:K21),0)
-IF(AND(IVAcc,IVAmensual=1),K21,0)</f>
        <v>0</v>
      </c>
      <c r="M26" s="2528">
        <f>-IF(AND(IVAcc,IVAmensual=1),L21,0)</f>
        <v>0</v>
      </c>
      <c r="N26" s="2528">
        <f>-IF(AND(IVAcc,IVAmensual=1),M21,0)</f>
        <v>0</v>
      </c>
      <c r="O26" s="2533">
        <f>-IF(AND(IVAcc,IVAmensual=0),SUM(L21:N21),0)
-IF(AND(IVAcc,IVAmensual=1),N21,0)</f>
        <v>0</v>
      </c>
    </row>
    <row r="29" spans="1:15" s="98" customFormat="1" ht="23.25" thickBot="1">
      <c r="A29" s="67" t="str">
        <f>'IVA 0'!A29</f>
        <v>Regla de prorrata</v>
      </c>
      <c r="D29" s="253"/>
      <c r="E29" s="253"/>
    </row>
    <row r="30" spans="1:15" ht="15.75" thickBot="1">
      <c r="A30" s="1142" t="str">
        <f>'IVA 0'!A30</f>
        <v>IVA repercutido</v>
      </c>
      <c r="B30" s="103" t="str">
        <f>'IVA 0'!B30</f>
        <v>tipo IVA</v>
      </c>
      <c r="C30" s="427" t="str">
        <f t="array" ref="C30:N30">meses</f>
        <v>enero</v>
      </c>
      <c r="D30" s="158" t="str">
        <v>febrero</v>
      </c>
      <c r="E30" s="158" t="str">
        <v>marzo</v>
      </c>
      <c r="F30" s="158" t="str">
        <v>abril</v>
      </c>
      <c r="G30" s="158" t="str">
        <v>mayo</v>
      </c>
      <c r="H30" s="158" t="str">
        <v>junio</v>
      </c>
      <c r="I30" s="158" t="str">
        <v>julio</v>
      </c>
      <c r="J30" s="158" t="str">
        <v>agosto</v>
      </c>
      <c r="K30" s="158" t="str">
        <v>septiembre</v>
      </c>
      <c r="L30" s="158" t="str">
        <v>octubre</v>
      </c>
      <c r="M30" s="158" t="str">
        <v>noviembre</v>
      </c>
      <c r="N30" s="158" t="str">
        <v>diciembre</v>
      </c>
      <c r="O30" s="159" t="str">
        <f>'IVA 0'!$O$4</f>
        <v>Totales</v>
      </c>
    </row>
    <row r="31" spans="1:15">
      <c r="A31" s="1749" t="str">
        <f t="array" ref="A31:A38">productos</f>
        <v>producto o servicio</v>
      </c>
      <c r="B31" s="1115">
        <f t="array" ref="B31:B38">Parametros!E24:E31</f>
        <v>0.21</v>
      </c>
      <c r="C31" s="1116">
        <f t="array" aca="1" ref="C31:N38" ca="1">'Prev.Ventas 3'!B17:M24</f>
        <v>2970.52</v>
      </c>
      <c r="D31" s="1116">
        <f ca="1"/>
        <v>3713.1500000000005</v>
      </c>
      <c r="E31" s="1116">
        <f ca="1"/>
        <v>4084.4650000000001</v>
      </c>
      <c r="F31" s="1116">
        <f ca="1"/>
        <v>3898.8074999999999</v>
      </c>
      <c r="G31" s="1116">
        <f ca="1"/>
        <v>3341.835</v>
      </c>
      <c r="H31" s="1116">
        <f ca="1"/>
        <v>3156.1774999999998</v>
      </c>
      <c r="I31" s="1116">
        <f ca="1"/>
        <v>2970.52</v>
      </c>
      <c r="J31" s="1116">
        <f ca="1"/>
        <v>2227.89</v>
      </c>
      <c r="K31" s="1116">
        <f ca="1"/>
        <v>2970.52</v>
      </c>
      <c r="L31" s="1116">
        <f ca="1"/>
        <v>3527.4925000000003</v>
      </c>
      <c r="M31" s="1116">
        <f ca="1"/>
        <v>3713.1500000000005</v>
      </c>
      <c r="N31" s="1116">
        <f ca="1"/>
        <v>4455.78</v>
      </c>
      <c r="O31" s="1143">
        <f t="shared" ref="O31:O41" ca="1" si="2">SUM(C31:N31)</f>
        <v>41030.307500000003</v>
      </c>
    </row>
    <row r="32" spans="1:15">
      <c r="A32" s="1532" t="str">
        <v/>
      </c>
      <c r="B32" s="1117">
        <v>0.21</v>
      </c>
      <c r="C32" s="1118">
        <f ca="1"/>
        <v>0</v>
      </c>
      <c r="D32" s="1118">
        <f ca="1"/>
        <v>0</v>
      </c>
      <c r="E32" s="1118">
        <f ca="1"/>
        <v>0</v>
      </c>
      <c r="F32" s="1118">
        <f ca="1"/>
        <v>0</v>
      </c>
      <c r="G32" s="1118">
        <f ca="1"/>
        <v>0</v>
      </c>
      <c r="H32" s="1118">
        <f ca="1"/>
        <v>0</v>
      </c>
      <c r="I32" s="1118">
        <f ca="1"/>
        <v>0</v>
      </c>
      <c r="J32" s="1118">
        <f ca="1"/>
        <v>0</v>
      </c>
      <c r="K32" s="1118">
        <f ca="1"/>
        <v>0</v>
      </c>
      <c r="L32" s="1118">
        <f ca="1"/>
        <v>0</v>
      </c>
      <c r="M32" s="1118">
        <f ca="1"/>
        <v>0</v>
      </c>
      <c r="N32" s="1118">
        <f ca="1"/>
        <v>0</v>
      </c>
      <c r="O32" s="1144">
        <f t="shared" ca="1" si="2"/>
        <v>0</v>
      </c>
    </row>
    <row r="33" spans="1:15">
      <c r="A33" s="1532" t="str">
        <v/>
      </c>
      <c r="B33" s="1117">
        <v>0.21</v>
      </c>
      <c r="C33" s="1118">
        <f ca="1"/>
        <v>0</v>
      </c>
      <c r="D33" s="1118">
        <f ca="1"/>
        <v>0</v>
      </c>
      <c r="E33" s="1118">
        <f ca="1"/>
        <v>0</v>
      </c>
      <c r="F33" s="1118">
        <f ca="1"/>
        <v>0</v>
      </c>
      <c r="G33" s="1118">
        <f ca="1"/>
        <v>0</v>
      </c>
      <c r="H33" s="1118">
        <f ca="1"/>
        <v>0</v>
      </c>
      <c r="I33" s="1118">
        <f ca="1"/>
        <v>0</v>
      </c>
      <c r="J33" s="1118">
        <f ca="1"/>
        <v>0</v>
      </c>
      <c r="K33" s="1118">
        <f ca="1"/>
        <v>0</v>
      </c>
      <c r="L33" s="1118">
        <f ca="1"/>
        <v>0</v>
      </c>
      <c r="M33" s="1118">
        <f ca="1"/>
        <v>0</v>
      </c>
      <c r="N33" s="1118">
        <f ca="1"/>
        <v>0</v>
      </c>
      <c r="O33" s="1144">
        <f t="shared" ca="1" si="2"/>
        <v>0</v>
      </c>
    </row>
    <row r="34" spans="1:15">
      <c r="A34" s="1532" t="str">
        <v/>
      </c>
      <c r="B34" s="1117">
        <v>0.21</v>
      </c>
      <c r="C34" s="1118">
        <f ca="1"/>
        <v>0</v>
      </c>
      <c r="D34" s="1118">
        <f ca="1"/>
        <v>0</v>
      </c>
      <c r="E34" s="1118">
        <f ca="1"/>
        <v>0</v>
      </c>
      <c r="F34" s="1118">
        <f ca="1"/>
        <v>0</v>
      </c>
      <c r="G34" s="1118">
        <f ca="1"/>
        <v>0</v>
      </c>
      <c r="H34" s="1118">
        <f ca="1"/>
        <v>0</v>
      </c>
      <c r="I34" s="1118">
        <f ca="1"/>
        <v>0</v>
      </c>
      <c r="J34" s="1118">
        <f ca="1"/>
        <v>0</v>
      </c>
      <c r="K34" s="1118">
        <f ca="1"/>
        <v>0</v>
      </c>
      <c r="L34" s="1118">
        <f ca="1"/>
        <v>0</v>
      </c>
      <c r="M34" s="1118">
        <f ca="1"/>
        <v>0</v>
      </c>
      <c r="N34" s="1118">
        <f ca="1"/>
        <v>0</v>
      </c>
      <c r="O34" s="1144">
        <f t="shared" ca="1" si="2"/>
        <v>0</v>
      </c>
    </row>
    <row r="35" spans="1:15">
      <c r="A35" s="1532" t="str">
        <v/>
      </c>
      <c r="B35" s="1117">
        <v>0.21</v>
      </c>
      <c r="C35" s="1118">
        <f ca="1"/>
        <v>0</v>
      </c>
      <c r="D35" s="1118">
        <f ca="1"/>
        <v>0</v>
      </c>
      <c r="E35" s="1118">
        <f ca="1"/>
        <v>0</v>
      </c>
      <c r="F35" s="1118">
        <f ca="1"/>
        <v>0</v>
      </c>
      <c r="G35" s="1118">
        <f ca="1"/>
        <v>0</v>
      </c>
      <c r="H35" s="1118">
        <f ca="1"/>
        <v>0</v>
      </c>
      <c r="I35" s="1118">
        <f ca="1"/>
        <v>0</v>
      </c>
      <c r="J35" s="1118">
        <f ca="1"/>
        <v>0</v>
      </c>
      <c r="K35" s="1118">
        <f ca="1"/>
        <v>0</v>
      </c>
      <c r="L35" s="1118">
        <f ca="1"/>
        <v>0</v>
      </c>
      <c r="M35" s="1118">
        <f ca="1"/>
        <v>0</v>
      </c>
      <c r="N35" s="1118">
        <f ca="1"/>
        <v>0</v>
      </c>
      <c r="O35" s="1144">
        <f t="shared" ca="1" si="2"/>
        <v>0</v>
      </c>
    </row>
    <row r="36" spans="1:15">
      <c r="A36" s="1532" t="str">
        <v/>
      </c>
      <c r="B36" s="1117">
        <v>0.21</v>
      </c>
      <c r="C36" s="1118">
        <f ca="1"/>
        <v>0</v>
      </c>
      <c r="D36" s="1118">
        <f ca="1"/>
        <v>0</v>
      </c>
      <c r="E36" s="1118">
        <f ca="1"/>
        <v>0</v>
      </c>
      <c r="F36" s="1118">
        <f ca="1"/>
        <v>0</v>
      </c>
      <c r="G36" s="1118">
        <f ca="1"/>
        <v>0</v>
      </c>
      <c r="H36" s="1118">
        <f ca="1"/>
        <v>0</v>
      </c>
      <c r="I36" s="1118">
        <f ca="1"/>
        <v>0</v>
      </c>
      <c r="J36" s="1118">
        <f ca="1"/>
        <v>0</v>
      </c>
      <c r="K36" s="1118">
        <f ca="1"/>
        <v>0</v>
      </c>
      <c r="L36" s="1118">
        <f ca="1"/>
        <v>0</v>
      </c>
      <c r="M36" s="1118">
        <f ca="1"/>
        <v>0</v>
      </c>
      <c r="N36" s="1118">
        <f ca="1"/>
        <v>0</v>
      </c>
      <c r="O36" s="1144">
        <f t="shared" ca="1" si="2"/>
        <v>0</v>
      </c>
    </row>
    <row r="37" spans="1:15">
      <c r="A37" s="1532" t="str">
        <v/>
      </c>
      <c r="B37" s="1117">
        <v>0.21</v>
      </c>
      <c r="C37" s="1118">
        <f ca="1"/>
        <v>0</v>
      </c>
      <c r="D37" s="1118">
        <f ca="1"/>
        <v>0</v>
      </c>
      <c r="E37" s="1118">
        <f ca="1"/>
        <v>0</v>
      </c>
      <c r="F37" s="1118">
        <f ca="1"/>
        <v>0</v>
      </c>
      <c r="G37" s="1118">
        <f ca="1"/>
        <v>0</v>
      </c>
      <c r="H37" s="1118">
        <f ca="1"/>
        <v>0</v>
      </c>
      <c r="I37" s="1118">
        <f ca="1"/>
        <v>0</v>
      </c>
      <c r="J37" s="1118">
        <f ca="1"/>
        <v>0</v>
      </c>
      <c r="K37" s="1118">
        <f ca="1"/>
        <v>0</v>
      </c>
      <c r="L37" s="1118">
        <f ca="1"/>
        <v>0</v>
      </c>
      <c r="M37" s="1118">
        <f ca="1"/>
        <v>0</v>
      </c>
      <c r="N37" s="1118">
        <f ca="1"/>
        <v>0</v>
      </c>
      <c r="O37" s="1144">
        <f t="shared" ca="1" si="2"/>
        <v>0</v>
      </c>
    </row>
    <row r="38" spans="1:15" ht="15.75" thickBot="1">
      <c r="A38" s="1750" t="str">
        <v/>
      </c>
      <c r="B38" s="1119">
        <v>0.21</v>
      </c>
      <c r="C38" s="1120">
        <f ca="1"/>
        <v>0</v>
      </c>
      <c r="D38" s="1120">
        <f ca="1"/>
        <v>0</v>
      </c>
      <c r="E38" s="1120">
        <f ca="1"/>
        <v>0</v>
      </c>
      <c r="F38" s="1120">
        <f ca="1"/>
        <v>0</v>
      </c>
      <c r="G38" s="1120">
        <f ca="1"/>
        <v>0</v>
      </c>
      <c r="H38" s="1120">
        <f ca="1"/>
        <v>0</v>
      </c>
      <c r="I38" s="1120">
        <f ca="1"/>
        <v>0</v>
      </c>
      <c r="J38" s="1120">
        <f ca="1"/>
        <v>0</v>
      </c>
      <c r="K38" s="1120">
        <f ca="1"/>
        <v>0</v>
      </c>
      <c r="L38" s="1120">
        <f ca="1"/>
        <v>0</v>
      </c>
      <c r="M38" s="1120">
        <f ca="1"/>
        <v>0</v>
      </c>
      <c r="N38" s="1120">
        <f ca="1"/>
        <v>0</v>
      </c>
      <c r="O38" s="1145">
        <f t="shared" ca="1" si="2"/>
        <v>0</v>
      </c>
    </row>
    <row r="39" spans="1:15" ht="18" customHeight="1">
      <c r="A39" s="1146" t="str">
        <f t="array" ref="A39:A42">'IVA 0'!A39:A42</f>
        <v>Ventas sujetas a IVA</v>
      </c>
      <c r="B39" s="202"/>
      <c r="C39" s="1122">
        <f t="shared" ref="C39:N39" ca="1" si="3">SUMIF($B$31:$B$38,"&lt;&gt;0",C31:C38)</f>
        <v>2970.52</v>
      </c>
      <c r="D39" s="1123">
        <f t="shared" ca="1" si="3"/>
        <v>3713.1500000000005</v>
      </c>
      <c r="E39" s="1123">
        <f t="shared" ca="1" si="3"/>
        <v>4084.4650000000001</v>
      </c>
      <c r="F39" s="1123">
        <f t="shared" ca="1" si="3"/>
        <v>3898.8074999999999</v>
      </c>
      <c r="G39" s="1123">
        <f t="shared" ca="1" si="3"/>
        <v>3341.835</v>
      </c>
      <c r="H39" s="1123">
        <f t="shared" ca="1" si="3"/>
        <v>3156.1774999999998</v>
      </c>
      <c r="I39" s="1123">
        <f t="shared" ca="1" si="3"/>
        <v>2970.52</v>
      </c>
      <c r="J39" s="1123">
        <f t="shared" ca="1" si="3"/>
        <v>2227.89</v>
      </c>
      <c r="K39" s="1123">
        <f t="shared" ca="1" si="3"/>
        <v>2970.52</v>
      </c>
      <c r="L39" s="1123">
        <f t="shared" ca="1" si="3"/>
        <v>3527.4925000000003</v>
      </c>
      <c r="M39" s="1123">
        <f t="shared" ca="1" si="3"/>
        <v>3713.1500000000005</v>
      </c>
      <c r="N39" s="1124">
        <f t="shared" ca="1" si="3"/>
        <v>4455.78</v>
      </c>
      <c r="O39" s="1143">
        <f t="shared" ca="1" si="2"/>
        <v>41030.307500000003</v>
      </c>
    </row>
    <row r="40" spans="1:15" ht="18" customHeight="1">
      <c r="A40" s="1147" t="str">
        <v>Ventas exentas de IVA</v>
      </c>
      <c r="B40" s="207"/>
      <c r="C40" s="1125">
        <f t="shared" ref="C40:N40" si="4">SUMIF($B$31:$B$38,"=0",C31:C38)</f>
        <v>0</v>
      </c>
      <c r="D40" s="1126">
        <f t="shared" si="4"/>
        <v>0</v>
      </c>
      <c r="E40" s="1126">
        <f t="shared" si="4"/>
        <v>0</v>
      </c>
      <c r="F40" s="1126">
        <f t="shared" si="4"/>
        <v>0</v>
      </c>
      <c r="G40" s="1126">
        <f t="shared" si="4"/>
        <v>0</v>
      </c>
      <c r="H40" s="1126">
        <f t="shared" si="4"/>
        <v>0</v>
      </c>
      <c r="I40" s="1126">
        <f t="shared" si="4"/>
        <v>0</v>
      </c>
      <c r="J40" s="1126">
        <f t="shared" si="4"/>
        <v>0</v>
      </c>
      <c r="K40" s="1126">
        <f t="shared" si="4"/>
        <v>0</v>
      </c>
      <c r="L40" s="1126">
        <f t="shared" si="4"/>
        <v>0</v>
      </c>
      <c r="M40" s="1126">
        <f t="shared" si="4"/>
        <v>0</v>
      </c>
      <c r="N40" s="1127">
        <f t="shared" si="4"/>
        <v>0</v>
      </c>
      <c r="O40" s="1144">
        <f t="shared" si="2"/>
        <v>0</v>
      </c>
    </row>
    <row r="41" spans="1:15" ht="18" customHeight="1">
      <c r="A41" s="1147" t="str">
        <v>Total Facturación</v>
      </c>
      <c r="B41" s="207"/>
      <c r="C41" s="1125">
        <f t="array" aca="1" ref="C41:N41" ca="1">C40:N40+C39:N39</f>
        <v>2970.52</v>
      </c>
      <c r="D41" s="1126">
        <f ca="1"/>
        <v>3713.1500000000005</v>
      </c>
      <c r="E41" s="1126">
        <f ca="1"/>
        <v>4084.4650000000001</v>
      </c>
      <c r="F41" s="1126">
        <f ca="1"/>
        <v>3898.8074999999999</v>
      </c>
      <c r="G41" s="1126">
        <f ca="1"/>
        <v>3341.835</v>
      </c>
      <c r="H41" s="1126">
        <f ca="1"/>
        <v>3156.1774999999998</v>
      </c>
      <c r="I41" s="1126">
        <f ca="1"/>
        <v>2970.52</v>
      </c>
      <c r="J41" s="1126">
        <f ca="1"/>
        <v>2227.89</v>
      </c>
      <c r="K41" s="1126">
        <f ca="1"/>
        <v>2970.52</v>
      </c>
      <c r="L41" s="1126">
        <f ca="1"/>
        <v>3527.4925000000003</v>
      </c>
      <c r="M41" s="1126">
        <f ca="1"/>
        <v>3713.1500000000005</v>
      </c>
      <c r="N41" s="1127">
        <f ca="1"/>
        <v>4455.78</v>
      </c>
      <c r="O41" s="1144">
        <f t="shared" ca="1" si="2"/>
        <v>41030.307500000003</v>
      </c>
    </row>
    <row r="42" spans="1:15" ht="18" customHeight="1" thickBot="1">
      <c r="A42" s="1148" t="str">
        <v>Coeficiente para la prorrata</v>
      </c>
      <c r="B42" s="208"/>
      <c r="C42" s="3246">
        <f ca="1">+'IVA 2'!O42</f>
        <v>1</v>
      </c>
      <c r="D42" s="3246">
        <f>IF(IVAmensual=1,    IF(OR(IVAcc,D41&lt;0.1),1,D39/D41), 0)*0</f>
        <v>0</v>
      </c>
      <c r="E42" s="3246">
        <f ca="1">IF(IVAmensual=1, IF(OR(IVAcc,C41&lt;0.1),1,C39/C41),    IF(OR(IVAcc,SUM(C41:E41)&lt;0.4),1,SUM(C39:E39)/SUM(C41:E41)))*0</f>
        <v>0</v>
      </c>
      <c r="F42" s="3246">
        <f>IF(IVAmensual=1,    IF(OR(IVAcc,F41&lt;0.1),1,F39/F41), 0)*0</f>
        <v>0</v>
      </c>
      <c r="G42" s="3246">
        <f>IF(IVAmensual=1,    IF(OR(IVAcc,G41&lt;0.1),1,G39/G41), 0)*0</f>
        <v>0</v>
      </c>
      <c r="H42" s="3246">
        <f ca="1">IF(IVAmensual=1, IF(OR(IVAcc,F41&lt;0.1),1,F39/F41),    IF(OR(IVAcc,SUM(F41:H41)&lt;0.4),1,SUM(F39:H39)/SUM(F41:H41)))*0</f>
        <v>0</v>
      </c>
      <c r="I42" s="3246">
        <f>IF(IVAmensual=1,    IF(OR(IVAcc,I41&lt;0.1),1,I39/I41), 0)*0</f>
        <v>0</v>
      </c>
      <c r="J42" s="3246">
        <f>IF(IVAmensual=1,    IF(OR(IVAcc,J41&lt;0.1),1,J39/J41), 0)*0</f>
        <v>0</v>
      </c>
      <c r="K42" s="3246">
        <f ca="1">IF(IVAmensual=1, IF(OR(IVAcc,I41&lt;0.1),1,I39/I41),    IF(OR(IVAcc,SUM(I41:K41)&lt;0.4),1,SUM(I39:K39)/SUM(I41:K41)))*0</f>
        <v>0</v>
      </c>
      <c r="L42" s="3246">
        <f>IF(IVAmensual=1,    IF(OR(IVAcc,L41&lt;0.1),1,L39/L41), 0)*0</f>
        <v>0</v>
      </c>
      <c r="M42" s="3246">
        <f>IF(IVAmensual=1,    IF(OR(IVAcc,M41&lt;0.1),1,M39/M41), 0)*0</f>
        <v>0</v>
      </c>
      <c r="N42" s="3246">
        <f ca="1">IF(IVAmensual=1, IF(OR(IVAcc,L41&lt;0.1),1,L39/L41),    IF(OR(IVAcc,SUM(L41:N41)&lt;0.4),1,SUM(L39:N39)/SUM(L41:N41)))*0</f>
        <v>0</v>
      </c>
      <c r="O42" s="3247">
        <f ca="1" xml:space="preserve"> IF(OR(IVAcc, O41&lt;0.4), 1, O39/O41   )</f>
        <v>1</v>
      </c>
    </row>
  </sheetData>
  <sheetProtection sheet="1" objects="1" scenarios="1"/>
  <phoneticPr fontId="6" type="noConversion"/>
  <conditionalFormatting sqref="C31:N38">
    <cfRule type="expression" dxfId="9" priority="1" stopIfTrue="1">
      <formula>C31=""</formula>
    </cfRule>
  </conditionalFormatting>
  <printOptions horizontalCentered="1"/>
  <pageMargins left="0.57999999999999996" right="0.75" top="0.46" bottom="0.89" header="0" footer="0"/>
  <pageSetup paperSize="9" scale="68" orientation="landscape" horizontalDpi="300" r:id="rId1"/>
  <headerFooter alignWithMargins="0"/>
  <legacyDrawing r:id="rId2"/>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48">
    <tabColor indexed="61"/>
    <pageSetUpPr fitToPage="1"/>
  </sheetPr>
  <dimension ref="A1:P42"/>
  <sheetViews>
    <sheetView workbookViewId="0"/>
  </sheetViews>
  <sheetFormatPr baseColWidth="10" defaultColWidth="11" defaultRowHeight="15"/>
  <cols>
    <col min="1" max="1" width="18.625" style="35" customWidth="1"/>
    <col min="2" max="2" width="11" style="35"/>
    <col min="3" max="3" width="13.5" style="35" customWidth="1"/>
    <col min="4" max="5" width="11" style="35"/>
    <col min="6" max="6" width="12.625" style="35" customWidth="1"/>
    <col min="7" max="8" width="11" style="35"/>
    <col min="9" max="9" width="12" style="35" customWidth="1"/>
    <col min="10" max="11" width="11" style="35"/>
    <col min="12" max="12" width="11.375" style="35" customWidth="1"/>
    <col min="13" max="13" width="11" style="35"/>
    <col min="14" max="14" width="14.5" style="35" bestFit="1" customWidth="1"/>
    <col min="15" max="15" width="11.75" style="35" bestFit="1" customWidth="1"/>
    <col min="16" max="17" width="8.625" style="35" customWidth="1"/>
    <col min="18" max="18" width="9.875" style="35" customWidth="1"/>
    <col min="19" max="20" width="8.625" style="35" customWidth="1"/>
    <col min="21" max="16384" width="11" style="35"/>
  </cols>
  <sheetData>
    <row r="1" spans="1:16" s="67" customFormat="1" ht="22.5">
      <c r="A1" s="67" t="str">
        <f>'IVA 0'!A1</f>
        <v>Previsiones de liquidaciones de IVA</v>
      </c>
      <c r="B1" s="253"/>
      <c r="F1" s="521" t="str">
        <f>Parametros!F$77</f>
        <v>Año 4:  2030</v>
      </c>
      <c r="G1" s="234"/>
    </row>
    <row r="2" spans="1:16" s="67" customFormat="1" ht="22.5">
      <c r="A2" s="67" t="str">
        <f>'Prev.Ventas 0'!A2</f>
        <v>nombre empresa</v>
      </c>
      <c r="B2" s="253"/>
    </row>
    <row r="3" spans="1:16" ht="15.75" thickBot="1">
      <c r="A3" s="1103"/>
      <c r="B3" s="60"/>
      <c r="C3" s="60"/>
      <c r="D3" s="232"/>
      <c r="E3" s="232"/>
      <c r="F3" s="232"/>
      <c r="G3" s="232"/>
      <c r="H3" s="232"/>
      <c r="I3" s="232"/>
      <c r="J3" s="232"/>
      <c r="K3" s="232"/>
      <c r="L3" s="232"/>
      <c r="M3" s="232"/>
      <c r="N3" s="232"/>
      <c r="O3" s="232"/>
      <c r="P3" s="232"/>
    </row>
    <row r="4" spans="1:16" ht="15.75" thickBot="1">
      <c r="A4" s="1136" t="str">
        <f t="array" ref="A4:A8">'IVA 0'!A4:A8</f>
        <v>IVA Soportado</v>
      </c>
      <c r="B4" s="427"/>
      <c r="C4" s="158" t="str">
        <f t="array" ref="C4:N4">meses</f>
        <v>enero</v>
      </c>
      <c r="D4" s="158" t="str">
        <v>febrero</v>
      </c>
      <c r="E4" s="158" t="str">
        <v>marzo</v>
      </c>
      <c r="F4" s="158" t="str">
        <v>abril</v>
      </c>
      <c r="G4" s="158" t="str">
        <v>mayo</v>
      </c>
      <c r="H4" s="158" t="str">
        <v>junio</v>
      </c>
      <c r="I4" s="158" t="str">
        <v>julio</v>
      </c>
      <c r="J4" s="158" t="str">
        <v>agosto</v>
      </c>
      <c r="K4" s="158" t="str">
        <v>septiembre</v>
      </c>
      <c r="L4" s="158" t="str">
        <v>octubre</v>
      </c>
      <c r="M4" s="158" t="str">
        <v>noviembre</v>
      </c>
      <c r="N4" s="158" t="str">
        <v>diciembre</v>
      </c>
      <c r="O4" s="159" t="str">
        <f>'IVA 0'!$O$4</f>
        <v>Totales</v>
      </c>
    </row>
    <row r="5" spans="1:16">
      <c r="A5" s="2462" t="str">
        <v>IVA sop. de Compras y C.V.</v>
      </c>
      <c r="B5" s="2463"/>
      <c r="C5" s="1104">
        <f t="array" aca="1" ref="C5:N5" ca="1">'Distr CV 4'!B67:M67</f>
        <v>64.252347600000007</v>
      </c>
      <c r="D5" s="1105">
        <f ca="1"/>
        <v>80.315434500000009</v>
      </c>
      <c r="E5" s="1105">
        <f ca="1"/>
        <v>88.34697795000001</v>
      </c>
      <c r="F5" s="1105">
        <f ca="1"/>
        <v>84.331206224999988</v>
      </c>
      <c r="G5" s="1105">
        <f ca="1"/>
        <v>72.283891050000008</v>
      </c>
      <c r="H5" s="1105">
        <f ca="1"/>
        <v>68.268119325000001</v>
      </c>
      <c r="I5" s="1105">
        <f ca="1"/>
        <v>64.252347600000007</v>
      </c>
      <c r="J5" s="1105">
        <f ca="1"/>
        <v>48.189260700000005</v>
      </c>
      <c r="K5" s="1105">
        <f ca="1"/>
        <v>64.252347600000007</v>
      </c>
      <c r="L5" s="1105">
        <f ca="1"/>
        <v>76.299662775000016</v>
      </c>
      <c r="M5" s="1105">
        <f ca="1"/>
        <v>80.315434500000009</v>
      </c>
      <c r="N5" s="1106">
        <f ca="1"/>
        <v>96.378521400000011</v>
      </c>
      <c r="O5" s="1137">
        <f ca="1">SUM(C5:N5)</f>
        <v>887.48555122500011</v>
      </c>
    </row>
    <row r="6" spans="1:16">
      <c r="A6" s="1140" t="str">
        <v>IVA sop. de Gastos fijos</v>
      </c>
      <c r="B6" s="1107"/>
      <c r="C6" s="1105">
        <f t="array" aca="1" ref="C6:N6" ca="1">'G.F. 4'!B60:M60</f>
        <v>31.833433581536369</v>
      </c>
      <c r="D6" s="1105">
        <f ca="1"/>
        <v>31.833433581536369</v>
      </c>
      <c r="E6" s="1105">
        <f ca="1"/>
        <v>31.833433581536369</v>
      </c>
      <c r="F6" s="1105">
        <f ca="1"/>
        <v>31.833433581536369</v>
      </c>
      <c r="G6" s="1105">
        <f ca="1"/>
        <v>31.833433581536369</v>
      </c>
      <c r="H6" s="1105">
        <f ca="1"/>
        <v>31.833433581536369</v>
      </c>
      <c r="I6" s="1105">
        <f ca="1"/>
        <v>31.833433581536369</v>
      </c>
      <c r="J6" s="1105">
        <f ca="1"/>
        <v>31.833433581536369</v>
      </c>
      <c r="K6" s="1105">
        <f ca="1"/>
        <v>31.833433581536369</v>
      </c>
      <c r="L6" s="1105">
        <f ca="1"/>
        <v>31.833433581536369</v>
      </c>
      <c r="M6" s="1105">
        <f ca="1"/>
        <v>31.833433581536369</v>
      </c>
      <c r="N6" s="1106">
        <f ca="1"/>
        <v>31.833433581536369</v>
      </c>
      <c r="O6" s="1137">
        <f ca="1">SUM(C6:N6)</f>
        <v>382.00120297843654</v>
      </c>
    </row>
    <row r="7" spans="1:16">
      <c r="A7" s="1140" t="str">
        <v>IVA sop. de inversiones</v>
      </c>
      <c r="B7" s="1108"/>
      <c r="C7" s="1105">
        <f t="array" ref="C7:N7">'Inversiones AC'!$F$44/12+'Inversiones AC'!$F$43/12</f>
        <v>0</v>
      </c>
      <c r="D7" s="1105">
        <v>0</v>
      </c>
      <c r="E7" s="1105">
        <v>0</v>
      </c>
      <c r="F7" s="1105">
        <v>0</v>
      </c>
      <c r="G7" s="1105">
        <v>0</v>
      </c>
      <c r="H7" s="1105">
        <v>0</v>
      </c>
      <c r="I7" s="1105">
        <v>0</v>
      </c>
      <c r="J7" s="1105">
        <v>0</v>
      </c>
      <c r="K7" s="1105">
        <v>0</v>
      </c>
      <c r="L7" s="1105">
        <v>0</v>
      </c>
      <c r="M7" s="1105">
        <v>0</v>
      </c>
      <c r="N7" s="1106">
        <v>0</v>
      </c>
      <c r="O7" s="1137">
        <f>SUM(C7:N7)</f>
        <v>0</v>
      </c>
    </row>
    <row r="8" spans="1:16" ht="15.75" thickBot="1">
      <c r="A8" s="1141" t="str">
        <v>IVA cuotas Leasing/Renting</v>
      </c>
      <c r="B8" s="1109"/>
      <c r="C8" s="1110">
        <f t="array" ref="C8:N8">Leasing!B56:M56+Renting!B52:M52</f>
        <v>0</v>
      </c>
      <c r="D8" s="1111">
        <v>0</v>
      </c>
      <c r="E8" s="1111">
        <v>0</v>
      </c>
      <c r="F8" s="1111">
        <v>0</v>
      </c>
      <c r="G8" s="1111">
        <v>0</v>
      </c>
      <c r="H8" s="1111">
        <v>0</v>
      </c>
      <c r="I8" s="1111">
        <v>0</v>
      </c>
      <c r="J8" s="1111">
        <v>0</v>
      </c>
      <c r="K8" s="1111">
        <v>0</v>
      </c>
      <c r="L8" s="1111">
        <v>0</v>
      </c>
      <c r="M8" s="1111">
        <v>0</v>
      </c>
      <c r="N8" s="1112">
        <v>0</v>
      </c>
      <c r="O8" s="1138">
        <f>SUM(C8:N8)</f>
        <v>0</v>
      </c>
    </row>
    <row r="9" spans="1:16" ht="15.75" thickBot="1">
      <c r="A9" s="2464"/>
      <c r="B9" s="2465" t="str">
        <f>'IVA 0'!B9</f>
        <v>Total IVA Soportado</v>
      </c>
      <c r="C9" s="1156">
        <f t="shared" ref="C9:O9" ca="1" si="0">SUM(C5:C8)</f>
        <v>96.085781181536376</v>
      </c>
      <c r="D9" s="1157">
        <f t="shared" ca="1" si="0"/>
        <v>112.14886808153638</v>
      </c>
      <c r="E9" s="1157">
        <f t="shared" ca="1" si="0"/>
        <v>120.18041153153638</v>
      </c>
      <c r="F9" s="1157">
        <f t="shared" ca="1" si="0"/>
        <v>116.16463980653636</v>
      </c>
      <c r="G9" s="1157">
        <f t="shared" ca="1" si="0"/>
        <v>104.11732463153638</v>
      </c>
      <c r="H9" s="1157">
        <f t="shared" ca="1" si="0"/>
        <v>100.10155290653637</v>
      </c>
      <c r="I9" s="1157">
        <f t="shared" ca="1" si="0"/>
        <v>96.085781181536376</v>
      </c>
      <c r="J9" s="1157">
        <f t="shared" ca="1" si="0"/>
        <v>80.022694281536374</v>
      </c>
      <c r="K9" s="1157">
        <f t="shared" ca="1" si="0"/>
        <v>96.085781181536376</v>
      </c>
      <c r="L9" s="1157">
        <f t="shared" ca="1" si="0"/>
        <v>108.13309635653638</v>
      </c>
      <c r="M9" s="1157">
        <f t="shared" ca="1" si="0"/>
        <v>112.14886808153638</v>
      </c>
      <c r="N9" s="1158">
        <f t="shared" ca="1" si="0"/>
        <v>128.21195498153639</v>
      </c>
      <c r="O9" s="1159">
        <f t="shared" ca="1" si="0"/>
        <v>1269.4867542034367</v>
      </c>
    </row>
    <row r="10" spans="1:16" ht="15.75" thickBot="1">
      <c r="A10" s="1113"/>
      <c r="C10" s="1114"/>
      <c r="D10" s="1114"/>
      <c r="E10" s="1114"/>
      <c r="F10" s="1114"/>
      <c r="G10" s="1114"/>
      <c r="H10" s="1114"/>
      <c r="I10" s="1114"/>
      <c r="J10" s="1114"/>
      <c r="K10" s="1114"/>
      <c r="L10" s="1114"/>
      <c r="M10" s="1114"/>
      <c r="N10" s="1114"/>
      <c r="O10" s="1114"/>
    </row>
    <row r="11" spans="1:16" ht="15.75" thickBot="1">
      <c r="A11" s="3253" t="str">
        <f t="array" ref="A11:A13">'IVA 0'!A11:A13</f>
        <v>Coeficientes de prorrata Trimestrales</v>
      </c>
      <c r="B11" s="3254"/>
      <c r="C11" s="3255">
        <f t="array" ref="C11:O11" ca="1">C42:O42</f>
        <v>1</v>
      </c>
      <c r="D11" s="3255">
        <v>0</v>
      </c>
      <c r="E11" s="3256">
        <f ca="1"/>
        <v>0</v>
      </c>
      <c r="F11" s="3255">
        <v>0</v>
      </c>
      <c r="G11" s="3255">
        <v>0</v>
      </c>
      <c r="H11" s="3256">
        <f ca="1"/>
        <v>0</v>
      </c>
      <c r="I11" s="3255">
        <v>0</v>
      </c>
      <c r="J11" s="3255">
        <v>0</v>
      </c>
      <c r="K11" s="3256">
        <f ca="1"/>
        <v>0</v>
      </c>
      <c r="L11" s="3255">
        <v>0</v>
      </c>
      <c r="M11" s="3255">
        <v>0</v>
      </c>
      <c r="N11" s="3256">
        <f ca="1"/>
        <v>0</v>
      </c>
      <c r="O11" s="3252">
        <f ca="1"/>
        <v>1</v>
      </c>
    </row>
    <row r="12" spans="1:16">
      <c r="A12" s="3257" t="str">
        <v>Total IVA soportado deducible</v>
      </c>
      <c r="B12" s="3258"/>
      <c r="C12" s="3259">
        <f t="array" aca="1" ref="C12:N12" ca="1">$C$11*C9:N9</f>
        <v>96.085781181536376</v>
      </c>
      <c r="D12" s="3259">
        <f ca="1"/>
        <v>112.14886808153638</v>
      </c>
      <c r="E12" s="3259">
        <f ca="1"/>
        <v>120.18041153153638</v>
      </c>
      <c r="F12" s="3259">
        <f ca="1"/>
        <v>116.16463980653636</v>
      </c>
      <c r="G12" s="3259">
        <f ca="1"/>
        <v>104.11732463153638</v>
      </c>
      <c r="H12" s="3259">
        <f ca="1"/>
        <v>100.10155290653637</v>
      </c>
      <c r="I12" s="3259">
        <f ca="1"/>
        <v>96.085781181536376</v>
      </c>
      <c r="J12" s="3259">
        <f ca="1"/>
        <v>80.022694281536374</v>
      </c>
      <c r="K12" s="3259">
        <f ca="1"/>
        <v>96.085781181536376</v>
      </c>
      <c r="L12" s="3259">
        <f ca="1"/>
        <v>108.13309635653638</v>
      </c>
      <c r="M12" s="3259">
        <f ca="1"/>
        <v>112.14886808153638</v>
      </c>
      <c r="N12" s="3259">
        <f ca="1"/>
        <v>128.21195498153639</v>
      </c>
      <c r="O12" s="1153">
        <f ca="1">SUM(C12:N12)</f>
        <v>1269.4867542034365</v>
      </c>
    </row>
    <row r="13" spans="1:16" ht="16.5" customHeight="1" thickBot="1">
      <c r="A13" s="225" t="str">
        <v>Total IVA soportado a gasto</v>
      </c>
      <c r="B13" s="2461"/>
      <c r="C13" s="1154">
        <f t="array" aca="1" ref="C13:N13" ca="1">C9:N9-C12:N12</f>
        <v>0</v>
      </c>
      <c r="D13" s="1154">
        <f ca="1"/>
        <v>0</v>
      </c>
      <c r="E13" s="1154">
        <f ca="1"/>
        <v>0</v>
      </c>
      <c r="F13" s="1154">
        <f ca="1"/>
        <v>0</v>
      </c>
      <c r="G13" s="1154">
        <f ca="1"/>
        <v>0</v>
      </c>
      <c r="H13" s="1154">
        <f ca="1"/>
        <v>0</v>
      </c>
      <c r="I13" s="1154">
        <f ca="1"/>
        <v>0</v>
      </c>
      <c r="J13" s="1154">
        <f ca="1"/>
        <v>0</v>
      </c>
      <c r="K13" s="1154">
        <f ca="1"/>
        <v>0</v>
      </c>
      <c r="L13" s="1154">
        <f ca="1"/>
        <v>0</v>
      </c>
      <c r="M13" s="1154">
        <f ca="1"/>
        <v>0</v>
      </c>
      <c r="N13" s="1154">
        <f ca="1"/>
        <v>0</v>
      </c>
      <c r="O13" s="1155">
        <f ca="1">SUM(C13:N13)</f>
        <v>0</v>
      </c>
    </row>
    <row r="14" spans="1:16" ht="15.75" thickBot="1"/>
    <row r="15" spans="1:16" ht="15.75" thickBot="1">
      <c r="A15" s="64"/>
      <c r="B15" s="387" t="str">
        <f>'IVA 0'!B15</f>
        <v>Cuenta Corriente IVA</v>
      </c>
      <c r="C15" s="1149" t="str">
        <f>'Datos Básicos'!$B$32</f>
        <v>No</v>
      </c>
      <c r="D15" s="2432">
        <f>IVAcc</f>
        <v>0</v>
      </c>
      <c r="F15" s="1151"/>
      <c r="G15" s="683"/>
      <c r="L15" s="64"/>
      <c r="M15" s="367"/>
      <c r="N15" s="3249" t="s">
        <v>1250</v>
      </c>
      <c r="O15" s="3250">
        <f ca="1">-O9*($O$11-$C$11)</f>
        <v>0</v>
      </c>
    </row>
    <row r="17" spans="1:15" s="98" customFormat="1" ht="23.25" thickBot="1">
      <c r="A17" s="67" t="str">
        <f>'IVA 0'!A17</f>
        <v xml:space="preserve">Liquidaciones Trimestrales de IVA de la empresa </v>
      </c>
      <c r="B17" s="253"/>
      <c r="C17" s="67"/>
      <c r="D17" s="67"/>
      <c r="F17" s="253"/>
    </row>
    <row r="18" spans="1:15" ht="15.75" thickBot="1">
      <c r="A18" s="2453"/>
      <c r="B18" s="2454"/>
      <c r="C18" s="1130" t="str">
        <f t="array" ref="C18:N18">meses</f>
        <v>enero</v>
      </c>
      <c r="D18" s="1130" t="str">
        <v>febrero</v>
      </c>
      <c r="E18" s="1130" t="str">
        <v>marzo</v>
      </c>
      <c r="F18" s="1130" t="str">
        <v>abril</v>
      </c>
      <c r="G18" s="1130" t="str">
        <v>mayo</v>
      </c>
      <c r="H18" s="1130" t="str">
        <v>junio</v>
      </c>
      <c r="I18" s="1130" t="str">
        <v>julio</v>
      </c>
      <c r="J18" s="1130" t="str">
        <v>agosto</v>
      </c>
      <c r="K18" s="1130" t="str">
        <v>septiembre</v>
      </c>
      <c r="L18" s="1130" t="str">
        <v>octubre</v>
      </c>
      <c r="M18" s="1130" t="str">
        <v>noviembre</v>
      </c>
      <c r="N18" s="1130" t="str">
        <v>diciembre</v>
      </c>
      <c r="O18" s="1131" t="str">
        <f>'IVA 0'!$O$4</f>
        <v>Totales</v>
      </c>
    </row>
    <row r="19" spans="1:15">
      <c r="A19" s="2455" t="str">
        <f t="array" ref="A19:A22">'IVA 0'!A19:A22</f>
        <v>Total IVA Repercutido</v>
      </c>
      <c r="B19" s="2456"/>
      <c r="C19" s="1104">
        <f t="array" aca="1" ref="C19" ca="1">SUM(Parametros!$E$24:$E$31*C31:C38)</f>
        <v>642.52347599999996</v>
      </c>
      <c r="D19" s="1104">
        <f t="array" aca="1" ref="D19" ca="1">SUM(Parametros!$E$24:$E$31*D31:D38)</f>
        <v>803.15434500000003</v>
      </c>
      <c r="E19" s="1104">
        <f t="array" aca="1" ref="E19" ca="1">SUM(Parametros!$E$24:$E$31*E31:E38)</f>
        <v>883.46977949999996</v>
      </c>
      <c r="F19" s="1104">
        <f t="array" aca="1" ref="F19" ca="1">SUM(Parametros!$E$24:$E$31*F31:F38)</f>
        <v>843.31206224999994</v>
      </c>
      <c r="G19" s="1104">
        <f t="array" aca="1" ref="G19" ca="1">SUM(Parametros!$E$24:$E$31*G31:G38)</f>
        <v>722.8389105</v>
      </c>
      <c r="H19" s="1104">
        <f t="array" aca="1" ref="H19" ca="1">SUM(Parametros!$E$24:$E$31*H31:H38)</f>
        <v>682.68119324999998</v>
      </c>
      <c r="I19" s="1104">
        <f t="array" aca="1" ref="I19" ca="1">SUM(Parametros!$E$24:$E$31*I31:I38)</f>
        <v>642.52347599999996</v>
      </c>
      <c r="J19" s="1104">
        <f t="array" aca="1" ref="J19" ca="1">SUM(Parametros!$E$24:$E$31*J31:J38)</f>
        <v>481.892607</v>
      </c>
      <c r="K19" s="1104">
        <f t="array" aca="1" ref="K19" ca="1">SUM(Parametros!$E$24:$E$31*K31:K38)</f>
        <v>642.52347599999996</v>
      </c>
      <c r="L19" s="1104">
        <f t="array" aca="1" ref="L19" ca="1">SUM(Parametros!$E$24:$E$31*L31:L38)</f>
        <v>762.99662775000002</v>
      </c>
      <c r="M19" s="1104">
        <f t="array" aca="1" ref="M19" ca="1">SUM(Parametros!$E$24:$E$31*M31:M38)</f>
        <v>803.15434500000003</v>
      </c>
      <c r="N19" s="1104">
        <f t="array" aca="1" ref="N19" ca="1">SUM(Parametros!$E$24:$E$31*N31:N38)</f>
        <v>963.785214</v>
      </c>
      <c r="O19" s="1133">
        <f ca="1">SUM(C19:N19)</f>
        <v>8874.8555122500002</v>
      </c>
    </row>
    <row r="20" spans="1:15">
      <c r="A20" s="2457" t="str">
        <v>Total IVA soportado deducible</v>
      </c>
      <c r="B20" s="2458"/>
      <c r="C20" s="1105">
        <f t="array" aca="1" ref="C20:N20" ca="1">C12:N12</f>
        <v>96.085781181536376</v>
      </c>
      <c r="D20" s="1105">
        <f ca="1"/>
        <v>112.14886808153638</v>
      </c>
      <c r="E20" s="1105">
        <f ca="1"/>
        <v>120.18041153153638</v>
      </c>
      <c r="F20" s="1105">
        <f ca="1"/>
        <v>116.16463980653636</v>
      </c>
      <c r="G20" s="1105">
        <f ca="1"/>
        <v>104.11732463153638</v>
      </c>
      <c r="H20" s="1105">
        <f ca="1"/>
        <v>100.10155290653637</v>
      </c>
      <c r="I20" s="1105">
        <f ca="1"/>
        <v>96.085781181536376</v>
      </c>
      <c r="J20" s="1105">
        <f ca="1"/>
        <v>80.022694281536374</v>
      </c>
      <c r="K20" s="1105">
        <f ca="1"/>
        <v>96.085781181536376</v>
      </c>
      <c r="L20" s="1105">
        <f ca="1"/>
        <v>108.13309635653638</v>
      </c>
      <c r="M20" s="1105">
        <f ca="1"/>
        <v>112.14886808153638</v>
      </c>
      <c r="N20" s="1105">
        <f ca="1"/>
        <v>128.21195498153639</v>
      </c>
      <c r="O20" s="1128">
        <f ca="1">SUM(C20:N20)</f>
        <v>1269.4867542034365</v>
      </c>
    </row>
    <row r="21" spans="1:15" ht="15.75" thickBot="1">
      <c r="A21" s="2459" t="str">
        <v>Diferencias IVA</v>
      </c>
      <c r="B21" s="2460"/>
      <c r="C21" s="1152">
        <f t="array" aca="1" ref="C21:N21" ca="1">C19:N19-C20:N20</f>
        <v>546.43769481846357</v>
      </c>
      <c r="D21" s="1152">
        <f ca="1"/>
        <v>691.00547691846361</v>
      </c>
      <c r="E21" s="1152">
        <f ca="1"/>
        <v>763.28936796846358</v>
      </c>
      <c r="F21" s="1152">
        <f ca="1"/>
        <v>727.1474224434636</v>
      </c>
      <c r="G21" s="1152">
        <f ca="1"/>
        <v>618.72158586846365</v>
      </c>
      <c r="H21" s="1152">
        <f ca="1"/>
        <v>582.57964034346355</v>
      </c>
      <c r="I21" s="1152">
        <f ca="1"/>
        <v>546.43769481846357</v>
      </c>
      <c r="J21" s="1152">
        <f ca="1"/>
        <v>401.86991271846364</v>
      </c>
      <c r="K21" s="1152">
        <f ca="1"/>
        <v>546.43769481846357</v>
      </c>
      <c r="L21" s="1152">
        <f ca="1"/>
        <v>654.86353139346363</v>
      </c>
      <c r="M21" s="1152">
        <f ca="1"/>
        <v>691.00547691846361</v>
      </c>
      <c r="N21" s="1152">
        <f ca="1"/>
        <v>835.57325901846366</v>
      </c>
      <c r="O21" s="1129">
        <f ca="1">SUM(C21:N21)</f>
        <v>7605.368758046563</v>
      </c>
    </row>
    <row r="22" spans="1:15" s="48" customFormat="1" ht="19.5" customHeight="1">
      <c r="A22" s="2530" t="str">
        <v>Cuotas de IVA</v>
      </c>
      <c r="B22" s="2531"/>
      <c r="C22" s="2532">
        <f ca="1">'IVA 3'!O22</f>
        <v>2117.9681436518181</v>
      </c>
      <c r="D22" s="2536">
        <f>+IF(IVAmensual=1,  IF(AND(IVAdev=1,C22&lt;0),0,MIN(C22,0))  +C21,0)</f>
        <v>0</v>
      </c>
      <c r="E22" s="2519">
        <f>+IF(IVAmensual=1,    MIN(D22,0)+D21,0)</f>
        <v>0</v>
      </c>
      <c r="F22" s="2536">
        <f ca="1">IF(IVAmensual=0,    IF(AND(IVAdev=1,C22&lt;0),0,MIN(C22,0))+SUM(C21:E21),0)
+IF(IVAmensual=1,    MIN(E22,0)+E21,0)</f>
        <v>2000.7325397053905</v>
      </c>
      <c r="G22" s="2519">
        <f>+IF(IVAmensual=1,    MIN(F22,0)+F21,0)</f>
        <v>0</v>
      </c>
      <c r="H22" s="2519">
        <f>+IF(IVAmensual=1,    MIN(G22,0)+G21,0)</f>
        <v>0</v>
      </c>
      <c r="I22" s="2519">
        <f ca="1">IF(IVAmensual=0,   MIN(F22,0)+SUM(F21:H21),0)
+IF(IVAmensual=1,    MIN(H22,0)+H21,0)</f>
        <v>1928.4486486553908</v>
      </c>
      <c r="J22" s="2519">
        <f>+IF(IVAmensual=1,    MIN(I22,0)+I21,0)</f>
        <v>0</v>
      </c>
      <c r="K22" s="2519">
        <f>+IF(IVAmensual=1,    MIN(J22,0)+J21,0)</f>
        <v>0</v>
      </c>
      <c r="L22" s="2519">
        <f ca="1">IF(IVAmensual=0,   MIN(I22,0)+SUM(I21:K21),0)
+IF(IVAmensual=1,    MIN(K22,0)+K21,0)</f>
        <v>1494.7453023553908</v>
      </c>
      <c r="M22" s="2519">
        <f>+IF(IVAmensual=1,    MIN(L22,0)+L21,0)</f>
        <v>0</v>
      </c>
      <c r="N22" s="2519">
        <f>+IF(IVAmensual=1,    MIN(M22,0)+M21,0)</f>
        <v>0</v>
      </c>
      <c r="O22" s="3248">
        <f ca="1">IF(IVAmensual=0,   MIN(L22,0)+SUM(L21:N21)+O15,0)
+IF(IVAmensual=1,    MIN(N22,0)+N21+O15,0)</f>
        <v>2181.4422673303907</v>
      </c>
    </row>
    <row r="23" spans="1:15" ht="10.5" customHeight="1">
      <c r="A23" s="380"/>
      <c r="B23" s="2458"/>
      <c r="C23" s="902"/>
      <c r="D23" s="902"/>
      <c r="E23" s="902"/>
      <c r="F23" s="902"/>
      <c r="G23" s="902"/>
      <c r="H23" s="902"/>
      <c r="I23" s="902"/>
      <c r="J23" s="902"/>
      <c r="K23" s="902"/>
      <c r="L23" s="902"/>
      <c r="M23" s="902"/>
      <c r="N23" s="902"/>
      <c r="O23" s="1134"/>
    </row>
    <row r="24" spans="1:15" s="48" customFormat="1" ht="19.5" customHeight="1" thickBot="1">
      <c r="A24" s="2520" t="str">
        <f>'IVA 0'!A24</f>
        <v>Liquidaciones de IVA</v>
      </c>
      <c r="B24" s="2521"/>
      <c r="C24" s="2522">
        <f t="shared" ref="C24:O24" ca="1" si="1">IF(AND(IVAcc=0,C22&gt;0),C22,0)</f>
        <v>2117.9681436518181</v>
      </c>
      <c r="D24" s="2523">
        <f t="shared" si="1"/>
        <v>0</v>
      </c>
      <c r="E24" s="2523">
        <f t="shared" si="1"/>
        <v>0</v>
      </c>
      <c r="F24" s="2523">
        <f t="shared" ca="1" si="1"/>
        <v>2000.7325397053905</v>
      </c>
      <c r="G24" s="2523">
        <f t="shared" si="1"/>
        <v>0</v>
      </c>
      <c r="H24" s="2523">
        <f t="shared" si="1"/>
        <v>0</v>
      </c>
      <c r="I24" s="2523">
        <f t="shared" ca="1" si="1"/>
        <v>1928.4486486553908</v>
      </c>
      <c r="J24" s="2523">
        <f t="shared" si="1"/>
        <v>0</v>
      </c>
      <c r="K24" s="2523">
        <f t="shared" si="1"/>
        <v>0</v>
      </c>
      <c r="L24" s="2523">
        <f t="shared" ca="1" si="1"/>
        <v>1494.7453023553908</v>
      </c>
      <c r="M24" s="2523">
        <f t="shared" si="1"/>
        <v>0</v>
      </c>
      <c r="N24" s="2523">
        <f t="shared" si="1"/>
        <v>0</v>
      </c>
      <c r="O24" s="2524">
        <f t="shared" ca="1" si="1"/>
        <v>2181.4422673303907</v>
      </c>
    </row>
    <row r="25" spans="1:15" ht="9" customHeight="1" thickBot="1">
      <c r="C25" s="896"/>
      <c r="D25" s="896"/>
      <c r="E25" s="896"/>
      <c r="F25" s="896"/>
      <c r="G25" s="896"/>
      <c r="H25" s="896"/>
      <c r="I25" s="896"/>
      <c r="J25" s="896"/>
      <c r="K25" s="896"/>
      <c r="L25" s="896"/>
      <c r="M25" s="896"/>
      <c r="N25" s="896"/>
      <c r="O25" s="896"/>
    </row>
    <row r="26" spans="1:15" s="48" customFormat="1" ht="18.75" customHeight="1" thickBot="1">
      <c r="A26" s="2525" t="str">
        <f>'IVA 0'!A26</f>
        <v>Devoluciones IVA</v>
      </c>
      <c r="B26" s="2526"/>
      <c r="C26" s="2527">
        <f>'IVA 3'!O26</f>
        <v>0</v>
      </c>
      <c r="D26" s="2528">
        <f>-IF(AND(IVAcc,IVAmensual=1),C21,0)</f>
        <v>0</v>
      </c>
      <c r="E26" s="2528">
        <f>-IF(AND(IVAcc,IVAmensual=1),D21,0)</f>
        <v>0</v>
      </c>
      <c r="F26" s="2528">
        <f>-IF(AND(IVAcc,IVAmensual=0),SUM(C21:E21),0)
-IF(AND(IVAcc,IVAmensual=1),E21,0)</f>
        <v>0</v>
      </c>
      <c r="G26" s="2528">
        <f>-IF(AND(IVAcc,IVAmensual=1),F21,0)</f>
        <v>0</v>
      </c>
      <c r="H26" s="2535">
        <f ca="1">-IF(AND(IVAcc,IVAmensual=1),G21,0)-IF(AND(IVAcc=0,IVAdev=1,C22&lt;0),C22,0)</f>
        <v>0</v>
      </c>
      <c r="I26" s="2528">
        <f>-IF(AND(IVAcc,IVAmensual=0),SUM(F21:H21),0)
-IF(AND(IVAcc,IVAmensual=1),H21,0)</f>
        <v>0</v>
      </c>
      <c r="J26" s="2528">
        <f>-IF(AND(IVAcc,IVAmensual=1),I21,0)</f>
        <v>0</v>
      </c>
      <c r="K26" s="2528">
        <f>-IF(AND(IVAcc,IVAmensual=1),J21,0)</f>
        <v>0</v>
      </c>
      <c r="L26" s="2528">
        <f>-IF(AND(IVAcc,IVAmensual=0),SUM(I21:K21),0)
-IF(AND(IVAcc,IVAmensual=1),K21,0)</f>
        <v>0</v>
      </c>
      <c r="M26" s="2528">
        <f>-IF(AND(IVAcc,IVAmensual=1),L21,0)</f>
        <v>0</v>
      </c>
      <c r="N26" s="2528">
        <f>-IF(AND(IVAcc,IVAmensual=1),M21,0)</f>
        <v>0</v>
      </c>
      <c r="O26" s="2533">
        <f>-IF(AND(IVAcc,IVAmensual=0),SUM(L21:N21),0)
-IF(AND(IVAcc,IVAmensual=1),N21,0)</f>
        <v>0</v>
      </c>
    </row>
    <row r="29" spans="1:15" s="98" customFormat="1" ht="23.25" thickBot="1">
      <c r="A29" s="67" t="str">
        <f>'IVA 0'!A29</f>
        <v>Regla de prorrata</v>
      </c>
      <c r="D29" s="253"/>
      <c r="E29" s="253"/>
    </row>
    <row r="30" spans="1:15" ht="15.75" thickBot="1">
      <c r="A30" s="1142" t="str">
        <f>'IVA 0'!A30</f>
        <v>IVA repercutido</v>
      </c>
      <c r="B30" s="103" t="str">
        <f>'IVA 0'!B30</f>
        <v>tipo IVA</v>
      </c>
      <c r="C30" s="427" t="str">
        <f t="array" ref="C30:N30">meses</f>
        <v>enero</v>
      </c>
      <c r="D30" s="158" t="str">
        <v>febrero</v>
      </c>
      <c r="E30" s="158" t="str">
        <v>marzo</v>
      </c>
      <c r="F30" s="158" t="str">
        <v>abril</v>
      </c>
      <c r="G30" s="158" t="str">
        <v>mayo</v>
      </c>
      <c r="H30" s="158" t="str">
        <v>junio</v>
      </c>
      <c r="I30" s="158" t="str">
        <v>julio</v>
      </c>
      <c r="J30" s="158" t="str">
        <v>agosto</v>
      </c>
      <c r="K30" s="158" t="str">
        <v>septiembre</v>
      </c>
      <c r="L30" s="158" t="str">
        <v>octubre</v>
      </c>
      <c r="M30" s="158" t="str">
        <v>noviembre</v>
      </c>
      <c r="N30" s="158" t="str">
        <v>diciembre</v>
      </c>
      <c r="O30" s="159" t="str">
        <f>'IVA 0'!$O$4</f>
        <v>Totales</v>
      </c>
    </row>
    <row r="31" spans="1:15">
      <c r="A31" s="1749" t="str">
        <f t="array" ref="A31:A38">productos</f>
        <v>producto o servicio</v>
      </c>
      <c r="B31" s="1115">
        <f t="array" ref="B31:B38">Parametros!E24:E31</f>
        <v>0.21</v>
      </c>
      <c r="C31" s="1116">
        <f t="array" aca="1" ref="C31:N38" ca="1">'Prev.Ventas 4'!B17:M24</f>
        <v>3059.6356000000001</v>
      </c>
      <c r="D31" s="1116">
        <f ca="1"/>
        <v>3824.5445000000004</v>
      </c>
      <c r="E31" s="1116">
        <f ca="1"/>
        <v>4206.9989500000001</v>
      </c>
      <c r="F31" s="1116">
        <f ca="1"/>
        <v>4015.7717249999996</v>
      </c>
      <c r="G31" s="1116">
        <f ca="1"/>
        <v>3442.0900500000002</v>
      </c>
      <c r="H31" s="1116">
        <f ca="1"/>
        <v>3250.8628250000002</v>
      </c>
      <c r="I31" s="1116">
        <f ca="1"/>
        <v>3059.6356000000001</v>
      </c>
      <c r="J31" s="1116">
        <f ca="1"/>
        <v>2294.7267000000002</v>
      </c>
      <c r="K31" s="1116">
        <f ca="1"/>
        <v>3059.6356000000001</v>
      </c>
      <c r="L31" s="1116">
        <f ca="1"/>
        <v>3633.3172750000003</v>
      </c>
      <c r="M31" s="1116">
        <f ca="1"/>
        <v>3824.5445000000004</v>
      </c>
      <c r="N31" s="1116">
        <f ca="1"/>
        <v>4589.4534000000003</v>
      </c>
      <c r="O31" s="1143">
        <f t="shared" ref="O31:O41" ca="1" si="2">SUM(C31:N31)</f>
        <v>42261.216725000006</v>
      </c>
    </row>
    <row r="32" spans="1:15">
      <c r="A32" s="1532" t="str">
        <v/>
      </c>
      <c r="B32" s="1117">
        <v>0.21</v>
      </c>
      <c r="C32" s="1118">
        <f ca="1"/>
        <v>0</v>
      </c>
      <c r="D32" s="1118">
        <f ca="1"/>
        <v>0</v>
      </c>
      <c r="E32" s="1118">
        <f ca="1"/>
        <v>0</v>
      </c>
      <c r="F32" s="1118">
        <f ca="1"/>
        <v>0</v>
      </c>
      <c r="G32" s="1118">
        <f ca="1"/>
        <v>0</v>
      </c>
      <c r="H32" s="1118">
        <f ca="1"/>
        <v>0</v>
      </c>
      <c r="I32" s="1118">
        <f ca="1"/>
        <v>0</v>
      </c>
      <c r="J32" s="1118">
        <f ca="1"/>
        <v>0</v>
      </c>
      <c r="K32" s="1118">
        <f ca="1"/>
        <v>0</v>
      </c>
      <c r="L32" s="1118">
        <f ca="1"/>
        <v>0</v>
      </c>
      <c r="M32" s="1118">
        <f ca="1"/>
        <v>0</v>
      </c>
      <c r="N32" s="1118">
        <f ca="1"/>
        <v>0</v>
      </c>
      <c r="O32" s="1144">
        <f t="shared" ca="1" si="2"/>
        <v>0</v>
      </c>
    </row>
    <row r="33" spans="1:15">
      <c r="A33" s="1532" t="str">
        <v/>
      </c>
      <c r="B33" s="1117">
        <v>0.21</v>
      </c>
      <c r="C33" s="1118">
        <f ca="1"/>
        <v>0</v>
      </c>
      <c r="D33" s="1118">
        <f ca="1"/>
        <v>0</v>
      </c>
      <c r="E33" s="1118">
        <f ca="1"/>
        <v>0</v>
      </c>
      <c r="F33" s="1118">
        <f ca="1"/>
        <v>0</v>
      </c>
      <c r="G33" s="1118">
        <f ca="1"/>
        <v>0</v>
      </c>
      <c r="H33" s="1118">
        <f ca="1"/>
        <v>0</v>
      </c>
      <c r="I33" s="1118">
        <f ca="1"/>
        <v>0</v>
      </c>
      <c r="J33" s="1118">
        <f ca="1"/>
        <v>0</v>
      </c>
      <c r="K33" s="1118">
        <f ca="1"/>
        <v>0</v>
      </c>
      <c r="L33" s="1118">
        <f ca="1"/>
        <v>0</v>
      </c>
      <c r="M33" s="1118">
        <f ca="1"/>
        <v>0</v>
      </c>
      <c r="N33" s="1118">
        <f ca="1"/>
        <v>0</v>
      </c>
      <c r="O33" s="1144">
        <f t="shared" ca="1" si="2"/>
        <v>0</v>
      </c>
    </row>
    <row r="34" spans="1:15">
      <c r="A34" s="1532" t="str">
        <v/>
      </c>
      <c r="B34" s="1117">
        <v>0.21</v>
      </c>
      <c r="C34" s="1118">
        <f ca="1"/>
        <v>0</v>
      </c>
      <c r="D34" s="1118">
        <f ca="1"/>
        <v>0</v>
      </c>
      <c r="E34" s="1118">
        <f ca="1"/>
        <v>0</v>
      </c>
      <c r="F34" s="1118">
        <f ca="1"/>
        <v>0</v>
      </c>
      <c r="G34" s="1118">
        <f ca="1"/>
        <v>0</v>
      </c>
      <c r="H34" s="1118">
        <f ca="1"/>
        <v>0</v>
      </c>
      <c r="I34" s="1118">
        <f ca="1"/>
        <v>0</v>
      </c>
      <c r="J34" s="1118">
        <f ca="1"/>
        <v>0</v>
      </c>
      <c r="K34" s="1118">
        <f ca="1"/>
        <v>0</v>
      </c>
      <c r="L34" s="1118">
        <f ca="1"/>
        <v>0</v>
      </c>
      <c r="M34" s="1118">
        <f ca="1"/>
        <v>0</v>
      </c>
      <c r="N34" s="1118">
        <f ca="1"/>
        <v>0</v>
      </c>
      <c r="O34" s="1144">
        <f t="shared" ca="1" si="2"/>
        <v>0</v>
      </c>
    </row>
    <row r="35" spans="1:15">
      <c r="A35" s="1532" t="str">
        <v/>
      </c>
      <c r="B35" s="1117">
        <v>0.21</v>
      </c>
      <c r="C35" s="1118">
        <f ca="1"/>
        <v>0</v>
      </c>
      <c r="D35" s="1118">
        <f ca="1"/>
        <v>0</v>
      </c>
      <c r="E35" s="1118">
        <f ca="1"/>
        <v>0</v>
      </c>
      <c r="F35" s="1118">
        <f ca="1"/>
        <v>0</v>
      </c>
      <c r="G35" s="1118">
        <f ca="1"/>
        <v>0</v>
      </c>
      <c r="H35" s="1118">
        <f ca="1"/>
        <v>0</v>
      </c>
      <c r="I35" s="1118">
        <f ca="1"/>
        <v>0</v>
      </c>
      <c r="J35" s="1118">
        <f ca="1"/>
        <v>0</v>
      </c>
      <c r="K35" s="1118">
        <f ca="1"/>
        <v>0</v>
      </c>
      <c r="L35" s="1118">
        <f ca="1"/>
        <v>0</v>
      </c>
      <c r="M35" s="1118">
        <f ca="1"/>
        <v>0</v>
      </c>
      <c r="N35" s="1118">
        <f ca="1"/>
        <v>0</v>
      </c>
      <c r="O35" s="1144">
        <f t="shared" ca="1" si="2"/>
        <v>0</v>
      </c>
    </row>
    <row r="36" spans="1:15">
      <c r="A36" s="1532" t="str">
        <v/>
      </c>
      <c r="B36" s="1117">
        <v>0.21</v>
      </c>
      <c r="C36" s="1118">
        <f ca="1"/>
        <v>0</v>
      </c>
      <c r="D36" s="1118">
        <f ca="1"/>
        <v>0</v>
      </c>
      <c r="E36" s="1118">
        <f ca="1"/>
        <v>0</v>
      </c>
      <c r="F36" s="1118">
        <f ca="1"/>
        <v>0</v>
      </c>
      <c r="G36" s="1118">
        <f ca="1"/>
        <v>0</v>
      </c>
      <c r="H36" s="1118">
        <f ca="1"/>
        <v>0</v>
      </c>
      <c r="I36" s="1118">
        <f ca="1"/>
        <v>0</v>
      </c>
      <c r="J36" s="1118">
        <f ca="1"/>
        <v>0</v>
      </c>
      <c r="K36" s="1118">
        <f ca="1"/>
        <v>0</v>
      </c>
      <c r="L36" s="1118">
        <f ca="1"/>
        <v>0</v>
      </c>
      <c r="M36" s="1118">
        <f ca="1"/>
        <v>0</v>
      </c>
      <c r="N36" s="1118">
        <f ca="1"/>
        <v>0</v>
      </c>
      <c r="O36" s="1144">
        <f t="shared" ca="1" si="2"/>
        <v>0</v>
      </c>
    </row>
    <row r="37" spans="1:15">
      <c r="A37" s="1532" t="str">
        <v/>
      </c>
      <c r="B37" s="1117">
        <v>0.21</v>
      </c>
      <c r="C37" s="1118">
        <f ca="1"/>
        <v>0</v>
      </c>
      <c r="D37" s="1118">
        <f ca="1"/>
        <v>0</v>
      </c>
      <c r="E37" s="1118">
        <f ca="1"/>
        <v>0</v>
      </c>
      <c r="F37" s="1118">
        <f ca="1"/>
        <v>0</v>
      </c>
      <c r="G37" s="1118">
        <f ca="1"/>
        <v>0</v>
      </c>
      <c r="H37" s="1118">
        <f ca="1"/>
        <v>0</v>
      </c>
      <c r="I37" s="1118">
        <f ca="1"/>
        <v>0</v>
      </c>
      <c r="J37" s="1118">
        <f ca="1"/>
        <v>0</v>
      </c>
      <c r="K37" s="1118">
        <f ca="1"/>
        <v>0</v>
      </c>
      <c r="L37" s="1118">
        <f ca="1"/>
        <v>0</v>
      </c>
      <c r="M37" s="1118">
        <f ca="1"/>
        <v>0</v>
      </c>
      <c r="N37" s="1118">
        <f ca="1"/>
        <v>0</v>
      </c>
      <c r="O37" s="1144">
        <f t="shared" ca="1" si="2"/>
        <v>0</v>
      </c>
    </row>
    <row r="38" spans="1:15" ht="15.75" thickBot="1">
      <c r="A38" s="1750" t="str">
        <v/>
      </c>
      <c r="B38" s="1119">
        <v>0.21</v>
      </c>
      <c r="C38" s="1120">
        <f ca="1"/>
        <v>0</v>
      </c>
      <c r="D38" s="1120">
        <f ca="1"/>
        <v>0</v>
      </c>
      <c r="E38" s="1120">
        <f ca="1"/>
        <v>0</v>
      </c>
      <c r="F38" s="1120">
        <f ca="1"/>
        <v>0</v>
      </c>
      <c r="G38" s="1120">
        <f ca="1"/>
        <v>0</v>
      </c>
      <c r="H38" s="1120">
        <f ca="1"/>
        <v>0</v>
      </c>
      <c r="I38" s="1120">
        <f ca="1"/>
        <v>0</v>
      </c>
      <c r="J38" s="1120">
        <f ca="1"/>
        <v>0</v>
      </c>
      <c r="K38" s="1120">
        <f ca="1"/>
        <v>0</v>
      </c>
      <c r="L38" s="1120">
        <f ca="1"/>
        <v>0</v>
      </c>
      <c r="M38" s="1120">
        <f ca="1"/>
        <v>0</v>
      </c>
      <c r="N38" s="1120">
        <f ca="1"/>
        <v>0</v>
      </c>
      <c r="O38" s="1145">
        <f t="shared" ca="1" si="2"/>
        <v>0</v>
      </c>
    </row>
    <row r="39" spans="1:15" ht="18" customHeight="1">
      <c r="A39" s="1146" t="str">
        <f t="array" ref="A39:A42">'IVA 0'!A39:A42</f>
        <v>Ventas sujetas a IVA</v>
      </c>
      <c r="B39" s="202"/>
      <c r="C39" s="1122">
        <f t="shared" ref="C39:N39" ca="1" si="3">SUMIF($B$31:$B$38,"&lt;&gt;0",C31:C38)</f>
        <v>3059.6356000000001</v>
      </c>
      <c r="D39" s="1123">
        <f t="shared" ca="1" si="3"/>
        <v>3824.5445000000004</v>
      </c>
      <c r="E39" s="1123">
        <f t="shared" ca="1" si="3"/>
        <v>4206.9989500000001</v>
      </c>
      <c r="F39" s="1123">
        <f t="shared" ca="1" si="3"/>
        <v>4015.7717249999996</v>
      </c>
      <c r="G39" s="1123">
        <f t="shared" ca="1" si="3"/>
        <v>3442.0900500000002</v>
      </c>
      <c r="H39" s="1123">
        <f t="shared" ca="1" si="3"/>
        <v>3250.8628250000002</v>
      </c>
      <c r="I39" s="1123">
        <f t="shared" ca="1" si="3"/>
        <v>3059.6356000000001</v>
      </c>
      <c r="J39" s="1123">
        <f t="shared" ca="1" si="3"/>
        <v>2294.7267000000002</v>
      </c>
      <c r="K39" s="1123">
        <f t="shared" ca="1" si="3"/>
        <v>3059.6356000000001</v>
      </c>
      <c r="L39" s="1123">
        <f t="shared" ca="1" si="3"/>
        <v>3633.3172750000003</v>
      </c>
      <c r="M39" s="1123">
        <f t="shared" ca="1" si="3"/>
        <v>3824.5445000000004</v>
      </c>
      <c r="N39" s="1124">
        <f t="shared" ca="1" si="3"/>
        <v>4589.4534000000003</v>
      </c>
      <c r="O39" s="1143">
        <f t="shared" ca="1" si="2"/>
        <v>42261.216725000006</v>
      </c>
    </row>
    <row r="40" spans="1:15" ht="18" customHeight="1">
      <c r="A40" s="1147" t="str">
        <v>Ventas exentas de IVA</v>
      </c>
      <c r="B40" s="207"/>
      <c r="C40" s="1125">
        <f t="shared" ref="C40:N40" si="4">SUMIF($B$31:$B$38,"=0",C31:C38)</f>
        <v>0</v>
      </c>
      <c r="D40" s="1126">
        <f t="shared" si="4"/>
        <v>0</v>
      </c>
      <c r="E40" s="1126">
        <f t="shared" si="4"/>
        <v>0</v>
      </c>
      <c r="F40" s="1126">
        <f t="shared" si="4"/>
        <v>0</v>
      </c>
      <c r="G40" s="1126">
        <f t="shared" si="4"/>
        <v>0</v>
      </c>
      <c r="H40" s="1126">
        <f t="shared" si="4"/>
        <v>0</v>
      </c>
      <c r="I40" s="1126">
        <f t="shared" si="4"/>
        <v>0</v>
      </c>
      <c r="J40" s="1126">
        <f t="shared" si="4"/>
        <v>0</v>
      </c>
      <c r="K40" s="1126">
        <f t="shared" si="4"/>
        <v>0</v>
      </c>
      <c r="L40" s="1126">
        <f t="shared" si="4"/>
        <v>0</v>
      </c>
      <c r="M40" s="1126">
        <f t="shared" si="4"/>
        <v>0</v>
      </c>
      <c r="N40" s="1127">
        <f t="shared" si="4"/>
        <v>0</v>
      </c>
      <c r="O40" s="1144">
        <f t="shared" si="2"/>
        <v>0</v>
      </c>
    </row>
    <row r="41" spans="1:15" ht="18" customHeight="1">
      <c r="A41" s="1147" t="str">
        <v>Total Facturación</v>
      </c>
      <c r="B41" s="207"/>
      <c r="C41" s="1125">
        <f t="array" aca="1" ref="C41:N41" ca="1">C40:N40+C39:N39</f>
        <v>3059.6356000000001</v>
      </c>
      <c r="D41" s="1126">
        <f ca="1"/>
        <v>3824.5445000000004</v>
      </c>
      <c r="E41" s="1126">
        <f ca="1"/>
        <v>4206.9989500000001</v>
      </c>
      <c r="F41" s="1126">
        <f ca="1"/>
        <v>4015.7717249999996</v>
      </c>
      <c r="G41" s="1126">
        <f ca="1"/>
        <v>3442.0900500000002</v>
      </c>
      <c r="H41" s="1126">
        <f ca="1"/>
        <v>3250.8628250000002</v>
      </c>
      <c r="I41" s="1126">
        <f ca="1"/>
        <v>3059.6356000000001</v>
      </c>
      <c r="J41" s="1126">
        <f ca="1"/>
        <v>2294.7267000000002</v>
      </c>
      <c r="K41" s="1126">
        <f ca="1"/>
        <v>3059.6356000000001</v>
      </c>
      <c r="L41" s="1126">
        <f ca="1"/>
        <v>3633.3172750000003</v>
      </c>
      <c r="M41" s="1126">
        <f ca="1"/>
        <v>3824.5445000000004</v>
      </c>
      <c r="N41" s="1127">
        <f ca="1"/>
        <v>4589.4534000000003</v>
      </c>
      <c r="O41" s="1144">
        <f t="shared" ca="1" si="2"/>
        <v>42261.216725000006</v>
      </c>
    </row>
    <row r="42" spans="1:15" ht="18" customHeight="1" thickBot="1">
      <c r="A42" s="1148" t="str">
        <v>Coeficiente para la prorrata</v>
      </c>
      <c r="B42" s="208"/>
      <c r="C42" s="3246">
        <f ca="1">+'IVA 3'!O42</f>
        <v>1</v>
      </c>
      <c r="D42" s="3246">
        <f>IF(IVAmensual=1,    IF(OR(IVAcc,D41&lt;0.1),1,D39/D41), 0)*0</f>
        <v>0</v>
      </c>
      <c r="E42" s="3246">
        <f ca="1">IF(IVAmensual=1, IF(OR(IVAcc,C41&lt;0.1),1,C39/C41),    IF(OR(IVAcc,SUM(C41:E41)&lt;0.4),1,SUM(C39:E39)/SUM(C41:E41)))*0</f>
        <v>0</v>
      </c>
      <c r="F42" s="3246">
        <f>IF(IVAmensual=1,    IF(OR(IVAcc,F41&lt;0.1),1,F39/F41), 0)*0</f>
        <v>0</v>
      </c>
      <c r="G42" s="3246">
        <f>IF(IVAmensual=1,    IF(OR(IVAcc,G41&lt;0.1),1,G39/G41), 0)*0</f>
        <v>0</v>
      </c>
      <c r="H42" s="3246">
        <f ca="1">IF(IVAmensual=1, IF(OR(IVAcc,F41&lt;0.1),1,F39/F41),    IF(OR(IVAcc,SUM(F41:H41)&lt;0.4),1,SUM(F39:H39)/SUM(F41:H41)))*0</f>
        <v>0</v>
      </c>
      <c r="I42" s="3246">
        <f>IF(IVAmensual=1,    IF(OR(IVAcc,I41&lt;0.1),1,I39/I41), 0)*0</f>
        <v>0</v>
      </c>
      <c r="J42" s="3246">
        <f>IF(IVAmensual=1,    IF(OR(IVAcc,J41&lt;0.1),1,J39/J41), 0)*0</f>
        <v>0</v>
      </c>
      <c r="K42" s="3246">
        <f ca="1">IF(IVAmensual=1, IF(OR(IVAcc,I41&lt;0.1),1,I39/I41),    IF(OR(IVAcc,SUM(I41:K41)&lt;0.4),1,SUM(I39:K39)/SUM(I41:K41)))*0</f>
        <v>0</v>
      </c>
      <c r="L42" s="3246">
        <f>IF(IVAmensual=1,    IF(OR(IVAcc,L41&lt;0.1),1,L39/L41), 0)*0</f>
        <v>0</v>
      </c>
      <c r="M42" s="3246">
        <f>IF(IVAmensual=1,    IF(OR(IVAcc,M41&lt;0.1),1,M39/M41), 0)*0</f>
        <v>0</v>
      </c>
      <c r="N42" s="3246">
        <f ca="1">IF(IVAmensual=1, IF(OR(IVAcc,L41&lt;0.1),1,L39/L41),    IF(OR(IVAcc,SUM(L41:N41)&lt;0.4),1,SUM(L39:N39)/SUM(L41:N41)))*0</f>
        <v>0</v>
      </c>
      <c r="O42" s="3247">
        <f ca="1" xml:space="preserve"> IF(OR(IVAcc, O41&lt;0.4), 1, O39/O41   )</f>
        <v>1</v>
      </c>
    </row>
  </sheetData>
  <sheetProtection sheet="1" objects="1" scenarios="1"/>
  <phoneticPr fontId="6" type="noConversion"/>
  <conditionalFormatting sqref="C31:N38">
    <cfRule type="expression" dxfId="8" priority="1" stopIfTrue="1">
      <formula>C31=""</formula>
    </cfRule>
  </conditionalFormatting>
  <printOptions horizontalCentered="1"/>
  <pageMargins left="0.57999999999999996" right="0.75" top="0.46" bottom="0.89" header="0" footer="0"/>
  <pageSetup paperSize="9" scale="68" orientation="landscape" horizontalDpi="300" r:id="rId1"/>
  <headerFooter alignWithMargins="0"/>
  <legacy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53">
    <pageSetUpPr fitToPage="1"/>
  </sheetPr>
  <dimension ref="A1:F54"/>
  <sheetViews>
    <sheetView workbookViewId="0"/>
  </sheetViews>
  <sheetFormatPr baseColWidth="10" defaultColWidth="11" defaultRowHeight="15"/>
  <cols>
    <col min="1" max="1" width="30.875" style="35" customWidth="1"/>
    <col min="2" max="2" width="10.75" style="35" customWidth="1"/>
    <col min="3" max="6" width="11.125" style="35" customWidth="1"/>
    <col min="7" max="16384" width="11" style="35"/>
  </cols>
  <sheetData>
    <row r="1" spans="1:6" s="98" customFormat="1" ht="22.5">
      <c r="A1" s="67" t="s">
        <v>320</v>
      </c>
      <c r="B1" s="253"/>
      <c r="C1" s="67"/>
      <c r="D1" s="67"/>
      <c r="E1" s="67"/>
    </row>
    <row r="2" spans="1:6" s="98" customFormat="1" ht="22.5">
      <c r="A2" s="67" t="str">
        <f>'Datos Básicos'!B9</f>
        <v>nombre empresa</v>
      </c>
      <c r="B2" s="253"/>
      <c r="C2" s="67"/>
      <c r="D2" s="67"/>
      <c r="E2" s="67"/>
      <c r="F2" s="67"/>
    </row>
    <row r="3" spans="1:6" ht="15.75" thickBot="1"/>
    <row r="4" spans="1:6" ht="29.25" thickBot="1">
      <c r="A4" s="16" t="s">
        <v>933</v>
      </c>
      <c r="B4" s="2155" t="str">
        <f t="array" ref="B4:F4">anni</f>
        <v>Año 0:  2026</v>
      </c>
      <c r="C4" s="2156" t="str">
        <v>Año 1:  2027</v>
      </c>
      <c r="D4" s="2155" t="str">
        <v>Año 2:  2028</v>
      </c>
      <c r="E4" s="2156" t="str">
        <v>Año 3:  2029</v>
      </c>
      <c r="F4" s="2155" t="str">
        <v>Año 4:  2030</v>
      </c>
    </row>
    <row r="5" spans="1:6">
      <c r="A5" s="244" t="str">
        <f t="array" ref="A5:A12">catlaborales</f>
        <v>Socios/as gestores/as</v>
      </c>
      <c r="B5" s="2661">
        <f t="array" ref="B5:B12">'G.F. 0'!N7:N14</f>
        <v>18000</v>
      </c>
      <c r="C5" s="2662">
        <f t="array" ref="C5:C12">'G.F. 1'!N7:N14</f>
        <v>18720</v>
      </c>
      <c r="D5" s="2661">
        <f t="array" ref="D5:D12">'G.F. 2'!N7:N14</f>
        <v>19468.8</v>
      </c>
      <c r="E5" s="2662">
        <f t="array" ref="E5:E12">'G.F. 3'!N7:N14</f>
        <v>20247.551999999996</v>
      </c>
      <c r="F5" s="2661">
        <f t="array" ref="F5:F12">'G.F. 4'!N7:N14</f>
        <v>21057.454080000007</v>
      </c>
    </row>
    <row r="6" spans="1:6">
      <c r="A6" s="244" t="str">
        <v>Otros personas en RETA</v>
      </c>
      <c r="B6" s="2661">
        <v>0</v>
      </c>
      <c r="C6" s="2662">
        <v>0</v>
      </c>
      <c r="D6" s="2661">
        <v>0</v>
      </c>
      <c r="E6" s="2662">
        <v>0</v>
      </c>
      <c r="F6" s="2661">
        <v>0</v>
      </c>
    </row>
    <row r="7" spans="1:6">
      <c r="A7" s="244" t="str">
        <v>empleado</v>
      </c>
      <c r="B7" s="2661">
        <v>0</v>
      </c>
      <c r="C7" s="2662">
        <v>0</v>
      </c>
      <c r="D7" s="2661">
        <v>0</v>
      </c>
      <c r="E7" s="2662">
        <v>0</v>
      </c>
      <c r="F7" s="2661">
        <v>0</v>
      </c>
    </row>
    <row r="8" spans="1:6">
      <c r="A8" s="244" t="str">
        <v>encargado</v>
      </c>
      <c r="B8" s="2661">
        <v>0</v>
      </c>
      <c r="C8" s="2662">
        <v>0</v>
      </c>
      <c r="D8" s="2661">
        <v>0</v>
      </c>
      <c r="E8" s="2662">
        <v>0</v>
      </c>
      <c r="F8" s="2661">
        <v>0</v>
      </c>
    </row>
    <row r="9" spans="1:6">
      <c r="A9" s="245" t="str">
        <v/>
      </c>
      <c r="B9" s="2661">
        <v>0</v>
      </c>
      <c r="C9" s="2662">
        <v>0</v>
      </c>
      <c r="D9" s="2661">
        <v>0</v>
      </c>
      <c r="E9" s="2662">
        <v>0</v>
      </c>
      <c r="F9" s="2661">
        <v>0</v>
      </c>
    </row>
    <row r="10" spans="1:6">
      <c r="A10" s="244" t="str">
        <v/>
      </c>
      <c r="B10" s="2661">
        <v>0</v>
      </c>
      <c r="C10" s="2662">
        <v>0</v>
      </c>
      <c r="D10" s="2661">
        <v>0</v>
      </c>
      <c r="E10" s="2662">
        <v>0</v>
      </c>
      <c r="F10" s="2661">
        <v>0</v>
      </c>
    </row>
    <row r="11" spans="1:6">
      <c r="A11" s="244" t="str">
        <v/>
      </c>
      <c r="B11" s="2661">
        <v>0</v>
      </c>
      <c r="C11" s="2662">
        <v>0</v>
      </c>
      <c r="D11" s="2661">
        <v>0</v>
      </c>
      <c r="E11" s="2662">
        <v>0</v>
      </c>
      <c r="F11" s="2661">
        <v>0</v>
      </c>
    </row>
    <row r="12" spans="1:6" ht="15.75" thickBot="1">
      <c r="A12" s="244" t="str">
        <v/>
      </c>
      <c r="B12" s="2661">
        <v>0</v>
      </c>
      <c r="C12" s="2662">
        <v>0</v>
      </c>
      <c r="D12" s="2661">
        <v>0</v>
      </c>
      <c r="E12" s="2662">
        <v>0</v>
      </c>
      <c r="F12" s="2661">
        <v>0</v>
      </c>
    </row>
    <row r="13" spans="1:6" ht="15.75" thickBot="1">
      <c r="A13" s="252" t="str">
        <f>'G.F. 0'!A15</f>
        <v>Total Sueldos y salarios</v>
      </c>
      <c r="B13" s="426">
        <f>SUM(B5:B12)</f>
        <v>18000</v>
      </c>
      <c r="C13" s="1796">
        <f>SUM(C5:C12)</f>
        <v>18720</v>
      </c>
      <c r="D13" s="426">
        <f>SUM(D5:D12)</f>
        <v>19468.8</v>
      </c>
      <c r="E13" s="1796">
        <f>SUM(E5:E12)</f>
        <v>20247.551999999996</v>
      </c>
      <c r="F13" s="426">
        <f>SUM(F5:F12)</f>
        <v>21057.454080000007</v>
      </c>
    </row>
    <row r="14" spans="1:6" ht="9.75" customHeight="1" thickBot="1">
      <c r="A14" s="249"/>
      <c r="B14" s="255"/>
      <c r="C14" s="255"/>
      <c r="D14" s="255"/>
      <c r="E14" s="255"/>
      <c r="F14" s="1797"/>
    </row>
    <row r="15" spans="1:6" ht="29.25" thickBot="1">
      <c r="A15" s="16" t="str">
        <f t="array" ref="A15:A18">'G.F. 0'!A17:A20</f>
        <v>Seguros Sociales</v>
      </c>
      <c r="B15" s="2155" t="str">
        <f t="array" ref="B15:F15">anni</f>
        <v>Año 0:  2026</v>
      </c>
      <c r="C15" s="2156" t="str">
        <v>Año 1:  2027</v>
      </c>
      <c r="D15" s="2155" t="str">
        <v>Año 2:  2028</v>
      </c>
      <c r="E15" s="2156" t="str">
        <v>Año 3:  2029</v>
      </c>
      <c r="F15" s="2155" t="str">
        <v>Año 4:  2030</v>
      </c>
    </row>
    <row r="16" spans="1:6">
      <c r="A16" s="244" t="str">
        <v>Seg. Social Socios (R.E.T.A.)</v>
      </c>
      <c r="B16" s="1794">
        <f t="array" ref="B16:B17">'G.F. 0'!N18:N19</f>
        <v>1032</v>
      </c>
      <c r="C16" s="1795">
        <f t="array" ref="C16:C17">'G.F. 1'!N18:N19</f>
        <v>1032</v>
      </c>
      <c r="D16" s="1794">
        <f t="array" ref="D16:D17" ca="1">'G.F. 2'!N18:N19</f>
        <v>4680</v>
      </c>
      <c r="E16" s="1795">
        <f t="array" ref="E16:E17" ca="1">'G.F. 3'!N18:N19</f>
        <v>4680</v>
      </c>
      <c r="F16" s="1794">
        <f t="array" ref="F16:F17" ca="1">'G.F. 4'!N18:N19</f>
        <v>4680</v>
      </c>
    </row>
    <row r="17" spans="1:6" ht="15.75" thickBot="1">
      <c r="A17" s="247" t="str">
        <v>Seg. Social Empleados</v>
      </c>
      <c r="B17" s="1798">
        <v>0</v>
      </c>
      <c r="C17" s="1799">
        <v>0</v>
      </c>
      <c r="D17" s="1798">
        <v>0</v>
      </c>
      <c r="E17" s="1799">
        <v>0</v>
      </c>
      <c r="F17" s="1798">
        <v>0</v>
      </c>
    </row>
    <row r="18" spans="1:6" ht="15.75" thickBot="1">
      <c r="A18" s="252" t="str">
        <v>Total Seguros Sociales</v>
      </c>
      <c r="B18" s="426">
        <f>SUM(B16:B17)</f>
        <v>1032</v>
      </c>
      <c r="C18" s="1796">
        <f>SUM(C16:C17)</f>
        <v>1032</v>
      </c>
      <c r="D18" s="426">
        <f ca="1">SUM(D16:D17)</f>
        <v>4680</v>
      </c>
      <c r="E18" s="1796">
        <f ca="1">SUM(E16:E17)</f>
        <v>4680</v>
      </c>
      <c r="F18" s="426">
        <f ca="1">SUM(F16:F17)</f>
        <v>4680</v>
      </c>
    </row>
    <row r="19" spans="1:6" ht="9.75" customHeight="1" thickBot="1">
      <c r="A19" s="249"/>
      <c r="B19" s="255"/>
      <c r="C19" s="255"/>
      <c r="D19" s="255"/>
      <c r="E19" s="255"/>
      <c r="F19" s="1797"/>
    </row>
    <row r="20" spans="1:6" ht="29.25" thickBot="1">
      <c r="A20" s="16" t="str">
        <f t="array" ref="A20:A23">'G.F. 0'!A22:A25</f>
        <v>Altas y bajas de personal</v>
      </c>
      <c r="B20" s="2155" t="str">
        <f t="array" ref="B20:F20">anni</f>
        <v>Año 0:  2026</v>
      </c>
      <c r="C20" s="2156" t="str">
        <v>Año 1:  2027</v>
      </c>
      <c r="D20" s="2155" t="str">
        <v>Año 2:  2028</v>
      </c>
      <c r="E20" s="2156" t="str">
        <v>Año 3:  2029</v>
      </c>
      <c r="F20" s="2155" t="str">
        <v>Año 4:  2030</v>
      </c>
    </row>
    <row r="21" spans="1:6">
      <c r="A21" s="244" t="str">
        <v>Altas y bajas de socios</v>
      </c>
      <c r="B21" s="2661">
        <f t="array" ref="B21:B22">'G.F. 0'!N23:N24</f>
        <v>0</v>
      </c>
      <c r="C21" s="2662">
        <f t="array" ref="C21:C22">'G.F. 1'!N23:N24</f>
        <v>0</v>
      </c>
      <c r="D21" s="2661">
        <f t="array" ref="D21:D22">'G.F. 2'!N23:N24</f>
        <v>0</v>
      </c>
      <c r="E21" s="2662">
        <f t="array" ref="E21:E22">'G.F. 3'!N23:N24</f>
        <v>0</v>
      </c>
      <c r="F21" s="2661">
        <f t="array" ref="F21:F22">'G.F. 4'!N23:N24</f>
        <v>0</v>
      </c>
    </row>
    <row r="22" spans="1:6" ht="15.75" thickBot="1">
      <c r="A22" s="244" t="str">
        <v>Altas de empleados</v>
      </c>
      <c r="B22" s="2661">
        <v>0</v>
      </c>
      <c r="C22" s="2662">
        <v>0</v>
      </c>
      <c r="D22" s="2661">
        <v>0</v>
      </c>
      <c r="E22" s="2662">
        <v>0</v>
      </c>
      <c r="F22" s="2661">
        <v>0</v>
      </c>
    </row>
    <row r="23" spans="1:6" ht="15.75" thickBot="1">
      <c r="A23" s="252" t="str">
        <v>Total Altas y bajas de personal</v>
      </c>
      <c r="B23" s="426">
        <f>SUM(B21:B22)</f>
        <v>0</v>
      </c>
      <c r="C23" s="1796">
        <f>SUM(C21:C22)</f>
        <v>0</v>
      </c>
      <c r="D23" s="426">
        <f>SUM(D21:D22)</f>
        <v>0</v>
      </c>
      <c r="E23" s="1796">
        <f>SUM(E21:E22)</f>
        <v>0</v>
      </c>
      <c r="F23" s="426">
        <f>SUM(F21:F22)</f>
        <v>0</v>
      </c>
    </row>
    <row r="24" spans="1:6" ht="9" customHeight="1" thickBot="1">
      <c r="A24" s="246"/>
      <c r="B24" s="1800"/>
      <c r="C24" s="1800"/>
      <c r="D24" s="1800"/>
      <c r="E24" s="1800"/>
      <c r="F24" s="1800"/>
    </row>
    <row r="25" spans="1:6" ht="15.75" thickBot="1">
      <c r="A25" s="143" t="str">
        <f>'G.F. 0'!A27</f>
        <v>Total Gastos de personal</v>
      </c>
      <c r="B25" s="426">
        <f t="array" ref="B25:F25">B13:F13+B18:F18+B23:F23</f>
        <v>19032</v>
      </c>
      <c r="C25" s="426">
        <v>19752</v>
      </c>
      <c r="D25" s="426">
        <f ca="1"/>
        <v>24148.799999999999</v>
      </c>
      <c r="E25" s="426">
        <f ca="1"/>
        <v>24927.551999999996</v>
      </c>
      <c r="F25" s="426">
        <f ca="1"/>
        <v>25737.454080000007</v>
      </c>
    </row>
    <row r="26" spans="1:6">
      <c r="A26" s="87"/>
      <c r="B26" s="2023" t="str">
        <f>'Datos Evaluación'!B53</f>
        <v/>
      </c>
      <c r="C26" s="85"/>
      <c r="D26" s="85"/>
      <c r="E26" s="85"/>
      <c r="F26" s="85"/>
    </row>
    <row r="27" spans="1:6" ht="15.75" thickBot="1">
      <c r="A27" s="87"/>
      <c r="B27" s="1801"/>
      <c r="C27" s="85"/>
      <c r="D27" s="85"/>
      <c r="E27" s="85"/>
      <c r="F27" s="85"/>
    </row>
    <row r="28" spans="1:6" ht="29.25" thickBot="1">
      <c r="A28" s="2814" t="str">
        <f>'G.F. 0'!A32</f>
        <v>Otros gastos fijos</v>
      </c>
      <c r="B28" s="2155" t="str">
        <f t="array" ref="B28:F28">anni</f>
        <v>Año 0:  2026</v>
      </c>
      <c r="C28" s="2156" t="str">
        <v>Año 1:  2027</v>
      </c>
      <c r="D28" s="2155" t="str">
        <v>Año 2:  2028</v>
      </c>
      <c r="E28" s="2156" t="str">
        <v>Año 3:  2029</v>
      </c>
      <c r="F28" s="2155" t="str">
        <v>Año 4:  2030</v>
      </c>
    </row>
    <row r="29" spans="1:6">
      <c r="A29" s="1749" t="str">
        <f t="array" ref="A29:A50">'Gastos Fijos Datos'!A6:A27</f>
        <v>Tributos: IAE, IBI, ...</v>
      </c>
      <c r="B29" s="2663">
        <f t="array" ref="B29:B50">'G.F. 0'!$N33:N54</f>
        <v>0</v>
      </c>
      <c r="C29" s="2664">
        <f t="array" ref="C29:C50">'G.F. 1'!N33:N54</f>
        <v>0</v>
      </c>
      <c r="D29" s="2663">
        <f t="array" ref="D29:D50">'G.F. 2'!N33:N54</f>
        <v>0</v>
      </c>
      <c r="E29" s="2664">
        <f t="array" ref="E29:E50">'G.F. 3'!N33:N54</f>
        <v>0</v>
      </c>
      <c r="F29" s="2663">
        <f t="array" ref="F29:F50">'G.F. 4'!N33:N54</f>
        <v>0</v>
      </c>
    </row>
    <row r="30" spans="1:6">
      <c r="A30" s="1749" t="str">
        <v>Otras gastos fijos ( SIN IVA )</v>
      </c>
      <c r="B30" s="2661">
        <v>0</v>
      </c>
      <c r="C30" s="2662">
        <v>0</v>
      </c>
      <c r="D30" s="2661">
        <v>0</v>
      </c>
      <c r="E30" s="2662">
        <v>0</v>
      </c>
      <c r="F30" s="2661">
        <v>0</v>
      </c>
    </row>
    <row r="31" spans="1:6">
      <c r="A31" s="1749" t="str">
        <v>Primas de Seguros</v>
      </c>
      <c r="B31" s="2661">
        <v>0</v>
      </c>
      <c r="C31" s="2662">
        <v>0</v>
      </c>
      <c r="D31" s="2661">
        <v>0</v>
      </c>
      <c r="E31" s="2662">
        <v>0</v>
      </c>
      <c r="F31" s="2661">
        <v>0</v>
      </c>
    </row>
    <row r="32" spans="1:6">
      <c r="A32" s="1749" t="str">
        <v>Colegio / asociación profesional</v>
      </c>
      <c r="B32" s="2661">
        <v>0</v>
      </c>
      <c r="C32" s="2662">
        <v>0</v>
      </c>
      <c r="D32" s="2661">
        <v>0</v>
      </c>
      <c r="E32" s="2662">
        <v>0</v>
      </c>
      <c r="F32" s="2661">
        <v>0</v>
      </c>
    </row>
    <row r="33" spans="1:6">
      <c r="A33" s="1749" t="str">
        <v>Suministro de Electricidad</v>
      </c>
      <c r="B33" s="2661">
        <v>0</v>
      </c>
      <c r="C33" s="2662">
        <v>0</v>
      </c>
      <c r="D33" s="2661">
        <v>0</v>
      </c>
      <c r="E33" s="2662">
        <v>0</v>
      </c>
      <c r="F33" s="2661">
        <v>0</v>
      </c>
    </row>
    <row r="34" spans="1:6">
      <c r="A34" s="1749" t="str">
        <v>Cuotas periódicas de software</v>
      </c>
      <c r="B34" s="2661">
        <v>0</v>
      </c>
      <c r="C34" s="2662">
        <v>0</v>
      </c>
      <c r="D34" s="2661">
        <v>0</v>
      </c>
      <c r="E34" s="2662">
        <v>0</v>
      </c>
      <c r="F34" s="2661">
        <v>0</v>
      </c>
    </row>
    <row r="35" spans="1:6">
      <c r="A35" s="1749" t="str">
        <v>Agua, saneamiento y basura</v>
      </c>
      <c r="B35" s="2661">
        <v>0</v>
      </c>
      <c r="C35" s="2662">
        <v>0</v>
      </c>
      <c r="D35" s="2661">
        <v>0</v>
      </c>
      <c r="E35" s="2662">
        <v>0</v>
      </c>
      <c r="F35" s="2661">
        <v>0</v>
      </c>
    </row>
    <row r="36" spans="1:6">
      <c r="A36" s="1749" t="str">
        <v>Otros suministros (gas, etc.)</v>
      </c>
      <c r="B36" s="2661">
        <v>0</v>
      </c>
      <c r="C36" s="2662">
        <v>0</v>
      </c>
      <c r="D36" s="2661">
        <v>0</v>
      </c>
      <c r="E36" s="2662">
        <v>0</v>
      </c>
      <c r="F36" s="2661">
        <v>0</v>
      </c>
    </row>
    <row r="37" spans="1:6">
      <c r="A37" s="1749" t="str">
        <v>Telefonía / Internet / Comunicaciones</v>
      </c>
      <c r="B37" s="2661">
        <v>0</v>
      </c>
      <c r="C37" s="2662">
        <v>0</v>
      </c>
      <c r="D37" s="2661">
        <v>0</v>
      </c>
      <c r="E37" s="2662">
        <v>0</v>
      </c>
      <c r="F37" s="2661">
        <v>0</v>
      </c>
    </row>
    <row r="38" spans="1:6">
      <c r="A38" s="1749" t="str">
        <v>Alojamiento y servicios web</v>
      </c>
      <c r="B38" s="2661">
        <v>0</v>
      </c>
      <c r="C38" s="2662">
        <v>0</v>
      </c>
      <c r="D38" s="2661">
        <v>0</v>
      </c>
      <c r="E38" s="2662">
        <v>0</v>
      </c>
      <c r="F38" s="2661">
        <v>0</v>
      </c>
    </row>
    <row r="39" spans="1:6">
      <c r="A39" s="1749" t="str">
        <v>Alarma / Compañía de seguridad</v>
      </c>
      <c r="B39" s="2661">
        <v>0</v>
      </c>
      <c r="C39" s="2662">
        <v>0</v>
      </c>
      <c r="D39" s="2661">
        <v>0</v>
      </c>
      <c r="E39" s="2662">
        <v>0</v>
      </c>
      <c r="F39" s="2661">
        <v>0</v>
      </c>
    </row>
    <row r="40" spans="1:6">
      <c r="A40" s="1749" t="str">
        <v>Material de oficina / papelería</v>
      </c>
      <c r="B40" s="2661">
        <v>0</v>
      </c>
      <c r="C40" s="2662">
        <v>0</v>
      </c>
      <c r="D40" s="2661">
        <v>0</v>
      </c>
      <c r="E40" s="2662">
        <v>0</v>
      </c>
      <c r="F40" s="2661">
        <v>0</v>
      </c>
    </row>
    <row r="41" spans="1:6">
      <c r="A41" s="1749" t="str">
        <v>Congresos / Ferias / Viajes</v>
      </c>
      <c r="B41" s="2661">
        <v>0</v>
      </c>
      <c r="C41" s="2662">
        <v>0</v>
      </c>
      <c r="D41" s="2661">
        <v>0</v>
      </c>
      <c r="E41" s="2662">
        <v>0</v>
      </c>
      <c r="F41" s="2661">
        <v>0</v>
      </c>
    </row>
    <row r="42" spans="1:6">
      <c r="A42" s="1749" t="str">
        <v>Transporte y desplazamientos</v>
      </c>
      <c r="B42" s="2661">
        <v>0</v>
      </c>
      <c r="C42" s="2662">
        <v>0</v>
      </c>
      <c r="D42" s="2661">
        <v>0</v>
      </c>
      <c r="E42" s="2662">
        <v>0</v>
      </c>
      <c r="F42" s="2661">
        <v>0</v>
      </c>
    </row>
    <row r="43" spans="1:6">
      <c r="A43" s="1749" t="str">
        <v>Asesoría y profesionales independientes</v>
      </c>
      <c r="B43" s="2661">
        <v>0</v>
      </c>
      <c r="C43" s="2662">
        <v>0</v>
      </c>
      <c r="D43" s="2661">
        <v>0</v>
      </c>
      <c r="E43" s="2662">
        <v>0</v>
      </c>
      <c r="F43" s="2661">
        <v>0</v>
      </c>
    </row>
    <row r="44" spans="1:6">
      <c r="A44" s="1749" t="str">
        <v>Arrendamientos / alquileres</v>
      </c>
      <c r="B44" s="2661">
        <v>0</v>
      </c>
      <c r="C44" s="2662">
        <v>0</v>
      </c>
      <c r="D44" s="2661">
        <v>0</v>
      </c>
      <c r="E44" s="2662">
        <v>0</v>
      </c>
      <c r="F44" s="2661">
        <v>0</v>
      </c>
    </row>
    <row r="45" spans="1:6">
      <c r="A45" s="1749" t="str">
        <v>Gastos Marketing online variables</v>
      </c>
      <c r="B45" s="2661">
        <f ca="1"/>
        <v>549.65909090909088</v>
      </c>
      <c r="C45" s="2662">
        <f ca="1"/>
        <v>773.50000000000034</v>
      </c>
      <c r="D45" s="2661">
        <f ca="1"/>
        <v>796.70499999999959</v>
      </c>
      <c r="E45" s="2662">
        <f ca="1"/>
        <v>820.60615000000018</v>
      </c>
      <c r="F45" s="2661">
        <f ca="1"/>
        <v>845.22433450000017</v>
      </c>
    </row>
    <row r="46" spans="1:6">
      <c r="A46" s="1749" t="str">
        <v>Gastos Marketing online fijos</v>
      </c>
      <c r="B46" s="2661">
        <v>0</v>
      </c>
      <c r="C46" s="2662">
        <v>0</v>
      </c>
      <c r="D46" s="2661">
        <v>0</v>
      </c>
      <c r="E46" s="2662">
        <v>0</v>
      </c>
      <c r="F46" s="2661">
        <v>0</v>
      </c>
    </row>
    <row r="47" spans="1:6">
      <c r="A47" s="1749" t="str">
        <v>Gastos Marketing off-line variables</v>
      </c>
      <c r="B47" s="2661">
        <f ca="1"/>
        <v>549.65909090909088</v>
      </c>
      <c r="C47" s="2662">
        <f ca="1"/>
        <v>773.50000000000034</v>
      </c>
      <c r="D47" s="2661">
        <f ca="1"/>
        <v>796.70499999999959</v>
      </c>
      <c r="E47" s="2662">
        <f ca="1"/>
        <v>820.60615000000018</v>
      </c>
      <c r="F47" s="2661">
        <f ca="1"/>
        <v>845.22433450000017</v>
      </c>
    </row>
    <row r="48" spans="1:6">
      <c r="A48" s="1749" t="str">
        <v>Gastos Marketing off-line fijos</v>
      </c>
      <c r="B48" s="2661">
        <v>0</v>
      </c>
      <c r="C48" s="2662">
        <v>0</v>
      </c>
      <c r="D48" s="2661">
        <v>0</v>
      </c>
      <c r="E48" s="2662">
        <v>0</v>
      </c>
      <c r="F48" s="2661">
        <v>0</v>
      </c>
    </row>
    <row r="49" spans="1:6">
      <c r="A49" s="1749" t="str">
        <v>Mantenimiento y reparaciones</v>
      </c>
      <c r="B49" s="2661">
        <v>0</v>
      </c>
      <c r="C49" s="2662">
        <v>0</v>
      </c>
      <c r="D49" s="2661">
        <v>0</v>
      </c>
      <c r="E49" s="2662">
        <v>0</v>
      </c>
      <c r="F49" s="2661">
        <v>0</v>
      </c>
    </row>
    <row r="50" spans="1:6" ht="15.75" thickBot="1">
      <c r="A50" s="1749" t="str">
        <v>Otros gastos Imprevistos</v>
      </c>
      <c r="B50" s="2661">
        <f ca="1"/>
        <v>109.93181818181817</v>
      </c>
      <c r="C50" s="2662">
        <f ca="1"/>
        <v>114.32909090909095</v>
      </c>
      <c r="D50" s="2661">
        <f ca="1"/>
        <v>118.90225454545457</v>
      </c>
      <c r="E50" s="2662">
        <f ca="1"/>
        <v>123.65834472727268</v>
      </c>
      <c r="F50" s="2661">
        <f ca="1"/>
        <v>128.60467851636369</v>
      </c>
    </row>
    <row r="51" spans="1:6" ht="15.75" thickBot="1">
      <c r="A51" s="256" t="str">
        <f>'G.F. 0'!A55</f>
        <v>Total Otros gastos fijos</v>
      </c>
      <c r="B51" s="426">
        <f t="shared" ref="B51:F51" ca="1" si="0">SUM(B29:B50)</f>
        <v>1209.25</v>
      </c>
      <c r="C51" s="1796">
        <f t="shared" ca="1" si="0"/>
        <v>1661.3290909090915</v>
      </c>
      <c r="D51" s="426">
        <f t="shared" ca="1" si="0"/>
        <v>1712.3122545454537</v>
      </c>
      <c r="E51" s="1796">
        <f t="shared" ca="1" si="0"/>
        <v>1764.870644727273</v>
      </c>
      <c r="F51" s="426">
        <f t="shared" ca="1" si="0"/>
        <v>1819.0533475163641</v>
      </c>
    </row>
    <row r="52" spans="1:6" ht="15.75" thickBot="1">
      <c r="A52" s="1802"/>
    </row>
    <row r="53" spans="1:6" ht="15.75" thickBot="1">
      <c r="A53" s="143" t="str">
        <f>'G.F. 0'!A58</f>
        <v>Total Gastos Fijos</v>
      </c>
      <c r="B53" s="426">
        <f t="array" ref="B53:F53" ca="1">B25:F25+B51:F51</f>
        <v>20241.25</v>
      </c>
      <c r="C53" s="426">
        <f ca="1"/>
        <v>21413.32909090909</v>
      </c>
      <c r="D53" s="426">
        <f ca="1"/>
        <v>25861.112254545453</v>
      </c>
      <c r="E53" s="426">
        <f ca="1"/>
        <v>26692.42264472727</v>
      </c>
      <c r="F53" s="426">
        <f ca="1"/>
        <v>27556.507427516372</v>
      </c>
    </row>
    <row r="54" spans="1:6">
      <c r="B54" s="2023" t="str">
        <f>B26</f>
        <v/>
      </c>
    </row>
  </sheetData>
  <sheetProtection sheet="1" objects="1" scenarios="1"/>
  <phoneticPr fontId="6" type="noConversion"/>
  <printOptions horizontalCentered="1"/>
  <pageMargins left="0.75" right="0.75" top="0.6692913385826772" bottom="0.52" header="0" footer="0"/>
  <pageSetup paperSize="9" scale="94" orientation="portrait" horizontalDpi="300" r:id="rId1"/>
  <headerFooter alignWithMargins="0"/>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36">
    <pageSetUpPr fitToPage="1"/>
  </sheetPr>
  <dimension ref="A1:O43"/>
  <sheetViews>
    <sheetView workbookViewId="0"/>
  </sheetViews>
  <sheetFormatPr baseColWidth="10" defaultColWidth="11" defaultRowHeight="15"/>
  <cols>
    <col min="1" max="1" width="32.875" style="20" customWidth="1"/>
    <col min="2" max="2" width="16.75" style="20" customWidth="1"/>
    <col min="3" max="3" width="14.875" style="21" customWidth="1"/>
    <col min="4" max="8" width="13.5" style="21" customWidth="1"/>
    <col min="9" max="10" width="13.625" style="21" customWidth="1"/>
    <col min="11" max="11" width="15.125" style="21" customWidth="1"/>
    <col min="12" max="12" width="14.875" style="21" customWidth="1"/>
    <col min="13" max="15" width="14.25" style="19" bestFit="1" customWidth="1"/>
    <col min="16" max="16384" width="11" style="20"/>
  </cols>
  <sheetData>
    <row r="1" spans="1:13" ht="25.5">
      <c r="A1" s="561" t="s">
        <v>824</v>
      </c>
      <c r="B1" s="17"/>
      <c r="C1" s="18"/>
      <c r="D1" s="18"/>
      <c r="E1" s="18"/>
      <c r="F1" s="18"/>
      <c r="G1" s="18"/>
      <c r="H1" s="18"/>
      <c r="I1" s="18"/>
      <c r="J1" s="18"/>
      <c r="K1" s="18"/>
      <c r="L1" s="18"/>
      <c r="M1" s="562"/>
    </row>
    <row r="2" spans="1:13" ht="25.5">
      <c r="A2" s="561" t="str">
        <f>'Datos Básicos'!$B$9</f>
        <v>nombre empresa</v>
      </c>
      <c r="B2" s="17"/>
      <c r="C2" s="18"/>
      <c r="D2" s="18"/>
      <c r="E2" s="18"/>
      <c r="F2" s="18"/>
      <c r="G2" s="18"/>
      <c r="H2" s="18"/>
      <c r="I2" s="18"/>
      <c r="J2" s="18"/>
      <c r="K2" s="18"/>
      <c r="L2" s="18"/>
    </row>
    <row r="3" spans="1:13" ht="13.5" customHeight="1" thickBot="1"/>
    <row r="4" spans="1:13" s="22" customFormat="1" ht="30.75" customHeight="1" thickBot="1">
      <c r="A4" s="3383" t="s">
        <v>595</v>
      </c>
      <c r="B4" s="2113" t="s">
        <v>471</v>
      </c>
      <c r="C4" s="2114" t="s">
        <v>133</v>
      </c>
      <c r="D4" s="2115" t="str">
        <f>CONCATENATE("Inv. Neta Inicio ",'Datos Básicos'!B18)</f>
        <v>Inv. Neta Inicio Año 0</v>
      </c>
      <c r="E4" s="2115" t="str">
        <f>CONCATENATE("Inv. Inicio año ",'Datos Básicos'!C18)</f>
        <v>Inv. Inicio año 1</v>
      </c>
      <c r="F4" s="2115" t="str">
        <f>CONCATENATE("Inv. Inicio año ",'Datos Básicos'!D18)</f>
        <v>Inv. Inicio año 2</v>
      </c>
      <c r="G4" s="2115" t="str">
        <f>CONCATENATE("Inv. Inicio año ",'Datos Básicos'!E18)</f>
        <v>Inv. Inicio año 3</v>
      </c>
      <c r="H4" s="2115" t="str">
        <f>CONCATENATE("Inv. Inicio año ",'Datos Básicos'!F18)</f>
        <v>Inv. Inicio año 4</v>
      </c>
      <c r="J4" s="2851" t="s">
        <v>1108</v>
      </c>
      <c r="K4" s="2852" t="s">
        <v>82</v>
      </c>
      <c r="L4" s="2853" t="s">
        <v>1112</v>
      </c>
    </row>
    <row r="5" spans="1:13" s="452" customFormat="1" ht="21.75" customHeight="1" thickBot="1">
      <c r="A5" s="3384"/>
      <c r="B5" s="2119" t="s">
        <v>430</v>
      </c>
      <c r="C5" s="2120" t="s">
        <v>134</v>
      </c>
      <c r="D5" s="2121" t="str">
        <f t="array" ref="D5:H5">Parametros!D65:H65</f>
        <v>2026</v>
      </c>
      <c r="E5" s="2121" t="str">
        <v>2027</v>
      </c>
      <c r="F5" s="2122" t="str">
        <v>2028</v>
      </c>
      <c r="G5" s="2122" t="str">
        <v>2029</v>
      </c>
      <c r="H5" s="2122" t="str">
        <v>2030</v>
      </c>
    </row>
    <row r="6" spans="1:13" s="31" customFormat="1" ht="23.25" customHeight="1">
      <c r="A6" s="2126" t="s">
        <v>1</v>
      </c>
      <c r="B6" s="2127">
        <f t="shared" ref="B6:H6" si="0">SUM(B7:B15)</f>
        <v>0</v>
      </c>
      <c r="C6" s="2128">
        <f t="shared" si="0"/>
        <v>0</v>
      </c>
      <c r="D6" s="1330">
        <f t="shared" si="0"/>
        <v>0</v>
      </c>
      <c r="E6" s="2129">
        <f t="shared" si="0"/>
        <v>0</v>
      </c>
      <c r="F6" s="2127">
        <f t="shared" si="0"/>
        <v>0</v>
      </c>
      <c r="G6" s="2127">
        <f t="shared" si="0"/>
        <v>0</v>
      </c>
      <c r="H6" s="2127">
        <f t="shared" si="0"/>
        <v>0</v>
      </c>
      <c r="J6" s="2127">
        <f>SUM(J7:J15)</f>
        <v>0</v>
      </c>
      <c r="K6" s="2127">
        <f>SUM(K7:K15)</f>
        <v>0</v>
      </c>
      <c r="L6" s="2127">
        <f>SUM(L7:L15)</f>
        <v>0</v>
      </c>
    </row>
    <row r="7" spans="1:13" s="23" customFormat="1" ht="18" customHeight="1">
      <c r="A7" s="2116" t="str">
        <f>'Inv. Iniciales ANC'!A6</f>
        <v>Terrenos y solares</v>
      </c>
      <c r="B7" s="1327">
        <f>'Inv. Iniciales ANC'!B6</f>
        <v>0</v>
      </c>
      <c r="C7" s="663"/>
      <c r="D7" s="1325">
        <f t="array" ref="D7:D15">B7:B15-C7:C15</f>
        <v>0</v>
      </c>
      <c r="E7" s="1324">
        <f>'Inv. Adicionales ANC'!C6</f>
        <v>0</v>
      </c>
      <c r="F7" s="1325">
        <f>'Inv. Adicionales ANC'!D6</f>
        <v>0</v>
      </c>
      <c r="G7" s="1325">
        <f>'Inv. Adicionales ANC'!E6</f>
        <v>0</v>
      </c>
      <c r="H7" s="1325">
        <f>'Inv. Adicionales ANC'!F6</f>
        <v>0</v>
      </c>
      <c r="J7" s="2872">
        <f>+'Bal. Inicial Previo'!D14</f>
        <v>0</v>
      </c>
      <c r="K7" s="2872">
        <v>0</v>
      </c>
      <c r="L7" s="2872">
        <f t="shared" ref="L7:L17" si="1">J7+K7</f>
        <v>0</v>
      </c>
    </row>
    <row r="8" spans="1:13" ht="18" customHeight="1">
      <c r="A8" s="2116" t="s">
        <v>30</v>
      </c>
      <c r="B8" s="1327">
        <f>'Inv. Iniciales ANC'!B10-B7</f>
        <v>0</v>
      </c>
      <c r="C8" s="1326">
        <f>'Inv. Iniciales ANC'!E10</f>
        <v>0</v>
      </c>
      <c r="D8" s="1325">
        <v>0</v>
      </c>
      <c r="E8" s="1324">
        <f>'Inv. Adicionales ANC'!C10-E7</f>
        <v>0</v>
      </c>
      <c r="F8" s="1325">
        <f>'Inv. Adicionales ANC'!D10-F7</f>
        <v>0</v>
      </c>
      <c r="G8" s="1325">
        <f>'Inv. Adicionales ANC'!E10-G7</f>
        <v>0</v>
      </c>
      <c r="H8" s="1325">
        <f>'Inv. Adicionales ANC'!F10-H7</f>
        <v>0</v>
      </c>
      <c r="J8" s="2872">
        <v>0</v>
      </c>
      <c r="K8" s="2872">
        <v>0</v>
      </c>
      <c r="L8" s="2872">
        <f t="shared" si="1"/>
        <v>0</v>
      </c>
    </row>
    <row r="9" spans="1:13" ht="18" customHeight="1">
      <c r="A9" s="2116" t="str">
        <f>MID('Inv. Iniciales ANC'!A20,7,30)</f>
        <v>Instalaciones</v>
      </c>
      <c r="B9" s="1327">
        <f>'Inv. Iniciales ANC'!B20</f>
        <v>0</v>
      </c>
      <c r="C9" s="1326">
        <f>'Inv. Iniciales ANC'!E20</f>
        <v>0</v>
      </c>
      <c r="D9" s="1325">
        <v>0</v>
      </c>
      <c r="E9" s="1324">
        <f>'Inv. Adicionales ANC'!C20</f>
        <v>0</v>
      </c>
      <c r="F9" s="1325">
        <f>'Inv. Adicionales ANC'!D20</f>
        <v>0</v>
      </c>
      <c r="G9" s="1325">
        <f>'Inv. Adicionales ANC'!E20</f>
        <v>0</v>
      </c>
      <c r="H9" s="1325">
        <f>'Inv. Adicionales ANC'!F20</f>
        <v>0</v>
      </c>
      <c r="J9" s="2872">
        <f>+'Bal. Inicial Previo'!D12</f>
        <v>0</v>
      </c>
      <c r="K9" s="2872">
        <f>'Inv. Iniciales ANC'!B20-'Inv. Iniciales ANC'!B19</f>
        <v>0</v>
      </c>
      <c r="L9" s="2872">
        <f t="shared" si="1"/>
        <v>0</v>
      </c>
    </row>
    <row r="10" spans="1:13" ht="18" customHeight="1">
      <c r="A10" s="2116" t="str">
        <f>MID('Inv. Iniciales ANC'!A26,7,30)</f>
        <v>Maquinaria</v>
      </c>
      <c r="B10" s="1327">
        <f>'Inv. Iniciales ANC'!B26</f>
        <v>0</v>
      </c>
      <c r="C10" s="1326">
        <f>'Inv. Iniciales ANC'!E26</f>
        <v>0</v>
      </c>
      <c r="D10" s="1325">
        <v>0</v>
      </c>
      <c r="E10" s="1324">
        <f>'Inv. Adicionales ANC'!C26</f>
        <v>0</v>
      </c>
      <c r="F10" s="1325">
        <f>'Inv. Adicionales ANC'!D26</f>
        <v>0</v>
      </c>
      <c r="G10" s="1325">
        <f>'Inv. Adicionales ANC'!E26</f>
        <v>0</v>
      </c>
      <c r="H10" s="1325">
        <f>'Inv. Adicionales ANC'!F26</f>
        <v>0</v>
      </c>
      <c r="J10" s="2872">
        <v>0</v>
      </c>
      <c r="K10" s="2872">
        <f>'Inv. Iniciales ANC'!B26</f>
        <v>0</v>
      </c>
      <c r="L10" s="2872">
        <f t="shared" si="1"/>
        <v>0</v>
      </c>
    </row>
    <row r="11" spans="1:13" ht="18" customHeight="1">
      <c r="A11" s="2116" t="str">
        <f>MID('Inv. Iniciales ANC'!A31,7,30)</f>
        <v>Utillaje, Herramientas, ...</v>
      </c>
      <c r="B11" s="1327">
        <f>'Inv. Iniciales ANC'!B31</f>
        <v>0</v>
      </c>
      <c r="C11" s="1326">
        <f>'Inv. Iniciales ANC'!E31</f>
        <v>0</v>
      </c>
      <c r="D11" s="1325">
        <v>0</v>
      </c>
      <c r="E11" s="1324">
        <f>'Inv. Adicionales ANC'!C31</f>
        <v>0</v>
      </c>
      <c r="F11" s="1325">
        <f>'Inv. Adicionales ANC'!D31</f>
        <v>0</v>
      </c>
      <c r="G11" s="1325">
        <f>'Inv. Adicionales ANC'!E31</f>
        <v>0</v>
      </c>
      <c r="H11" s="1325">
        <f>'Inv. Adicionales ANC'!F31</f>
        <v>0</v>
      </c>
      <c r="J11" s="2872">
        <v>0</v>
      </c>
      <c r="K11" s="2872">
        <f>'Inv. Iniciales ANC'!B31</f>
        <v>0</v>
      </c>
      <c r="L11" s="2872">
        <f t="shared" si="1"/>
        <v>0</v>
      </c>
    </row>
    <row r="12" spans="1:13" ht="18" customHeight="1">
      <c r="A12" s="2116" t="str">
        <f>MID('Inv. Iniciales ANC'!A37,7,30)</f>
        <v>Mobiliario</v>
      </c>
      <c r="B12" s="1327">
        <f>'Inv. Iniciales ANC'!B37</f>
        <v>0</v>
      </c>
      <c r="C12" s="1326">
        <f>'Inv. Iniciales ANC'!E37</f>
        <v>0</v>
      </c>
      <c r="D12" s="1325">
        <v>0</v>
      </c>
      <c r="E12" s="1324">
        <f>'Inv. Adicionales ANC'!C37</f>
        <v>0</v>
      </c>
      <c r="F12" s="1325">
        <f>'Inv. Adicionales ANC'!D37</f>
        <v>0</v>
      </c>
      <c r="G12" s="1325">
        <f>'Inv. Adicionales ANC'!E37</f>
        <v>0</v>
      </c>
      <c r="H12" s="1325">
        <f>'Inv. Adicionales ANC'!F37</f>
        <v>0</v>
      </c>
      <c r="J12" s="2872">
        <v>0</v>
      </c>
      <c r="K12" s="2872">
        <f>'Inv. Iniciales ANC'!B37</f>
        <v>0</v>
      </c>
      <c r="L12" s="2872">
        <f t="shared" si="1"/>
        <v>0</v>
      </c>
    </row>
    <row r="13" spans="1:13" ht="18" customHeight="1">
      <c r="A13" s="2116" t="str">
        <f>MID('Inv. Iniciales ANC'!A43,7,30)</f>
        <v>Elementos de Transporte</v>
      </c>
      <c r="B13" s="1327">
        <f>'Inv. Iniciales ANC'!B43</f>
        <v>0</v>
      </c>
      <c r="C13" s="1326">
        <f>'Inv. Iniciales ANC'!E43</f>
        <v>0</v>
      </c>
      <c r="D13" s="1325">
        <v>0</v>
      </c>
      <c r="E13" s="1324">
        <f>'Inv. Adicionales ANC'!C43</f>
        <v>0</v>
      </c>
      <c r="F13" s="1325">
        <f>'Inv. Adicionales ANC'!D43</f>
        <v>0</v>
      </c>
      <c r="G13" s="1325">
        <f>'Inv. Adicionales ANC'!E43</f>
        <v>0</v>
      </c>
      <c r="H13" s="1325">
        <f>'Inv. Adicionales ANC'!F43</f>
        <v>0</v>
      </c>
      <c r="J13" s="2872">
        <v>0</v>
      </c>
      <c r="K13" s="2872">
        <f>'Inv. Iniciales ANC'!B43</f>
        <v>0</v>
      </c>
      <c r="L13" s="2872">
        <f t="shared" si="1"/>
        <v>0</v>
      </c>
    </row>
    <row r="14" spans="1:13" ht="18" customHeight="1">
      <c r="A14" s="2116" t="str">
        <f>MID('Inv. Iniciales ANC'!A50,7,30)</f>
        <v>Equipos informáticos</v>
      </c>
      <c r="B14" s="1327">
        <f>'Inv. Iniciales ANC'!B50</f>
        <v>0</v>
      </c>
      <c r="C14" s="1326">
        <f>'Inv. Iniciales ANC'!E50</f>
        <v>0</v>
      </c>
      <c r="D14" s="1325">
        <v>0</v>
      </c>
      <c r="E14" s="1324">
        <f>'Inv. Adicionales ANC'!C50</f>
        <v>0</v>
      </c>
      <c r="F14" s="1325">
        <f>'Inv. Adicionales ANC'!D50</f>
        <v>0</v>
      </c>
      <c r="G14" s="1325">
        <f>'Inv. Adicionales ANC'!E50</f>
        <v>0</v>
      </c>
      <c r="H14" s="1325">
        <f>'Inv. Adicionales ANC'!F50</f>
        <v>0</v>
      </c>
      <c r="J14" s="2872">
        <v>0</v>
      </c>
      <c r="K14" s="2872">
        <f>'Inv. Iniciales ANC'!B50</f>
        <v>0</v>
      </c>
      <c r="L14" s="2872">
        <f t="shared" si="1"/>
        <v>0</v>
      </c>
    </row>
    <row r="15" spans="1:13" s="23" customFormat="1" ht="18" customHeight="1">
      <c r="A15" s="2116" t="str">
        <f>MID('Inv. Iniciales ANC'!A55,7,30)</f>
        <v>Otro Inmovilizado Material</v>
      </c>
      <c r="B15" s="1327">
        <f>'Inv. Iniciales ANC'!B55</f>
        <v>0</v>
      </c>
      <c r="C15" s="1326">
        <f>'Inv. Iniciales ANC'!E55</f>
        <v>0</v>
      </c>
      <c r="D15" s="1325">
        <v>0</v>
      </c>
      <c r="E15" s="1324">
        <f>'Inv. Adicionales ANC'!C55</f>
        <v>0</v>
      </c>
      <c r="F15" s="1325">
        <f>'Inv. Adicionales ANC'!D55</f>
        <v>0</v>
      </c>
      <c r="G15" s="1325">
        <f>'Inv. Adicionales ANC'!E55</f>
        <v>0</v>
      </c>
      <c r="H15" s="1325">
        <f>'Inv. Adicionales ANC'!F55</f>
        <v>0</v>
      </c>
      <c r="J15" s="2872">
        <v>0</v>
      </c>
      <c r="K15" s="2872">
        <f>'Inv. Iniciales ANC'!B55</f>
        <v>0</v>
      </c>
      <c r="L15" s="2872">
        <f t="shared" si="1"/>
        <v>0</v>
      </c>
    </row>
    <row r="16" spans="1:13" ht="18" customHeight="1" thickBot="1">
      <c r="A16" s="2117"/>
      <c r="B16" s="44"/>
      <c r="C16" s="664"/>
      <c r="D16" s="45"/>
      <c r="E16" s="46"/>
      <c r="F16" s="45"/>
      <c r="G16" s="45"/>
      <c r="H16" s="45"/>
      <c r="J16" s="2872"/>
      <c r="K16" s="2872"/>
      <c r="L16" s="2872">
        <f t="shared" si="1"/>
        <v>0</v>
      </c>
    </row>
    <row r="17" spans="1:15" s="34" customFormat="1" ht="24" customHeight="1">
      <c r="A17" s="2118" t="str">
        <f>MID('Inv. Iniciales ANC'!A63,7,30)</f>
        <v>Inmovilizado Intangible</v>
      </c>
      <c r="B17" s="1330">
        <f>'Inv. Iniciales ANC'!B63</f>
        <v>0</v>
      </c>
      <c r="C17" s="1331">
        <f>'Inv. Iniciales ANC'!E63</f>
        <v>0</v>
      </c>
      <c r="D17" s="1330">
        <f>B17-C17</f>
        <v>0</v>
      </c>
      <c r="E17" s="1328">
        <f t="array" ref="E17:H17">'Inv. Adicionales ANC'!C63:F63</f>
        <v>0</v>
      </c>
      <c r="F17" s="1329">
        <v>0</v>
      </c>
      <c r="G17" s="1329">
        <v>0</v>
      </c>
      <c r="H17" s="1329">
        <v>0</v>
      </c>
      <c r="J17" s="2872">
        <f>+'Bal. Inicial Previo'!D10</f>
        <v>0</v>
      </c>
      <c r="K17" s="2872">
        <f>+'Inv. Iniciales ANC'!B63-'Inv. Iniciales ANC'!B62</f>
        <v>0</v>
      </c>
      <c r="L17" s="2872">
        <f t="shared" si="1"/>
        <v>0</v>
      </c>
    </row>
    <row r="18" spans="1:15" ht="15.75" thickBot="1">
      <c r="A18" s="2130"/>
      <c r="B18" s="2131"/>
      <c r="C18" s="2132"/>
      <c r="D18" s="2131"/>
      <c r="E18" s="2133"/>
      <c r="F18" s="2131"/>
      <c r="G18" s="2131"/>
      <c r="H18" s="2131"/>
      <c r="J18" s="2131"/>
      <c r="K18" s="2131"/>
      <c r="L18" s="2131"/>
    </row>
    <row r="19" spans="1:15" s="34" customFormat="1" ht="28.5" customHeight="1" thickBot="1">
      <c r="A19" s="2467" t="s">
        <v>15</v>
      </c>
      <c r="B19" s="2123">
        <f t="array" ref="B19:H19">B6:H6+B17:H17</f>
        <v>0</v>
      </c>
      <c r="C19" s="2124">
        <v>0</v>
      </c>
      <c r="D19" s="2134">
        <v>0</v>
      </c>
      <c r="E19" s="2125">
        <v>0</v>
      </c>
      <c r="F19" s="2123">
        <v>0</v>
      </c>
      <c r="G19" s="2123">
        <v>0</v>
      </c>
      <c r="H19" s="2123">
        <v>0</v>
      </c>
      <c r="J19" s="2123">
        <f t="array" ref="J19:L19">J6:L6+J17:L17</f>
        <v>0</v>
      </c>
      <c r="K19" s="2123">
        <v>0</v>
      </c>
      <c r="L19" s="2123">
        <v>0</v>
      </c>
    </row>
    <row r="21" spans="1:15" s="34" customFormat="1" ht="21" customHeight="1">
      <c r="B21" s="919"/>
      <c r="C21" s="921" t="s">
        <v>436</v>
      </c>
      <c r="D21" s="920" t="str">
        <f t="array" ref="D21">IF(D19=0,"N/D",SUM(D8:D17*$B30:$B39)/D19)</f>
        <v>N/D</v>
      </c>
      <c r="E21" s="920" t="str">
        <f t="array" ref="E21">IF(E19=0,"N/D",SUM(E8:E17*$B30:$B39)/E19)</f>
        <v>N/D</v>
      </c>
      <c r="F21" s="920" t="str">
        <f t="array" ref="F21">IF(F19=0,"N/D",SUM(F8:F17*$B30:$B39)/F19)</f>
        <v>N/D</v>
      </c>
      <c r="G21" s="920" t="str">
        <f t="array" ref="G21">IF(G19=0,"N/D",SUM(G8:G17*$B30:$B39)/G19)</f>
        <v>N/D</v>
      </c>
      <c r="H21" s="920" t="str">
        <f t="array" ref="H21">IF(H19=0,"N/D",SUM(H8:H17*$B30:$B39)/H19)</f>
        <v>N/D</v>
      </c>
      <c r="I21" s="32"/>
      <c r="J21" s="32"/>
      <c r="K21" s="32"/>
      <c r="L21" s="32"/>
      <c r="M21" s="33"/>
      <c r="N21" s="33"/>
      <c r="O21" s="33"/>
    </row>
    <row r="24" spans="1:15" ht="25.5">
      <c r="A24" s="561" t="s">
        <v>435</v>
      </c>
    </row>
    <row r="25" spans="1:15" ht="15.75" thickBot="1"/>
    <row r="26" spans="1:15" ht="22.5">
      <c r="A26" s="3385" t="s">
        <v>92</v>
      </c>
      <c r="B26" s="2135" t="s">
        <v>83</v>
      </c>
      <c r="C26" s="2148" t="s">
        <v>431</v>
      </c>
      <c r="D26" s="2153" t="s">
        <v>376</v>
      </c>
      <c r="E26" s="2136"/>
      <c r="F26" s="2137"/>
      <c r="G26" s="2138"/>
      <c r="H26" s="2138"/>
    </row>
    <row r="27" spans="1:15" ht="21" customHeight="1" thickBot="1">
      <c r="A27" s="3386"/>
      <c r="B27" s="2139" t="s">
        <v>84</v>
      </c>
      <c r="C27" s="2149" t="s">
        <v>84</v>
      </c>
      <c r="D27" s="2140" t="str">
        <f t="array" ref="D27:H27">Parametros!D62:H62</f>
        <v>Año 0</v>
      </c>
      <c r="E27" s="2682">
        <v>1</v>
      </c>
      <c r="F27" s="2683">
        <v>2</v>
      </c>
      <c r="G27" s="2684">
        <v>3</v>
      </c>
      <c r="H27" s="2684">
        <v>4</v>
      </c>
    </row>
    <row r="28" spans="1:15" ht="18" customHeight="1">
      <c r="A28" s="2126" t="str">
        <f t="array" ref="A28:A37">A6:A15</f>
        <v>Inmovilizado Material</v>
      </c>
      <c r="B28" s="2143"/>
      <c r="C28" s="2150"/>
      <c r="D28" s="2144">
        <f>SUM(D30:D37)</f>
        <v>0</v>
      </c>
      <c r="E28" s="2144">
        <f>SUM(E30:E37)</f>
        <v>0</v>
      </c>
      <c r="F28" s="2144">
        <f>SUM(F30:F37)</f>
        <v>0</v>
      </c>
      <c r="G28" s="2144">
        <f>SUM(G30:G37)</f>
        <v>0</v>
      </c>
      <c r="H28" s="2144">
        <f>SUM(H30:H37)</f>
        <v>0</v>
      </c>
    </row>
    <row r="29" spans="1:15" ht="18" customHeight="1">
      <c r="A29" s="2116" t="str">
        <v>Terrenos y solares</v>
      </c>
      <c r="B29" s="40"/>
      <c r="C29" s="663"/>
      <c r="D29" s="41"/>
      <c r="E29" s="42"/>
      <c r="F29" s="43"/>
      <c r="G29" s="41"/>
      <c r="H29" s="41"/>
    </row>
    <row r="30" spans="1:15" ht="18" customHeight="1">
      <c r="A30" s="2116" t="str">
        <v>Edificios y construcciones</v>
      </c>
      <c r="B30" s="661">
        <f>'Inv. Iniciales ANC'!D10</f>
        <v>25</v>
      </c>
      <c r="C30" s="2151">
        <f t="array" ref="C30:C37">1/B30:B37</f>
        <v>0.04</v>
      </c>
      <c r="D30" s="1334">
        <f t="shared" ref="D30:D37" si="2">MIN(D8,B8/B30/12*(12+1-mes0))</f>
        <v>0</v>
      </c>
      <c r="E30" s="1332">
        <f t="shared" ref="E30:E37" si="3">MIN(D8-$D30,(B8)/$B30)
+E8/$B30</f>
        <v>0</v>
      </c>
      <c r="F30" s="1333">
        <f t="shared" ref="F30:F37" si="4">MIN(D8-D30-MIN(D8-D30,($B8)/$B30),($B8)/$B30)
+IF(2&lt;=$B30,E8/$B30,0)
+F8/$B30</f>
        <v>0</v>
      </c>
      <c r="G30" s="1334">
        <f t="shared" ref="G30:G37" si="5">MIN(D8-D30-MIN(D8-D30,($B8)/$B30)-MIN(D8-D30-MIN(D8-$D30,($B8)/$B30),($B8)/$B30),($B8)/$B30)
+IF(3&lt;=$B30,$E8/$B30,0)
+IF(2&lt;=$B30,$F8/$B30,0)
+$G8/$B30</f>
        <v>0</v>
      </c>
      <c r="H30" s="1334">
        <f t="shared" ref="H30:H37" si="6">MIN(D8-D30-MIN(D8-D30,($B8)/$B30)-MIN(D8-D30-MIN(D8-D30,($B8)/$B30),($B8)/$B30)-MIN(D8-D30-MIN(D8-D30,($B8)/$B30)-MIN(D8-D30-MIN(D8-D30,($B8)/$B30),($B8)/$B30),($B8)/$B30),($B8)/$B30)
+IF(4&lt;=$B30,$E8/$B30,0)
+IF(3&lt;=$B30,$F8/$B30,0)
+IF(2&lt;=$B30,$G8/$B30,0)
+$H8/$B30</f>
        <v>0</v>
      </c>
    </row>
    <row r="31" spans="1:15" ht="18" customHeight="1">
      <c r="A31" s="2116" t="str">
        <v>Instalaciones</v>
      </c>
      <c r="B31" s="661">
        <f>'Inv. Iniciales ANC'!D20</f>
        <v>10.714285714285714</v>
      </c>
      <c r="C31" s="2151">
        <v>9.3333333333333338E-2</v>
      </c>
      <c r="D31" s="1334">
        <f t="shared" si="2"/>
        <v>0</v>
      </c>
      <c r="E31" s="1332">
        <f t="shared" si="3"/>
        <v>0</v>
      </c>
      <c r="F31" s="1333">
        <f t="shared" si="4"/>
        <v>0</v>
      </c>
      <c r="G31" s="1334">
        <f t="shared" si="5"/>
        <v>0</v>
      </c>
      <c r="H31" s="1334">
        <f t="shared" si="6"/>
        <v>0</v>
      </c>
    </row>
    <row r="32" spans="1:15" ht="18" customHeight="1">
      <c r="A32" s="2116" t="str">
        <v>Maquinaria</v>
      </c>
      <c r="B32" s="661">
        <f>'Inv. Iniciales ANC'!D26</f>
        <v>10</v>
      </c>
      <c r="C32" s="2151">
        <v>0.1</v>
      </c>
      <c r="D32" s="1334">
        <f t="shared" si="2"/>
        <v>0</v>
      </c>
      <c r="E32" s="1332">
        <f t="shared" si="3"/>
        <v>0</v>
      </c>
      <c r="F32" s="1333">
        <f t="shared" si="4"/>
        <v>0</v>
      </c>
      <c r="G32" s="1334">
        <f t="shared" si="5"/>
        <v>0</v>
      </c>
      <c r="H32" s="1334">
        <f t="shared" si="6"/>
        <v>0</v>
      </c>
    </row>
    <row r="33" spans="1:8" ht="18" customHeight="1">
      <c r="A33" s="2116" t="str">
        <v>Utillaje, Herramientas, ...</v>
      </c>
      <c r="B33" s="661">
        <f>'Inv. Iniciales ANC'!D31</f>
        <v>5</v>
      </c>
      <c r="C33" s="2151">
        <v>0.2</v>
      </c>
      <c r="D33" s="1334">
        <f t="shared" si="2"/>
        <v>0</v>
      </c>
      <c r="E33" s="1332">
        <f t="shared" si="3"/>
        <v>0</v>
      </c>
      <c r="F33" s="1333">
        <f t="shared" si="4"/>
        <v>0</v>
      </c>
      <c r="G33" s="1334">
        <f t="shared" si="5"/>
        <v>0</v>
      </c>
      <c r="H33" s="1334">
        <f t="shared" si="6"/>
        <v>0</v>
      </c>
    </row>
    <row r="34" spans="1:8" ht="18" customHeight="1">
      <c r="A34" s="2116" t="str">
        <v>Mobiliario</v>
      </c>
      <c r="B34" s="661">
        <f>'Inv. Iniciales ANC'!D37</f>
        <v>5</v>
      </c>
      <c r="C34" s="2151">
        <v>0.2</v>
      </c>
      <c r="D34" s="1334">
        <f t="shared" si="2"/>
        <v>0</v>
      </c>
      <c r="E34" s="1332">
        <f t="shared" si="3"/>
        <v>0</v>
      </c>
      <c r="F34" s="1333">
        <f t="shared" si="4"/>
        <v>0</v>
      </c>
      <c r="G34" s="1334">
        <f t="shared" si="5"/>
        <v>0</v>
      </c>
      <c r="H34" s="1334">
        <f t="shared" si="6"/>
        <v>0</v>
      </c>
    </row>
    <row r="35" spans="1:8" ht="18" customHeight="1">
      <c r="A35" s="2116" t="str">
        <v>Elementos de Transporte</v>
      </c>
      <c r="B35" s="661">
        <f>'Inv. Iniciales ANC'!D43</f>
        <v>5</v>
      </c>
      <c r="C35" s="2151">
        <v>0.2</v>
      </c>
      <c r="D35" s="1334">
        <f t="shared" si="2"/>
        <v>0</v>
      </c>
      <c r="E35" s="1332">
        <f t="shared" si="3"/>
        <v>0</v>
      </c>
      <c r="F35" s="1333">
        <f t="shared" si="4"/>
        <v>0</v>
      </c>
      <c r="G35" s="1334">
        <f t="shared" si="5"/>
        <v>0</v>
      </c>
      <c r="H35" s="1334">
        <f t="shared" si="6"/>
        <v>0</v>
      </c>
    </row>
    <row r="36" spans="1:8" ht="18" customHeight="1">
      <c r="A36" s="2116" t="str">
        <v>Equipos informáticos</v>
      </c>
      <c r="B36" s="661">
        <f>'Inv. Iniciales ANC'!D50</f>
        <v>5</v>
      </c>
      <c r="C36" s="2151">
        <v>0.2</v>
      </c>
      <c r="D36" s="1334">
        <f t="shared" si="2"/>
        <v>0</v>
      </c>
      <c r="E36" s="1332">
        <f t="shared" si="3"/>
        <v>0</v>
      </c>
      <c r="F36" s="1333">
        <f t="shared" si="4"/>
        <v>0</v>
      </c>
      <c r="G36" s="1334">
        <f t="shared" si="5"/>
        <v>0</v>
      </c>
      <c r="H36" s="1334">
        <f t="shared" si="6"/>
        <v>0</v>
      </c>
    </row>
    <row r="37" spans="1:8" ht="18" customHeight="1">
      <c r="A37" s="2116" t="str">
        <v>Otro Inmovilizado Material</v>
      </c>
      <c r="B37" s="661">
        <f>'Inv. Iniciales ANC'!D55</f>
        <v>5</v>
      </c>
      <c r="C37" s="2151">
        <v>0.2</v>
      </c>
      <c r="D37" s="1334">
        <f t="shared" si="2"/>
        <v>0</v>
      </c>
      <c r="E37" s="1332">
        <f t="shared" si="3"/>
        <v>0</v>
      </c>
      <c r="F37" s="1333">
        <f t="shared" si="4"/>
        <v>0</v>
      </c>
      <c r="G37" s="1334">
        <f t="shared" si="5"/>
        <v>0</v>
      </c>
      <c r="H37" s="1334">
        <f t="shared" si="6"/>
        <v>0</v>
      </c>
    </row>
    <row r="38" spans="1:8" ht="18" customHeight="1" thickBot="1">
      <c r="A38" s="2117"/>
      <c r="B38" s="45"/>
      <c r="C38" s="664"/>
      <c r="D38" s="47"/>
      <c r="E38" s="19"/>
      <c r="F38" s="26"/>
      <c r="G38" s="47"/>
      <c r="H38" s="47"/>
    </row>
    <row r="39" spans="1:8" ht="18" customHeight="1">
      <c r="A39" s="2118" t="s">
        <v>12</v>
      </c>
      <c r="B39" s="662">
        <f>'Inv. Iniciales ANC'!D63</f>
        <v>4.5999999999999996</v>
      </c>
      <c r="C39" s="2152">
        <f>1/B39</f>
        <v>0.21739130434782611</v>
      </c>
      <c r="D39" s="1330">
        <f>MIN(D17,B17/B39/12*(12+1-mes0))</f>
        <v>0</v>
      </c>
      <c r="E39" s="1330">
        <f>MIN(D17-D39,($B17)/$B39)
+E17/$B39</f>
        <v>0</v>
      </c>
      <c r="F39" s="1330">
        <f>MIN(D17-D39-MIN(D17-D39,($B17)/$B39),($B17)/$B39)
+IF(2&lt;=$B39,E17/$B39,0)
+F17/$B39</f>
        <v>0</v>
      </c>
      <c r="G39" s="1330">
        <f>MIN(D17-D39-MIN(D17-D39,($B17)/$B39)-MIN(D17-D39-MIN(D17-$D39,($B17)/$B39),($B17)/$B39),($B17)/$B39)
+IF(3&lt;=$B39,$E17/$B39,0)
+IF(2&lt;=$B39,$F17/$B39,0)
+$G17/$B39</f>
        <v>0</v>
      </c>
      <c r="H39" s="1330">
        <f>MIN(D17-D39-MIN(D17-D39,($B17)/$B39)-MIN(D17-D39-MIN(D17-D39,($B17)/$B39),($B17)/$B39)-MIN(D17-D39-MIN(D17-D39,($B17)/$B39)-MIN(D17-D39-MIN(D17-D39,($B17)/$B39),($B17)/$B39),($B17)/$B39),($B17)/$B39)
+IF(4&lt;=$B39,$E17/$B39,0)
+IF(3&lt;=$B39,$F17/$B39,0)
+IF(2&lt;=$B39,$G17/$B39,0)
+$H17/$B39</f>
        <v>0</v>
      </c>
    </row>
    <row r="40" spans="1:8" ht="18" customHeight="1" thickBot="1">
      <c r="A40" s="2130"/>
      <c r="B40" s="2131"/>
      <c r="C40" s="2132"/>
      <c r="D40" s="2147"/>
      <c r="E40" s="2145"/>
      <c r="F40" s="2146"/>
      <c r="G40" s="2147"/>
      <c r="H40" s="2147"/>
    </row>
    <row r="41" spans="1:8" ht="22.5" customHeight="1" thickBot="1">
      <c r="A41" s="2141"/>
      <c r="B41" s="2142"/>
      <c r="C41" s="2468" t="s">
        <v>432</v>
      </c>
      <c r="D41" s="2123">
        <f t="array" ref="D41:H41">D28:H28+D39:H39</f>
        <v>0</v>
      </c>
      <c r="E41" s="2123">
        <v>0</v>
      </c>
      <c r="F41" s="2123">
        <v>0</v>
      </c>
      <c r="G41" s="2123">
        <v>0</v>
      </c>
      <c r="H41" s="2123">
        <v>0</v>
      </c>
    </row>
    <row r="43" spans="1:8">
      <c r="E43" s="46"/>
    </row>
  </sheetData>
  <sheetProtection sheet="1" objects="1" scenarios="1"/>
  <mergeCells count="2">
    <mergeCell ref="A4:A5"/>
    <mergeCell ref="A26:A27"/>
  </mergeCells>
  <phoneticPr fontId="6" type="noConversion"/>
  <dataValidations xWindow="394" yWindow="538" count="1">
    <dataValidation type="whole" allowBlank="1" showInputMessage="1" showErrorMessage="1" sqref="B40:C40 C18:H18" xr:uid="{00000000-0002-0000-3E00-000000000000}">
      <formula1>3</formula1>
      <formula2>35</formula2>
    </dataValidation>
  </dataValidations>
  <printOptions horizontalCentered="1" verticalCentered="1"/>
  <pageMargins left="0.56000000000000005" right="0.39370078740157483" top="0.39370078740157483" bottom="0.47244094488188981" header="0.27559055118110237" footer="0.31496062992125984"/>
  <pageSetup paperSize="9" scale="66" orientation="landscape" horizontalDpi="300" verticalDpi="300" r:id="rId1"/>
  <headerFooter alignWithMargins="0">
    <oddFooter>&amp;C&amp;"Tahoma,Normal"&amp;10&amp;A</oddFooter>
  </headerFooter>
  <legacy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29"/>
  <dimension ref="A1:O107"/>
  <sheetViews>
    <sheetView workbookViewId="0"/>
  </sheetViews>
  <sheetFormatPr baseColWidth="10" defaultColWidth="11" defaultRowHeight="15"/>
  <cols>
    <col min="1" max="1" width="26.75" style="35" bestFit="1" customWidth="1"/>
    <col min="2" max="2" width="9.25" style="35" customWidth="1"/>
    <col min="3" max="3" width="11" style="35"/>
    <col min="4" max="4" width="11.625" style="35" customWidth="1"/>
    <col min="5" max="5" width="10.25" style="35" bestFit="1" customWidth="1"/>
    <col min="6" max="9" width="10.625" style="35" bestFit="1" customWidth="1"/>
    <col min="10" max="10" width="10.25" style="35" bestFit="1" customWidth="1"/>
    <col min="11" max="11" width="11.625" style="35" bestFit="1" customWidth="1"/>
    <col min="12" max="13" width="11" style="35"/>
    <col min="14" max="14" width="10.625" style="35" bestFit="1" customWidth="1"/>
    <col min="15" max="15" width="11.75" style="35" bestFit="1" customWidth="1"/>
    <col min="16" max="16384" width="11" style="35"/>
  </cols>
  <sheetData>
    <row r="1" spans="1:15" ht="25.5">
      <c r="A1" s="235" t="s">
        <v>666</v>
      </c>
      <c r="B1" s="60"/>
      <c r="C1" s="61"/>
      <c r="D1" s="61"/>
      <c r="E1" s="61"/>
      <c r="F1" s="59"/>
    </row>
    <row r="2" spans="1:15" ht="22.5">
      <c r="A2" s="235" t="str">
        <f>'Datos Básicos'!B9</f>
        <v>nombre empresa</v>
      </c>
      <c r="B2" s="60"/>
      <c r="C2" s="61"/>
      <c r="D2" s="61"/>
      <c r="E2" s="61"/>
      <c r="F2" s="61"/>
      <c r="G2" s="61"/>
      <c r="H2" s="61"/>
    </row>
    <row r="3" spans="1:15" ht="25.5">
      <c r="A3" s="59"/>
      <c r="B3" s="60"/>
      <c r="C3" s="61"/>
      <c r="D3" s="61"/>
      <c r="E3" s="61"/>
      <c r="F3" s="61"/>
      <c r="G3" s="61"/>
      <c r="H3" s="61"/>
    </row>
    <row r="4" spans="1:15" ht="19.5">
      <c r="A4" s="243" t="s">
        <v>19</v>
      </c>
      <c r="B4" s="60"/>
      <c r="C4" s="61"/>
      <c r="D4" s="61"/>
      <c r="E4" s="61"/>
      <c r="F4" s="61"/>
      <c r="G4" s="61"/>
      <c r="H4" s="61"/>
    </row>
    <row r="5" spans="1:15" ht="15" customHeight="1" thickBot="1">
      <c r="A5" s="59"/>
      <c r="B5" s="60"/>
      <c r="C5" s="61"/>
      <c r="D5" s="61"/>
      <c r="E5" s="61"/>
      <c r="F5" s="61"/>
      <c r="G5" s="61"/>
      <c r="H5" s="61"/>
    </row>
    <row r="6" spans="1:15" ht="15.75" thickBot="1">
      <c r="A6" s="1166" t="str">
        <f>CONCATENATE("Gastos Financieros ",'Datos Básicos'!B18)</f>
        <v>Gastos Financieros Año 0</v>
      </c>
      <c r="B6" s="262" t="s">
        <v>719</v>
      </c>
      <c r="C6" s="427" t="str">
        <f t="array" ref="C6:N6">meses</f>
        <v>enero</v>
      </c>
      <c r="D6" s="158" t="str">
        <v>febrero</v>
      </c>
      <c r="E6" s="158" t="str">
        <v>marzo</v>
      </c>
      <c r="F6" s="158" t="str">
        <v>abril</v>
      </c>
      <c r="G6" s="158" t="str">
        <v>mayo</v>
      </c>
      <c r="H6" s="158" t="str">
        <v>junio</v>
      </c>
      <c r="I6" s="158" t="str">
        <v>julio</v>
      </c>
      <c r="J6" s="158" t="str">
        <v>agosto</v>
      </c>
      <c r="K6" s="158" t="str">
        <v>septiembre</v>
      </c>
      <c r="L6" s="158" t="str">
        <v>octubre</v>
      </c>
      <c r="M6" s="158" t="str">
        <v>noviembre</v>
      </c>
      <c r="N6" s="159" t="str">
        <v>diciembre</v>
      </c>
      <c r="O6" s="103" t="s">
        <v>717</v>
      </c>
    </row>
    <row r="7" spans="1:15" s="259" customFormat="1">
      <c r="A7" s="2469" t="s">
        <v>714</v>
      </c>
      <c r="B7" s="1824">
        <f t="array" ref="B7:N7">'Tesorería 0'!B33:N33</f>
        <v>0</v>
      </c>
      <c r="C7" s="1825">
        <f ca="1"/>
        <v>0</v>
      </c>
      <c r="D7" s="1826">
        <f ca="1"/>
        <v>0</v>
      </c>
      <c r="E7" s="1826">
        <f ca="1"/>
        <v>0</v>
      </c>
      <c r="F7" s="1826">
        <f ca="1"/>
        <v>0</v>
      </c>
      <c r="G7" s="1826">
        <f ca="1"/>
        <v>0</v>
      </c>
      <c r="H7" s="1826">
        <f ca="1"/>
        <v>0</v>
      </c>
      <c r="I7" s="1826">
        <f ca="1"/>
        <v>0</v>
      </c>
      <c r="J7" s="1826">
        <f ca="1"/>
        <v>0</v>
      </c>
      <c r="K7" s="1826">
        <f ca="1"/>
        <v>0</v>
      </c>
      <c r="L7" s="1826">
        <f ca="1"/>
        <v>0</v>
      </c>
      <c r="M7" s="1826">
        <f ca="1"/>
        <v>0</v>
      </c>
      <c r="N7" s="1827">
        <f ca="1"/>
        <v>0</v>
      </c>
      <c r="O7" s="1839">
        <f ca="1">AVERAGE(C7:N7)</f>
        <v>0</v>
      </c>
    </row>
    <row r="8" spans="1:15">
      <c r="A8" s="2470" t="s">
        <v>715</v>
      </c>
      <c r="B8" s="1836">
        <f t="array" ref="B8:N8">Financiación!$D$49-B7:N7</f>
        <v>0</v>
      </c>
      <c r="C8" s="1833">
        <f ca="1"/>
        <v>0</v>
      </c>
      <c r="D8" s="1834">
        <f ca="1"/>
        <v>0</v>
      </c>
      <c r="E8" s="1834">
        <f ca="1"/>
        <v>0</v>
      </c>
      <c r="F8" s="1834">
        <f ca="1"/>
        <v>0</v>
      </c>
      <c r="G8" s="1834">
        <f ca="1"/>
        <v>0</v>
      </c>
      <c r="H8" s="1834">
        <f ca="1"/>
        <v>0</v>
      </c>
      <c r="I8" s="1834">
        <f ca="1"/>
        <v>0</v>
      </c>
      <c r="J8" s="1834">
        <f ca="1"/>
        <v>0</v>
      </c>
      <c r="K8" s="1834">
        <f ca="1"/>
        <v>0</v>
      </c>
      <c r="L8" s="1834">
        <f ca="1"/>
        <v>0</v>
      </c>
      <c r="M8" s="1834">
        <f ca="1"/>
        <v>0</v>
      </c>
      <c r="N8" s="1835">
        <f ca="1"/>
        <v>0</v>
      </c>
      <c r="O8" s="1823">
        <f ca="1">AVERAGE(C8:N8)</f>
        <v>0</v>
      </c>
    </row>
    <row r="9" spans="1:15" s="259" customFormat="1" ht="15.75" thickBot="1">
      <c r="A9" s="2471" t="s">
        <v>716</v>
      </c>
      <c r="B9" s="1828">
        <f ca="1">-MIN('Tesorería 0'!B35,0)</f>
        <v>0</v>
      </c>
      <c r="C9" s="1829">
        <f ca="1">-MIN('Tesorería 0'!C35,0)</f>
        <v>0</v>
      </c>
      <c r="D9" s="1830">
        <f ca="1">-MIN('Tesorería 0'!D35,0)</f>
        <v>0</v>
      </c>
      <c r="E9" s="1830">
        <f ca="1">-MIN('Tesorería 0'!E35,0)</f>
        <v>0</v>
      </c>
      <c r="F9" s="1830">
        <f ca="1">-MIN('Tesorería 0'!F35,0)</f>
        <v>0</v>
      </c>
      <c r="G9" s="1830">
        <f ca="1">-MIN('Tesorería 0'!G35,0)</f>
        <v>0</v>
      </c>
      <c r="H9" s="1830">
        <f ca="1">-MIN('Tesorería 0'!H35,0)</f>
        <v>0</v>
      </c>
      <c r="I9" s="1830">
        <f ca="1">-MIN('Tesorería 0'!I35,0)</f>
        <v>0</v>
      </c>
      <c r="J9" s="1830">
        <f ca="1">-MIN('Tesorería 0'!J35,0)</f>
        <v>0</v>
      </c>
      <c r="K9" s="1830">
        <f ca="1">-MIN('Tesorería 0'!K35,0)</f>
        <v>0</v>
      </c>
      <c r="L9" s="1830">
        <f ca="1">-MIN('Tesorería 0'!L35,0)</f>
        <v>0</v>
      </c>
      <c r="M9" s="1830">
        <f ca="1">-MIN('Tesorería 0'!M35,0)</f>
        <v>0</v>
      </c>
      <c r="N9" s="1831">
        <f ca="1">-MIN('Tesorería 0'!N35,0)</f>
        <v>0</v>
      </c>
      <c r="O9" s="1838">
        <f ca="1">AVERAGE(C9:N9)</f>
        <v>0</v>
      </c>
    </row>
    <row r="10" spans="1:15" ht="12" customHeight="1" thickBot="1">
      <c r="A10" s="1167"/>
      <c r="B10" s="263"/>
      <c r="C10" s="264"/>
      <c r="D10" s="265"/>
      <c r="E10" s="265"/>
      <c r="F10" s="265"/>
      <c r="G10" s="265"/>
      <c r="H10" s="265"/>
      <c r="I10" s="265"/>
      <c r="J10" s="265"/>
      <c r="K10" s="265"/>
      <c r="L10" s="265"/>
      <c r="M10" s="265"/>
      <c r="N10" s="266"/>
      <c r="O10" s="1832"/>
    </row>
    <row r="11" spans="1:15" ht="14.25" customHeight="1" thickBot="1">
      <c r="A11" s="1167"/>
      <c r="B11" s="1840" t="s">
        <v>718</v>
      </c>
      <c r="C11" s="2253">
        <f>(COLUMN(C$6)-2)</f>
        <v>1</v>
      </c>
      <c r="D11" s="2253">
        <f t="shared" ref="D11:N11" si="0">(COLUMN(D$6)-2)</f>
        <v>2</v>
      </c>
      <c r="E11" s="2253">
        <f t="shared" si="0"/>
        <v>3</v>
      </c>
      <c r="F11" s="2253">
        <f t="shared" si="0"/>
        <v>4</v>
      </c>
      <c r="G11" s="2253">
        <f t="shared" si="0"/>
        <v>5</v>
      </c>
      <c r="H11" s="2253">
        <f t="shared" si="0"/>
        <v>6</v>
      </c>
      <c r="I11" s="2253">
        <f t="shared" si="0"/>
        <v>7</v>
      </c>
      <c r="J11" s="2253">
        <f t="shared" si="0"/>
        <v>8</v>
      </c>
      <c r="K11" s="2253">
        <f t="shared" si="0"/>
        <v>9</v>
      </c>
      <c r="L11" s="2253">
        <f t="shared" si="0"/>
        <v>10</v>
      </c>
      <c r="M11" s="2253">
        <f t="shared" si="0"/>
        <v>11</v>
      </c>
      <c r="N11" s="2253">
        <f t="shared" si="0"/>
        <v>12</v>
      </c>
      <c r="O11" s="1840" t="s">
        <v>15</v>
      </c>
    </row>
    <row r="12" spans="1:15">
      <c r="A12" s="315" t="s">
        <v>127</v>
      </c>
      <c r="B12" s="2895">
        <f>+Financiación!D51</f>
        <v>7.0000000000000007E-2</v>
      </c>
      <c r="C12" s="1169">
        <f t="array" ref="C12:N12">IF(C$11:N$11&lt;mes0,0,$B12/12*B7:M7+IF(C$11:N$11=mes0,Financiación!$D$50*Financiación!D49))</f>
        <v>0</v>
      </c>
      <c r="D12" s="611">
        <f ca="1"/>
        <v>0</v>
      </c>
      <c r="E12" s="611">
        <f ca="1"/>
        <v>0</v>
      </c>
      <c r="F12" s="611">
        <f ca="1"/>
        <v>0</v>
      </c>
      <c r="G12" s="611">
        <f ca="1"/>
        <v>0</v>
      </c>
      <c r="H12" s="611">
        <f ca="1"/>
        <v>0</v>
      </c>
      <c r="I12" s="611">
        <f ca="1"/>
        <v>0</v>
      </c>
      <c r="J12" s="611">
        <f ca="1"/>
        <v>0</v>
      </c>
      <c r="K12" s="611">
        <f ca="1"/>
        <v>0</v>
      </c>
      <c r="L12" s="611">
        <f ca="1"/>
        <v>0</v>
      </c>
      <c r="M12" s="611">
        <f ca="1"/>
        <v>0</v>
      </c>
      <c r="N12" s="612">
        <f ca="1"/>
        <v>0</v>
      </c>
      <c r="O12" s="614">
        <f t="shared" ref="O12:O18" ca="1" si="1">SUM(C12:N12)</f>
        <v>0</v>
      </c>
    </row>
    <row r="13" spans="1:15">
      <c r="A13" s="1818" t="s">
        <v>712</v>
      </c>
      <c r="B13" s="2896">
        <f>+Financiación!$D$52</f>
        <v>0.02</v>
      </c>
      <c r="C13" s="1820">
        <f t="array" ref="C13:N14">IF(C$11:N$11&lt;mes0,0,$B13:$B14/12*B8:M9)</f>
        <v>0</v>
      </c>
      <c r="D13" s="1821">
        <f ca="1"/>
        <v>0</v>
      </c>
      <c r="E13" s="1821">
        <f ca="1"/>
        <v>0</v>
      </c>
      <c r="F13" s="1821">
        <f ca="1"/>
        <v>0</v>
      </c>
      <c r="G13" s="1821">
        <f ca="1"/>
        <v>0</v>
      </c>
      <c r="H13" s="1821">
        <f ca="1"/>
        <v>0</v>
      </c>
      <c r="I13" s="1821">
        <f ca="1"/>
        <v>0</v>
      </c>
      <c r="J13" s="1821">
        <f ca="1"/>
        <v>0</v>
      </c>
      <c r="K13" s="1821">
        <f ca="1"/>
        <v>0</v>
      </c>
      <c r="L13" s="1821">
        <f ca="1"/>
        <v>0</v>
      </c>
      <c r="M13" s="1821">
        <f ca="1"/>
        <v>0</v>
      </c>
      <c r="N13" s="1822">
        <f ca="1"/>
        <v>0</v>
      </c>
      <c r="O13" s="1823">
        <f t="shared" ca="1" si="1"/>
        <v>0</v>
      </c>
    </row>
    <row r="14" spans="1:15">
      <c r="A14" s="1818" t="s">
        <v>713</v>
      </c>
      <c r="B14" s="2896">
        <f>Parametros!$C$6</f>
        <v>0</v>
      </c>
      <c r="C14" s="1820">
        <f ca="1"/>
        <v>0</v>
      </c>
      <c r="D14" s="1821">
        <f ca="1"/>
        <v>0</v>
      </c>
      <c r="E14" s="1821">
        <f ca="1"/>
        <v>0</v>
      </c>
      <c r="F14" s="1821">
        <f ca="1"/>
        <v>0</v>
      </c>
      <c r="G14" s="1821">
        <f ca="1"/>
        <v>0</v>
      </c>
      <c r="H14" s="1821">
        <f ca="1"/>
        <v>0</v>
      </c>
      <c r="I14" s="1821">
        <f ca="1"/>
        <v>0</v>
      </c>
      <c r="J14" s="1821">
        <f ca="1"/>
        <v>0</v>
      </c>
      <c r="K14" s="1821">
        <f ca="1"/>
        <v>0</v>
      </c>
      <c r="L14" s="1821">
        <f ca="1"/>
        <v>0</v>
      </c>
      <c r="M14" s="1821">
        <f ca="1"/>
        <v>0</v>
      </c>
      <c r="N14" s="1822">
        <f ca="1"/>
        <v>0</v>
      </c>
      <c r="O14" s="1823">
        <f t="shared" ca="1" si="1"/>
        <v>0</v>
      </c>
    </row>
    <row r="15" spans="1:15">
      <c r="A15" s="316" t="s">
        <v>654</v>
      </c>
      <c r="B15" s="2897"/>
      <c r="C15" s="1168">
        <f t="array" ref="C15:N15">+Renting!B21:M21</f>
        <v>0</v>
      </c>
      <c r="D15" s="889">
        <v>0</v>
      </c>
      <c r="E15" s="889">
        <v>0</v>
      </c>
      <c r="F15" s="889">
        <v>0</v>
      </c>
      <c r="G15" s="889">
        <v>0</v>
      </c>
      <c r="H15" s="889">
        <v>0</v>
      </c>
      <c r="I15" s="889">
        <v>0</v>
      </c>
      <c r="J15" s="889">
        <v>0</v>
      </c>
      <c r="K15" s="889">
        <v>0</v>
      </c>
      <c r="L15" s="889">
        <v>0</v>
      </c>
      <c r="M15" s="889">
        <v>0</v>
      </c>
      <c r="N15" s="890">
        <v>0</v>
      </c>
      <c r="O15" s="615">
        <f t="shared" si="1"/>
        <v>0</v>
      </c>
    </row>
    <row r="16" spans="1:15">
      <c r="A16" s="1745" t="s">
        <v>655</v>
      </c>
      <c r="B16" s="2898"/>
      <c r="C16" s="1746">
        <f t="array" ref="C16:N16">Leasing!B22:M22</f>
        <v>0</v>
      </c>
      <c r="D16" s="1747">
        <v>0</v>
      </c>
      <c r="E16" s="1747">
        <v>0</v>
      </c>
      <c r="F16" s="1747">
        <v>0</v>
      </c>
      <c r="G16" s="1747">
        <v>0</v>
      </c>
      <c r="H16" s="1747">
        <v>0</v>
      </c>
      <c r="I16" s="1747">
        <v>0</v>
      </c>
      <c r="J16" s="1747">
        <v>0</v>
      </c>
      <c r="K16" s="1747">
        <v>0</v>
      </c>
      <c r="L16" s="1747">
        <v>0</v>
      </c>
      <c r="M16" s="1747">
        <v>0</v>
      </c>
      <c r="N16" s="1748">
        <v>0</v>
      </c>
      <c r="O16" s="615">
        <f t="shared" si="1"/>
        <v>0</v>
      </c>
    </row>
    <row r="17" spans="1:15">
      <c r="A17" s="316" t="s">
        <v>79</v>
      </c>
      <c r="B17" s="2897"/>
      <c r="C17" s="1168">
        <f t="array" ref="C17:N17">Préstamos!B23:M23</f>
        <v>0</v>
      </c>
      <c r="D17" s="889">
        <v>0</v>
      </c>
      <c r="E17" s="889">
        <v>0</v>
      </c>
      <c r="F17" s="889">
        <v>0</v>
      </c>
      <c r="G17" s="889">
        <v>0</v>
      </c>
      <c r="H17" s="889">
        <v>0</v>
      </c>
      <c r="I17" s="889">
        <v>0</v>
      </c>
      <c r="J17" s="889">
        <v>0</v>
      </c>
      <c r="K17" s="889">
        <v>0</v>
      </c>
      <c r="L17" s="889">
        <v>0</v>
      </c>
      <c r="M17" s="889">
        <v>0</v>
      </c>
      <c r="N17" s="2887">
        <v>0</v>
      </c>
      <c r="O17" s="615">
        <f t="shared" si="1"/>
        <v>0</v>
      </c>
    </row>
    <row r="18" spans="1:15" ht="15.75" thickBot="1">
      <c r="A18" s="2882" t="s">
        <v>1119</v>
      </c>
      <c r="B18" s="2894">
        <f>Parametros!$H$14</f>
        <v>0.05</v>
      </c>
      <c r="C18" s="2883">
        <f t="array" aca="1" ref="C18:N18" ca="1">$B18*'Cobros y pagos 0'!$B$28:$M$28</f>
        <v>105.875</v>
      </c>
      <c r="D18" s="2884">
        <f ca="1"/>
        <v>113.17395833333333</v>
      </c>
      <c r="E18" s="2884">
        <f ca="1"/>
        <v>124.32291666666669</v>
      </c>
      <c r="F18" s="2884">
        <f ca="1"/>
        <v>130.65937500000001</v>
      </c>
      <c r="G18" s="2884">
        <f ca="1"/>
        <v>127.37083333333331</v>
      </c>
      <c r="H18" s="2884">
        <f ca="1"/>
        <v>127.93229166666666</v>
      </c>
      <c r="I18" s="2884">
        <f ca="1"/>
        <v>126.56875000000001</v>
      </c>
      <c r="J18" s="2884">
        <f ca="1"/>
        <v>103.06770833333333</v>
      </c>
      <c r="K18" s="2884">
        <f ca="1"/>
        <v>133.46666666666667</v>
      </c>
      <c r="L18" s="2884">
        <f ca="1"/>
        <v>162.90312499999999</v>
      </c>
      <c r="M18" s="2884">
        <f ca="1"/>
        <v>178.86458333333331</v>
      </c>
      <c r="N18" s="2885">
        <f ca="1"/>
        <v>228.51354166666667</v>
      </c>
      <c r="O18" s="2886">
        <f t="shared" ca="1" si="1"/>
        <v>1662.71875</v>
      </c>
    </row>
    <row r="19" spans="1:15" ht="15.75" thickBot="1">
      <c r="A19" s="260"/>
      <c r="B19" s="261" t="s">
        <v>727</v>
      </c>
      <c r="C19" s="1163">
        <f t="shared" ref="C19:O19" ca="1" si="2">SUM(C12:C18)</f>
        <v>105.875</v>
      </c>
      <c r="D19" s="1164">
        <f t="shared" ca="1" si="2"/>
        <v>113.17395833333333</v>
      </c>
      <c r="E19" s="1164">
        <f t="shared" ca="1" si="2"/>
        <v>124.32291666666669</v>
      </c>
      <c r="F19" s="1164">
        <f t="shared" ca="1" si="2"/>
        <v>130.65937500000001</v>
      </c>
      <c r="G19" s="1164">
        <f t="shared" ca="1" si="2"/>
        <v>127.37083333333331</v>
      </c>
      <c r="H19" s="1164">
        <f t="shared" ca="1" si="2"/>
        <v>127.93229166666666</v>
      </c>
      <c r="I19" s="1164">
        <f t="shared" ca="1" si="2"/>
        <v>126.56875000000001</v>
      </c>
      <c r="J19" s="1164">
        <f t="shared" ca="1" si="2"/>
        <v>103.06770833333333</v>
      </c>
      <c r="K19" s="1164">
        <f t="shared" ca="1" si="2"/>
        <v>133.46666666666667</v>
      </c>
      <c r="L19" s="1164">
        <f t="shared" ca="1" si="2"/>
        <v>162.90312499999999</v>
      </c>
      <c r="M19" s="1164">
        <f t="shared" ca="1" si="2"/>
        <v>178.86458333333331</v>
      </c>
      <c r="N19" s="1165">
        <f t="shared" ca="1" si="2"/>
        <v>228.51354166666667</v>
      </c>
      <c r="O19" s="613">
        <f t="shared" ca="1" si="2"/>
        <v>1662.71875</v>
      </c>
    </row>
    <row r="20" spans="1:15" ht="36.75" customHeight="1" thickBot="1"/>
    <row r="21" spans="1:15" ht="15.75" thickBot="1">
      <c r="A21" s="1166" t="str">
        <f>CONCATENATE("Gastos Financieros Año ",'Datos Básicos'!C18)</f>
        <v>Gastos Financieros Año 1</v>
      </c>
      <c r="B21" s="262" t="str">
        <f>$B$6</f>
        <v>previos</v>
      </c>
      <c r="C21" s="427" t="str">
        <f t="array" ref="C21:N21">meses</f>
        <v>enero</v>
      </c>
      <c r="D21" s="158" t="str">
        <v>febrero</v>
      </c>
      <c r="E21" s="158" t="str">
        <v>marzo</v>
      </c>
      <c r="F21" s="158" t="str">
        <v>abril</v>
      </c>
      <c r="G21" s="158" t="str">
        <v>mayo</v>
      </c>
      <c r="H21" s="158" t="str">
        <v>junio</v>
      </c>
      <c r="I21" s="158" t="str">
        <v>julio</v>
      </c>
      <c r="J21" s="158" t="str">
        <v>agosto</v>
      </c>
      <c r="K21" s="158" t="str">
        <v>septiembre</v>
      </c>
      <c r="L21" s="158" t="str">
        <v>octubre</v>
      </c>
      <c r="M21" s="158" t="str">
        <v>noviembre</v>
      </c>
      <c r="N21" s="159" t="str">
        <v>diciembre</v>
      </c>
      <c r="O21" s="103" t="str">
        <f>$O$6</f>
        <v>Media anual</v>
      </c>
    </row>
    <row r="22" spans="1:15" s="259" customFormat="1">
      <c r="A22" s="2469" t="str">
        <f t="array" ref="A22:A24">A$7:A$9</f>
        <v>Diposicones póliza crédito</v>
      </c>
      <c r="B22" s="1824">
        <f t="array" ref="B22:N22" ca="1">'Tesorería 1'!B33:N33</f>
        <v>0</v>
      </c>
      <c r="C22" s="1825">
        <f ca="1"/>
        <v>0</v>
      </c>
      <c r="D22" s="1826">
        <f ca="1"/>
        <v>0</v>
      </c>
      <c r="E22" s="1826">
        <f ca="1"/>
        <v>0</v>
      </c>
      <c r="F22" s="1826">
        <f ca="1"/>
        <v>0</v>
      </c>
      <c r="G22" s="1826">
        <f ca="1"/>
        <v>0</v>
      </c>
      <c r="H22" s="1826">
        <f ca="1"/>
        <v>0</v>
      </c>
      <c r="I22" s="1826">
        <f ca="1"/>
        <v>0</v>
      </c>
      <c r="J22" s="1826">
        <f ca="1"/>
        <v>0</v>
      </c>
      <c r="K22" s="1826">
        <f ca="1"/>
        <v>0</v>
      </c>
      <c r="L22" s="1826">
        <f ca="1"/>
        <v>0</v>
      </c>
      <c r="M22" s="1826">
        <f ca="1"/>
        <v>0</v>
      </c>
      <c r="N22" s="1827">
        <f ca="1"/>
        <v>0</v>
      </c>
      <c r="O22" s="1837">
        <f ca="1">AVERAGE(C22:N22)</f>
        <v>0</v>
      </c>
    </row>
    <row r="23" spans="1:15">
      <c r="A23" s="2470" t="str">
        <v>Remanentes póliza crédito</v>
      </c>
      <c r="B23" s="1836">
        <f t="array" ref="B23:N23" ca="1">Financiación!$D$49-B22:N22</f>
        <v>0</v>
      </c>
      <c r="C23" s="1833">
        <f ca="1"/>
        <v>0</v>
      </c>
      <c r="D23" s="1834">
        <f ca="1"/>
        <v>0</v>
      </c>
      <c r="E23" s="1834">
        <f ca="1"/>
        <v>0</v>
      </c>
      <c r="F23" s="1834">
        <f ca="1"/>
        <v>0</v>
      </c>
      <c r="G23" s="1834">
        <f ca="1"/>
        <v>0</v>
      </c>
      <c r="H23" s="1834">
        <f ca="1"/>
        <v>0</v>
      </c>
      <c r="I23" s="1834">
        <f ca="1"/>
        <v>0</v>
      </c>
      <c r="J23" s="1834">
        <f ca="1"/>
        <v>0</v>
      </c>
      <c r="K23" s="1834">
        <f ca="1"/>
        <v>0</v>
      </c>
      <c r="L23" s="1834">
        <f ca="1"/>
        <v>0</v>
      </c>
      <c r="M23" s="1834">
        <f ca="1"/>
        <v>0</v>
      </c>
      <c r="N23" s="1835">
        <f ca="1"/>
        <v>0</v>
      </c>
      <c r="O23" s="615">
        <f ca="1">AVERAGE(C23:N23)</f>
        <v>0</v>
      </c>
    </row>
    <row r="24" spans="1:15" s="259" customFormat="1" ht="15.75" thickBot="1">
      <c r="A24" s="2471" t="str">
        <v>Descubiertos de tesorería</v>
      </c>
      <c r="B24" s="1828">
        <f ca="1">-MIN('Tesorería 1'!B35,0)</f>
        <v>0</v>
      </c>
      <c r="C24" s="1829">
        <f ca="1">-MIN('Tesorería 1'!C35,0)</f>
        <v>0</v>
      </c>
      <c r="D24" s="1830">
        <f ca="1">-MIN('Tesorería 1'!D35,0)</f>
        <v>0</v>
      </c>
      <c r="E24" s="1830">
        <f ca="1">-MIN('Tesorería 1'!E35,0)</f>
        <v>0</v>
      </c>
      <c r="F24" s="1830">
        <f ca="1">-MIN('Tesorería 1'!F35,0)</f>
        <v>0</v>
      </c>
      <c r="G24" s="1830">
        <f ca="1">-MIN('Tesorería 1'!G35,0)</f>
        <v>0</v>
      </c>
      <c r="H24" s="1830">
        <f ca="1">-MIN('Tesorería 1'!H35,0)</f>
        <v>0</v>
      </c>
      <c r="I24" s="1830">
        <f ca="1">-MIN('Tesorería 1'!I35,0)</f>
        <v>0</v>
      </c>
      <c r="J24" s="1830">
        <f ca="1">-MIN('Tesorería 1'!J35,0)</f>
        <v>0</v>
      </c>
      <c r="K24" s="1830">
        <f ca="1">-MIN('Tesorería 1'!K35,0)</f>
        <v>0</v>
      </c>
      <c r="L24" s="1830">
        <f ca="1">-MIN('Tesorería 1'!L35,0)</f>
        <v>0</v>
      </c>
      <c r="M24" s="1830">
        <f ca="1">-MIN('Tesorería 1'!M35,0)</f>
        <v>0</v>
      </c>
      <c r="N24" s="1831">
        <f ca="1">-MIN('Tesorería 1'!N35,0)</f>
        <v>0</v>
      </c>
      <c r="O24" s="1838">
        <f ca="1">AVERAGE(C24:N24)</f>
        <v>0</v>
      </c>
    </row>
    <row r="25" spans="1:15" ht="12" customHeight="1" thickBot="1">
      <c r="A25" s="1167"/>
      <c r="B25" s="263"/>
      <c r="C25" s="264"/>
      <c r="D25" s="265"/>
      <c r="E25" s="265"/>
      <c r="F25" s="265"/>
      <c r="G25" s="265"/>
      <c r="H25" s="265"/>
      <c r="I25" s="265"/>
      <c r="J25" s="265"/>
      <c r="K25" s="265"/>
      <c r="L25" s="265"/>
      <c r="M25" s="265"/>
      <c r="N25" s="266"/>
      <c r="O25" s="263"/>
    </row>
    <row r="26" spans="1:15" ht="14.25" customHeight="1" thickBot="1">
      <c r="A26" s="1167"/>
      <c r="B26" s="1840" t="str">
        <f>$B$11</f>
        <v>tipos</v>
      </c>
      <c r="C26" s="264"/>
      <c r="D26" s="265"/>
      <c r="E26" s="265"/>
      <c r="F26" s="265"/>
      <c r="G26" s="265"/>
      <c r="H26" s="265"/>
      <c r="I26" s="265"/>
      <c r="J26" s="265"/>
      <c r="K26" s="265"/>
      <c r="L26" s="265"/>
      <c r="M26" s="265"/>
      <c r="N26" s="266"/>
      <c r="O26" s="1840" t="str">
        <f>$O$11</f>
        <v>Totales</v>
      </c>
    </row>
    <row r="27" spans="1:15">
      <c r="A27" s="315" t="str">
        <f t="array" ref="A27:A33">A$12:A$18</f>
        <v>Intereses póliza de crédito</v>
      </c>
      <c r="B27" s="1170">
        <f>+Financiación!E51</f>
        <v>7.0000000000000007E-2</v>
      </c>
      <c r="C27" s="1169">
        <f t="array" ref="C27:N27" ca="1">$B27/12*B22:M22+IF(C$11:N$11=1,Financiación!$E$50*Financiación!E49)</f>
        <v>0</v>
      </c>
      <c r="D27" s="611">
        <f ca="1"/>
        <v>0</v>
      </c>
      <c r="E27" s="611">
        <f ca="1"/>
        <v>0</v>
      </c>
      <c r="F27" s="611">
        <f ca="1"/>
        <v>0</v>
      </c>
      <c r="G27" s="611">
        <f ca="1"/>
        <v>0</v>
      </c>
      <c r="H27" s="611">
        <f ca="1"/>
        <v>0</v>
      </c>
      <c r="I27" s="611">
        <f ca="1"/>
        <v>0</v>
      </c>
      <c r="J27" s="611">
        <f ca="1"/>
        <v>0</v>
      </c>
      <c r="K27" s="611">
        <f ca="1"/>
        <v>0</v>
      </c>
      <c r="L27" s="611">
        <f ca="1"/>
        <v>0</v>
      </c>
      <c r="M27" s="611">
        <f ca="1"/>
        <v>0</v>
      </c>
      <c r="N27" s="612">
        <f ca="1"/>
        <v>0</v>
      </c>
      <c r="O27" s="614">
        <f t="shared" ref="O27:O33" ca="1" si="3">SUM(C27:N27)</f>
        <v>0</v>
      </c>
    </row>
    <row r="28" spans="1:15">
      <c r="A28" s="1818" t="str">
        <v>Intereses póliza no dispuesta</v>
      </c>
      <c r="B28" s="1819">
        <f>+Financiación!$E$52</f>
        <v>0.02</v>
      </c>
      <c r="C28" s="1820">
        <f t="array" ref="C28:N29" ca="1">$B28:$B29/12*B23:M24</f>
        <v>0</v>
      </c>
      <c r="D28" s="1821">
        <f ca="1"/>
        <v>0</v>
      </c>
      <c r="E28" s="1821">
        <f ca="1"/>
        <v>0</v>
      </c>
      <c r="F28" s="1821">
        <f ca="1"/>
        <v>0</v>
      </c>
      <c r="G28" s="1821">
        <f ca="1"/>
        <v>0</v>
      </c>
      <c r="H28" s="1821">
        <f ca="1"/>
        <v>0</v>
      </c>
      <c r="I28" s="1821">
        <f ca="1"/>
        <v>0</v>
      </c>
      <c r="J28" s="1821">
        <f ca="1"/>
        <v>0</v>
      </c>
      <c r="K28" s="1821">
        <f ca="1"/>
        <v>0</v>
      </c>
      <c r="L28" s="1821">
        <f ca="1"/>
        <v>0</v>
      </c>
      <c r="M28" s="1821">
        <f ca="1"/>
        <v>0</v>
      </c>
      <c r="N28" s="1822">
        <f ca="1"/>
        <v>0</v>
      </c>
      <c r="O28" s="1823">
        <f t="shared" ca="1" si="3"/>
        <v>0</v>
      </c>
    </row>
    <row r="29" spans="1:15">
      <c r="A29" s="1818" t="str">
        <v>Intereses por descubierto en cc.</v>
      </c>
      <c r="B29" s="1819">
        <f>B14</f>
        <v>0</v>
      </c>
      <c r="C29" s="1820">
        <f ca="1"/>
        <v>0</v>
      </c>
      <c r="D29" s="1821">
        <f ca="1"/>
        <v>0</v>
      </c>
      <c r="E29" s="1821">
        <f ca="1"/>
        <v>0</v>
      </c>
      <c r="F29" s="1821">
        <f ca="1"/>
        <v>0</v>
      </c>
      <c r="G29" s="1821">
        <f ca="1"/>
        <v>0</v>
      </c>
      <c r="H29" s="1821">
        <f ca="1"/>
        <v>0</v>
      </c>
      <c r="I29" s="1821">
        <f ca="1"/>
        <v>0</v>
      </c>
      <c r="J29" s="1821">
        <f ca="1"/>
        <v>0</v>
      </c>
      <c r="K29" s="1821">
        <f ca="1"/>
        <v>0</v>
      </c>
      <c r="L29" s="1821">
        <f ca="1"/>
        <v>0</v>
      </c>
      <c r="M29" s="1821">
        <f ca="1"/>
        <v>0</v>
      </c>
      <c r="N29" s="1822">
        <f ca="1"/>
        <v>0</v>
      </c>
      <c r="O29" s="1823">
        <f t="shared" ca="1" si="3"/>
        <v>0</v>
      </c>
    </row>
    <row r="30" spans="1:15">
      <c r="A30" s="316" t="str">
        <v>Arrendamientos por Renting</v>
      </c>
      <c r="B30" s="1171"/>
      <c r="C30" s="1168">
        <f t="array" ref="C30:N30">+Renting!B28:M28</f>
        <v>0</v>
      </c>
      <c r="D30" s="889">
        <v>0</v>
      </c>
      <c r="E30" s="889">
        <v>0</v>
      </c>
      <c r="F30" s="889">
        <v>0</v>
      </c>
      <c r="G30" s="889">
        <v>0</v>
      </c>
      <c r="H30" s="889">
        <v>0</v>
      </c>
      <c r="I30" s="889">
        <v>0</v>
      </c>
      <c r="J30" s="889">
        <v>0</v>
      </c>
      <c r="K30" s="889">
        <v>0</v>
      </c>
      <c r="L30" s="889">
        <v>0</v>
      </c>
      <c r="M30" s="889">
        <v>0</v>
      </c>
      <c r="N30" s="890">
        <v>0</v>
      </c>
      <c r="O30" s="615">
        <f t="shared" si="3"/>
        <v>0</v>
      </c>
    </row>
    <row r="31" spans="1:15">
      <c r="A31" s="1745" t="str">
        <v>Intereses de Leasing</v>
      </c>
      <c r="B31" s="1723"/>
      <c r="C31" s="1746">
        <f t="array" ref="C31:N31">Leasing!B29:M29</f>
        <v>0</v>
      </c>
      <c r="D31" s="1747">
        <v>0</v>
      </c>
      <c r="E31" s="1747">
        <v>0</v>
      </c>
      <c r="F31" s="1747">
        <v>0</v>
      </c>
      <c r="G31" s="1747">
        <v>0</v>
      </c>
      <c r="H31" s="1747">
        <v>0</v>
      </c>
      <c r="I31" s="1747">
        <v>0</v>
      </c>
      <c r="J31" s="1747">
        <v>0</v>
      </c>
      <c r="K31" s="1747">
        <v>0</v>
      </c>
      <c r="L31" s="1747">
        <v>0</v>
      </c>
      <c r="M31" s="1747">
        <v>0</v>
      </c>
      <c r="N31" s="1748">
        <v>0</v>
      </c>
      <c r="O31" s="615">
        <f t="shared" si="3"/>
        <v>0</v>
      </c>
    </row>
    <row r="32" spans="1:15">
      <c r="A32" s="316" t="str">
        <v>Intereses del préstamo</v>
      </c>
      <c r="B32" s="2888"/>
      <c r="C32" s="1168">
        <f t="array" ref="C32:N32">Préstamos!B30:M30</f>
        <v>0</v>
      </c>
      <c r="D32" s="889">
        <v>0</v>
      </c>
      <c r="E32" s="889">
        <v>0</v>
      </c>
      <c r="F32" s="889">
        <v>0</v>
      </c>
      <c r="G32" s="889">
        <v>0</v>
      </c>
      <c r="H32" s="889">
        <v>0</v>
      </c>
      <c r="I32" s="889">
        <v>0</v>
      </c>
      <c r="J32" s="889">
        <v>0</v>
      </c>
      <c r="K32" s="889">
        <v>0</v>
      </c>
      <c r="L32" s="889">
        <v>0</v>
      </c>
      <c r="M32" s="889">
        <v>0</v>
      </c>
      <c r="N32" s="890">
        <v>0</v>
      </c>
      <c r="O32" s="2889">
        <f t="shared" si="3"/>
        <v>0</v>
      </c>
    </row>
    <row r="33" spans="1:15" ht="15.75" thickBot="1">
      <c r="A33" s="2882" t="str">
        <v>Gastos de cobro de ventas</v>
      </c>
      <c r="B33" s="2894">
        <f>Parametros!$H$14</f>
        <v>0.05</v>
      </c>
      <c r="C33" s="2883">
        <f t="array" aca="1" ref="C33:N33" ca="1">$B33*'Cobros y pagos 1'!$B$28:$M$28</f>
        <v>169.4</v>
      </c>
      <c r="D33" s="2884">
        <f ca="1"/>
        <v>211.75</v>
      </c>
      <c r="E33" s="2884">
        <f ca="1"/>
        <v>232.92500000000001</v>
      </c>
      <c r="F33" s="2884">
        <f ca="1"/>
        <v>222.33750000000001</v>
      </c>
      <c r="G33" s="2884">
        <f ca="1"/>
        <v>190.57500000000002</v>
      </c>
      <c r="H33" s="2884">
        <f ca="1"/>
        <v>179.98750000000001</v>
      </c>
      <c r="I33" s="2884">
        <f ca="1"/>
        <v>169.4</v>
      </c>
      <c r="J33" s="2884">
        <f ca="1"/>
        <v>127.05000000000001</v>
      </c>
      <c r="K33" s="2884">
        <f ca="1"/>
        <v>169.4</v>
      </c>
      <c r="L33" s="2884">
        <f ca="1"/>
        <v>201.16250000000002</v>
      </c>
      <c r="M33" s="2884">
        <f ca="1"/>
        <v>211.75</v>
      </c>
      <c r="N33" s="2885">
        <f ca="1"/>
        <v>254.10000000000002</v>
      </c>
      <c r="O33" s="2886">
        <f t="shared" ca="1" si="3"/>
        <v>2339.8375000000001</v>
      </c>
    </row>
    <row r="34" spans="1:15" ht="15.75" thickBot="1">
      <c r="A34" s="260"/>
      <c r="B34" s="261" t="str">
        <f>$B$19</f>
        <v xml:space="preserve">Totales mensuales  </v>
      </c>
      <c r="C34" s="1163">
        <f t="shared" ref="C34:O34" ca="1" si="4">SUM(C27:C33)</f>
        <v>169.4</v>
      </c>
      <c r="D34" s="1164">
        <f t="shared" ca="1" si="4"/>
        <v>211.75</v>
      </c>
      <c r="E34" s="1164">
        <f t="shared" ca="1" si="4"/>
        <v>232.92500000000001</v>
      </c>
      <c r="F34" s="1164">
        <f t="shared" ca="1" si="4"/>
        <v>222.33750000000001</v>
      </c>
      <c r="G34" s="1164">
        <f t="shared" ca="1" si="4"/>
        <v>190.57500000000002</v>
      </c>
      <c r="H34" s="1164">
        <f t="shared" ca="1" si="4"/>
        <v>179.98750000000001</v>
      </c>
      <c r="I34" s="1164">
        <f t="shared" ca="1" si="4"/>
        <v>169.4</v>
      </c>
      <c r="J34" s="1164">
        <f t="shared" ca="1" si="4"/>
        <v>127.05000000000001</v>
      </c>
      <c r="K34" s="1164">
        <f t="shared" ca="1" si="4"/>
        <v>169.4</v>
      </c>
      <c r="L34" s="1164">
        <f t="shared" ca="1" si="4"/>
        <v>201.16250000000002</v>
      </c>
      <c r="M34" s="1164">
        <f t="shared" ca="1" si="4"/>
        <v>211.75</v>
      </c>
      <c r="N34" s="1165">
        <f t="shared" ca="1" si="4"/>
        <v>254.10000000000002</v>
      </c>
      <c r="O34" s="613">
        <f t="shared" ca="1" si="4"/>
        <v>2339.8375000000001</v>
      </c>
    </row>
    <row r="35" spans="1:15" ht="36.75" customHeight="1" thickBot="1">
      <c r="B35" s="257"/>
      <c r="C35" s="232"/>
      <c r="D35" s="232"/>
      <c r="E35" s="232"/>
      <c r="F35" s="232"/>
      <c r="G35" s="232"/>
      <c r="H35" s="232"/>
      <c r="I35" s="232"/>
      <c r="J35" s="232"/>
      <c r="K35" s="232"/>
      <c r="L35" s="232"/>
      <c r="M35" s="232"/>
      <c r="N35" s="232"/>
      <c r="O35" s="232"/>
    </row>
    <row r="36" spans="1:15" ht="15.75" thickBot="1">
      <c r="A36" s="1166" t="str">
        <f>CONCATENATE("Gastos Financieros Año ",'Datos Básicos'!D18)</f>
        <v>Gastos Financieros Año 2</v>
      </c>
      <c r="B36" s="262" t="str">
        <f>$B$6</f>
        <v>previos</v>
      </c>
      <c r="C36" s="427" t="str">
        <f t="array" ref="C36:N36">meses</f>
        <v>enero</v>
      </c>
      <c r="D36" s="158" t="str">
        <v>febrero</v>
      </c>
      <c r="E36" s="158" t="str">
        <v>marzo</v>
      </c>
      <c r="F36" s="158" t="str">
        <v>abril</v>
      </c>
      <c r="G36" s="158" t="str">
        <v>mayo</v>
      </c>
      <c r="H36" s="158" t="str">
        <v>junio</v>
      </c>
      <c r="I36" s="158" t="str">
        <v>julio</v>
      </c>
      <c r="J36" s="158" t="str">
        <v>agosto</v>
      </c>
      <c r="K36" s="158" t="str">
        <v>septiembre</v>
      </c>
      <c r="L36" s="158" t="str">
        <v>octubre</v>
      </c>
      <c r="M36" s="158" t="str">
        <v>noviembre</v>
      </c>
      <c r="N36" s="159" t="str">
        <v>diciembre</v>
      </c>
      <c r="O36" s="103" t="str">
        <f>$O$6</f>
        <v>Media anual</v>
      </c>
    </row>
    <row r="37" spans="1:15" s="259" customFormat="1">
      <c r="A37" s="2469" t="str">
        <f t="array" ref="A37:A39">A$7:A$9</f>
        <v>Diposicones póliza crédito</v>
      </c>
      <c r="B37" s="1824">
        <f t="array" ref="B37:N37" ca="1">'Tesorería 2'!B33:N33</f>
        <v>0</v>
      </c>
      <c r="C37" s="1825">
        <f ca="1"/>
        <v>0</v>
      </c>
      <c r="D37" s="1826">
        <f ca="1"/>
        <v>0</v>
      </c>
      <c r="E37" s="1826">
        <f ca="1"/>
        <v>0</v>
      </c>
      <c r="F37" s="1826">
        <f ca="1"/>
        <v>0</v>
      </c>
      <c r="G37" s="1826">
        <f ca="1"/>
        <v>0</v>
      </c>
      <c r="H37" s="1826">
        <f ca="1"/>
        <v>0</v>
      </c>
      <c r="I37" s="1826">
        <f ca="1"/>
        <v>0</v>
      </c>
      <c r="J37" s="1826">
        <f ca="1"/>
        <v>0</v>
      </c>
      <c r="K37" s="1826">
        <f ca="1"/>
        <v>0</v>
      </c>
      <c r="L37" s="1826">
        <f ca="1"/>
        <v>0</v>
      </c>
      <c r="M37" s="1826">
        <f ca="1"/>
        <v>0</v>
      </c>
      <c r="N37" s="1827">
        <f ca="1"/>
        <v>0</v>
      </c>
      <c r="O37" s="1837">
        <f ca="1">AVERAGE(C37:N37)</f>
        <v>0</v>
      </c>
    </row>
    <row r="38" spans="1:15">
      <c r="A38" s="2470" t="str">
        <v>Remanentes póliza crédito</v>
      </c>
      <c r="B38" s="1836">
        <f t="array" ref="B38:N38" ca="1">Financiación!$E$49-B37:N37</f>
        <v>0</v>
      </c>
      <c r="C38" s="1833">
        <f ca="1"/>
        <v>0</v>
      </c>
      <c r="D38" s="1834">
        <f ca="1"/>
        <v>0</v>
      </c>
      <c r="E38" s="1834">
        <f ca="1"/>
        <v>0</v>
      </c>
      <c r="F38" s="1834">
        <f ca="1"/>
        <v>0</v>
      </c>
      <c r="G38" s="1834">
        <f ca="1"/>
        <v>0</v>
      </c>
      <c r="H38" s="1834">
        <f ca="1"/>
        <v>0</v>
      </c>
      <c r="I38" s="1834">
        <f ca="1"/>
        <v>0</v>
      </c>
      <c r="J38" s="1834">
        <f ca="1"/>
        <v>0</v>
      </c>
      <c r="K38" s="1834">
        <f ca="1"/>
        <v>0</v>
      </c>
      <c r="L38" s="1834">
        <f ca="1"/>
        <v>0</v>
      </c>
      <c r="M38" s="1834">
        <f ca="1"/>
        <v>0</v>
      </c>
      <c r="N38" s="1835">
        <f ca="1"/>
        <v>0</v>
      </c>
      <c r="O38" s="615">
        <f ca="1">AVERAGE(C38:N38)</f>
        <v>0</v>
      </c>
    </row>
    <row r="39" spans="1:15" s="259" customFormat="1" ht="15.75" thickBot="1">
      <c r="A39" s="2471" t="str">
        <v>Descubiertos de tesorería</v>
      </c>
      <c r="B39" s="1828">
        <f ca="1">-MIN('Tesorería 2'!B35,0)</f>
        <v>0</v>
      </c>
      <c r="C39" s="1829">
        <f ca="1">-MIN('Tesorería 2'!C35,0)</f>
        <v>0</v>
      </c>
      <c r="D39" s="1830">
        <f ca="1">-MIN('Tesorería 2'!D35,0)</f>
        <v>0</v>
      </c>
      <c r="E39" s="1830">
        <f ca="1">-MIN('Tesorería 2'!E35,0)</f>
        <v>0</v>
      </c>
      <c r="F39" s="1830">
        <f ca="1">-MIN('Tesorería 2'!F35,0)</f>
        <v>0</v>
      </c>
      <c r="G39" s="1830">
        <f ca="1">-MIN('Tesorería 2'!G35,0)</f>
        <v>0</v>
      </c>
      <c r="H39" s="1830">
        <f ca="1">-MIN('Tesorería 2'!H35,0)</f>
        <v>0</v>
      </c>
      <c r="I39" s="1830">
        <f ca="1">-MIN('Tesorería 2'!I35,0)</f>
        <v>0</v>
      </c>
      <c r="J39" s="1830">
        <f ca="1">-MIN('Tesorería 2'!J35,0)</f>
        <v>0</v>
      </c>
      <c r="K39" s="1830">
        <f ca="1">-MIN('Tesorería 2'!K35,0)</f>
        <v>0</v>
      </c>
      <c r="L39" s="1830">
        <f ca="1">-MIN('Tesorería 2'!L35,0)</f>
        <v>0</v>
      </c>
      <c r="M39" s="1830">
        <f ca="1">-MIN('Tesorería 2'!M35,0)</f>
        <v>0</v>
      </c>
      <c r="N39" s="1831">
        <f ca="1">-MIN('Tesorería 2'!N35,0)</f>
        <v>0</v>
      </c>
      <c r="O39" s="1838">
        <f ca="1">AVERAGE(C39:N39)</f>
        <v>0</v>
      </c>
    </row>
    <row r="40" spans="1:15" ht="12" customHeight="1" thickBot="1">
      <c r="A40" s="1167"/>
      <c r="B40" s="263"/>
      <c r="C40" s="264"/>
      <c r="D40" s="265"/>
      <c r="E40" s="265"/>
      <c r="F40" s="265"/>
      <c r="G40" s="265"/>
      <c r="H40" s="265"/>
      <c r="I40" s="265"/>
      <c r="J40" s="265"/>
      <c r="K40" s="265"/>
      <c r="L40" s="265"/>
      <c r="M40" s="265"/>
      <c r="N40" s="266"/>
      <c r="O40" s="263"/>
    </row>
    <row r="41" spans="1:15" ht="14.25" customHeight="1" thickBot="1">
      <c r="A41" s="1167"/>
      <c r="B41" s="1840" t="str">
        <f>$B$11</f>
        <v>tipos</v>
      </c>
      <c r="C41" s="264"/>
      <c r="D41" s="265"/>
      <c r="E41" s="265"/>
      <c r="F41" s="265"/>
      <c r="G41" s="265"/>
      <c r="H41" s="265"/>
      <c r="I41" s="265"/>
      <c r="J41" s="265"/>
      <c r="K41" s="265"/>
      <c r="L41" s="265"/>
      <c r="M41" s="265"/>
      <c r="N41" s="266"/>
      <c r="O41" s="1840" t="str">
        <f>$O$11</f>
        <v>Totales</v>
      </c>
    </row>
    <row r="42" spans="1:15">
      <c r="A42" s="315" t="str">
        <f t="array" ref="A42:A48">A$12:A$18</f>
        <v>Intereses póliza de crédito</v>
      </c>
      <c r="B42" s="1170">
        <f>+Financiación!F51</f>
        <v>7.0000000000000007E-2</v>
      </c>
      <c r="C42" s="1169">
        <f t="array" ref="C42:N42" ca="1">$B42/12*B37:M37+IF(C$11:N$11=1,Financiación!$F$50*Financiación!F49)</f>
        <v>0</v>
      </c>
      <c r="D42" s="611">
        <f ca="1"/>
        <v>0</v>
      </c>
      <c r="E42" s="611">
        <f ca="1"/>
        <v>0</v>
      </c>
      <c r="F42" s="611">
        <f ca="1"/>
        <v>0</v>
      </c>
      <c r="G42" s="611">
        <f ca="1"/>
        <v>0</v>
      </c>
      <c r="H42" s="611">
        <f ca="1"/>
        <v>0</v>
      </c>
      <c r="I42" s="611">
        <f ca="1"/>
        <v>0</v>
      </c>
      <c r="J42" s="611">
        <f ca="1"/>
        <v>0</v>
      </c>
      <c r="K42" s="611">
        <f ca="1"/>
        <v>0</v>
      </c>
      <c r="L42" s="611">
        <f ca="1"/>
        <v>0</v>
      </c>
      <c r="M42" s="611">
        <f ca="1"/>
        <v>0</v>
      </c>
      <c r="N42" s="612">
        <f ca="1"/>
        <v>0</v>
      </c>
      <c r="O42" s="614">
        <f t="shared" ref="O42:O48" ca="1" si="5">SUM(C42:N42)</f>
        <v>0</v>
      </c>
    </row>
    <row r="43" spans="1:15">
      <c r="A43" s="1818" t="str">
        <v>Intereses póliza no dispuesta</v>
      </c>
      <c r="B43" s="1819">
        <f>+Financiación!$F$52</f>
        <v>0.02</v>
      </c>
      <c r="C43" s="1820">
        <f t="array" ref="C43:N44" ca="1">$B43:$B44/12*B38:M39</f>
        <v>0</v>
      </c>
      <c r="D43" s="1821">
        <f ca="1"/>
        <v>0</v>
      </c>
      <c r="E43" s="1821">
        <f ca="1"/>
        <v>0</v>
      </c>
      <c r="F43" s="1821">
        <f ca="1"/>
        <v>0</v>
      </c>
      <c r="G43" s="1821">
        <f ca="1"/>
        <v>0</v>
      </c>
      <c r="H43" s="1821">
        <f ca="1"/>
        <v>0</v>
      </c>
      <c r="I43" s="1821">
        <f ca="1"/>
        <v>0</v>
      </c>
      <c r="J43" s="1821">
        <f ca="1"/>
        <v>0</v>
      </c>
      <c r="K43" s="1821">
        <f ca="1"/>
        <v>0</v>
      </c>
      <c r="L43" s="1821">
        <f ca="1"/>
        <v>0</v>
      </c>
      <c r="M43" s="1821">
        <f ca="1"/>
        <v>0</v>
      </c>
      <c r="N43" s="1822">
        <f ca="1"/>
        <v>0</v>
      </c>
      <c r="O43" s="1823">
        <f t="shared" ca="1" si="5"/>
        <v>0</v>
      </c>
    </row>
    <row r="44" spans="1:15">
      <c r="A44" s="1818" t="str">
        <v>Intereses por descubierto en cc.</v>
      </c>
      <c r="B44" s="1819">
        <f>B29</f>
        <v>0</v>
      </c>
      <c r="C44" s="1820">
        <f ca="1"/>
        <v>0</v>
      </c>
      <c r="D44" s="1821">
        <f ca="1"/>
        <v>0</v>
      </c>
      <c r="E44" s="1821">
        <f ca="1"/>
        <v>0</v>
      </c>
      <c r="F44" s="1821">
        <f ca="1"/>
        <v>0</v>
      </c>
      <c r="G44" s="1821">
        <f ca="1"/>
        <v>0</v>
      </c>
      <c r="H44" s="1821">
        <f ca="1"/>
        <v>0</v>
      </c>
      <c r="I44" s="1821">
        <f ca="1"/>
        <v>0</v>
      </c>
      <c r="J44" s="1821">
        <f ca="1"/>
        <v>0</v>
      </c>
      <c r="K44" s="1821">
        <f ca="1"/>
        <v>0</v>
      </c>
      <c r="L44" s="1821">
        <f ca="1"/>
        <v>0</v>
      </c>
      <c r="M44" s="1821">
        <f ca="1"/>
        <v>0</v>
      </c>
      <c r="N44" s="1822">
        <f ca="1"/>
        <v>0</v>
      </c>
      <c r="O44" s="1823">
        <f t="shared" ca="1" si="5"/>
        <v>0</v>
      </c>
    </row>
    <row r="45" spans="1:15">
      <c r="A45" s="316" t="str">
        <v>Arrendamientos por Renting</v>
      </c>
      <c r="B45" s="1171"/>
      <c r="C45" s="1168">
        <f t="array" ref="C45:N45">+Renting!B35:M35</f>
        <v>0</v>
      </c>
      <c r="D45" s="889">
        <v>0</v>
      </c>
      <c r="E45" s="889">
        <v>0</v>
      </c>
      <c r="F45" s="889">
        <v>0</v>
      </c>
      <c r="G45" s="889">
        <v>0</v>
      </c>
      <c r="H45" s="889">
        <v>0</v>
      </c>
      <c r="I45" s="889">
        <v>0</v>
      </c>
      <c r="J45" s="889">
        <v>0</v>
      </c>
      <c r="K45" s="889">
        <v>0</v>
      </c>
      <c r="L45" s="889">
        <v>0</v>
      </c>
      <c r="M45" s="889">
        <v>0</v>
      </c>
      <c r="N45" s="890">
        <v>0</v>
      </c>
      <c r="O45" s="615">
        <f t="shared" si="5"/>
        <v>0</v>
      </c>
    </row>
    <row r="46" spans="1:15">
      <c r="A46" s="1745" t="str">
        <v>Intereses de Leasing</v>
      </c>
      <c r="B46" s="1723"/>
      <c r="C46" s="1746">
        <f t="array" ref="C46:N46">Leasing!B37:M37</f>
        <v>0</v>
      </c>
      <c r="D46" s="1747">
        <v>0</v>
      </c>
      <c r="E46" s="1747">
        <v>0</v>
      </c>
      <c r="F46" s="1747">
        <v>0</v>
      </c>
      <c r="G46" s="1747">
        <v>0</v>
      </c>
      <c r="H46" s="1747">
        <v>0</v>
      </c>
      <c r="I46" s="1747">
        <v>0</v>
      </c>
      <c r="J46" s="1747">
        <v>0</v>
      </c>
      <c r="K46" s="1747">
        <v>0</v>
      </c>
      <c r="L46" s="1747">
        <v>0</v>
      </c>
      <c r="M46" s="1747">
        <v>0</v>
      </c>
      <c r="N46" s="1748">
        <v>0</v>
      </c>
      <c r="O46" s="615">
        <f t="shared" si="5"/>
        <v>0</v>
      </c>
    </row>
    <row r="47" spans="1:15">
      <c r="A47" s="316" t="str">
        <v>Intereses del préstamo</v>
      </c>
      <c r="B47" s="2888"/>
      <c r="C47" s="1168">
        <f t="array" ref="C47:N47">Préstamos!B38:M38</f>
        <v>0</v>
      </c>
      <c r="D47" s="889">
        <v>0</v>
      </c>
      <c r="E47" s="889">
        <v>0</v>
      </c>
      <c r="F47" s="889">
        <v>0</v>
      </c>
      <c r="G47" s="889">
        <v>0</v>
      </c>
      <c r="H47" s="889">
        <v>0</v>
      </c>
      <c r="I47" s="889">
        <v>0</v>
      </c>
      <c r="J47" s="889">
        <v>0</v>
      </c>
      <c r="K47" s="889">
        <v>0</v>
      </c>
      <c r="L47" s="889">
        <v>0</v>
      </c>
      <c r="M47" s="889">
        <v>0</v>
      </c>
      <c r="N47" s="890">
        <v>0</v>
      </c>
      <c r="O47" s="2889">
        <f t="shared" si="5"/>
        <v>0</v>
      </c>
    </row>
    <row r="48" spans="1:15" ht="15.75" thickBot="1">
      <c r="A48" s="2882" t="str">
        <v>Gastos de cobro de ventas</v>
      </c>
      <c r="B48" s="2894">
        <f>Parametros!$H$14</f>
        <v>0.05</v>
      </c>
      <c r="C48" s="2883">
        <f t="array" aca="1" ref="C48:N48" ca="1">$B48*'Cobros y pagos 2'!$B$28:$M$28</f>
        <v>174.482</v>
      </c>
      <c r="D48" s="2884">
        <f ca="1"/>
        <v>218.10250000000002</v>
      </c>
      <c r="E48" s="2884">
        <f ca="1"/>
        <v>239.91275000000002</v>
      </c>
      <c r="F48" s="2884">
        <f ca="1"/>
        <v>229.00762500000002</v>
      </c>
      <c r="G48" s="2884">
        <f ca="1"/>
        <v>196.29225</v>
      </c>
      <c r="H48" s="2884">
        <f ca="1"/>
        <v>185.387125</v>
      </c>
      <c r="I48" s="2884">
        <f ca="1"/>
        <v>174.482</v>
      </c>
      <c r="J48" s="2884">
        <f ca="1"/>
        <v>130.86150000000001</v>
      </c>
      <c r="K48" s="2884">
        <f ca="1"/>
        <v>174.482</v>
      </c>
      <c r="L48" s="2884">
        <f ca="1"/>
        <v>207.19737500000002</v>
      </c>
      <c r="M48" s="2884">
        <f ca="1"/>
        <v>218.10250000000002</v>
      </c>
      <c r="N48" s="2885">
        <f ca="1"/>
        <v>261.72300000000001</v>
      </c>
      <c r="O48" s="2899">
        <f t="shared" ca="1" si="5"/>
        <v>2410.0326249999998</v>
      </c>
    </row>
    <row r="49" spans="1:15" ht="15.75" thickBot="1">
      <c r="A49" s="260"/>
      <c r="B49" s="261" t="str">
        <f>$B$19</f>
        <v xml:space="preserve">Totales mensuales  </v>
      </c>
      <c r="C49" s="1163">
        <f t="shared" ref="C49:O49" ca="1" si="6">SUM(C42:C48)</f>
        <v>174.482</v>
      </c>
      <c r="D49" s="1164">
        <f t="shared" ca="1" si="6"/>
        <v>218.10250000000002</v>
      </c>
      <c r="E49" s="1164">
        <f t="shared" ca="1" si="6"/>
        <v>239.91275000000002</v>
      </c>
      <c r="F49" s="1164">
        <f t="shared" ca="1" si="6"/>
        <v>229.00762500000002</v>
      </c>
      <c r="G49" s="1164">
        <f t="shared" ca="1" si="6"/>
        <v>196.29225</v>
      </c>
      <c r="H49" s="1164">
        <f t="shared" ca="1" si="6"/>
        <v>185.387125</v>
      </c>
      <c r="I49" s="1164">
        <f t="shared" ca="1" si="6"/>
        <v>174.482</v>
      </c>
      <c r="J49" s="1164">
        <f t="shared" ca="1" si="6"/>
        <v>130.86150000000001</v>
      </c>
      <c r="K49" s="1164">
        <f t="shared" ca="1" si="6"/>
        <v>174.482</v>
      </c>
      <c r="L49" s="1164">
        <f t="shared" ca="1" si="6"/>
        <v>207.19737500000002</v>
      </c>
      <c r="M49" s="1164">
        <f t="shared" ca="1" si="6"/>
        <v>218.10250000000002</v>
      </c>
      <c r="N49" s="1165">
        <f t="shared" ca="1" si="6"/>
        <v>261.72300000000001</v>
      </c>
      <c r="O49" s="613">
        <f t="shared" ca="1" si="6"/>
        <v>2410.0326249999998</v>
      </c>
    </row>
    <row r="50" spans="1:15" ht="36.75" customHeight="1" thickBot="1"/>
    <row r="51" spans="1:15" ht="15.75" thickBot="1">
      <c r="A51" s="1166" t="str">
        <f>CONCATENATE("Gastos Financieros Año ",'Datos Básicos'!E18)</f>
        <v>Gastos Financieros Año 3</v>
      </c>
      <c r="B51" s="262" t="str">
        <f>$B$6</f>
        <v>previos</v>
      </c>
      <c r="C51" s="427" t="str">
        <f t="array" ref="C51:N51">meses</f>
        <v>enero</v>
      </c>
      <c r="D51" s="158" t="str">
        <v>febrero</v>
      </c>
      <c r="E51" s="158" t="str">
        <v>marzo</v>
      </c>
      <c r="F51" s="158" t="str">
        <v>abril</v>
      </c>
      <c r="G51" s="158" t="str">
        <v>mayo</v>
      </c>
      <c r="H51" s="158" t="str">
        <v>junio</v>
      </c>
      <c r="I51" s="158" t="str">
        <v>julio</v>
      </c>
      <c r="J51" s="158" t="str">
        <v>agosto</v>
      </c>
      <c r="K51" s="158" t="str">
        <v>septiembre</v>
      </c>
      <c r="L51" s="158" t="str">
        <v>octubre</v>
      </c>
      <c r="M51" s="158" t="str">
        <v>noviembre</v>
      </c>
      <c r="N51" s="159" t="str">
        <v>diciembre</v>
      </c>
      <c r="O51" s="103" t="str">
        <f>$O$6</f>
        <v>Media anual</v>
      </c>
    </row>
    <row r="52" spans="1:15" s="259" customFormat="1">
      <c r="A52" s="2469" t="str">
        <f t="array" ref="A52:A54">A$7:A$9</f>
        <v>Diposicones póliza crédito</v>
      </c>
      <c r="B52" s="1824">
        <f t="array" ref="B52:N52" ca="1">'Tesorería 3'!B33:N33</f>
        <v>0</v>
      </c>
      <c r="C52" s="1825">
        <f ca="1"/>
        <v>0</v>
      </c>
      <c r="D52" s="1826">
        <f ca="1"/>
        <v>0</v>
      </c>
      <c r="E52" s="1826">
        <f ca="1"/>
        <v>0</v>
      </c>
      <c r="F52" s="1826">
        <f ca="1"/>
        <v>0</v>
      </c>
      <c r="G52" s="1826">
        <f ca="1"/>
        <v>0</v>
      </c>
      <c r="H52" s="1826">
        <f ca="1"/>
        <v>0</v>
      </c>
      <c r="I52" s="1826">
        <f ca="1"/>
        <v>0</v>
      </c>
      <c r="J52" s="1826">
        <f ca="1"/>
        <v>0</v>
      </c>
      <c r="K52" s="1826">
        <f ca="1"/>
        <v>0</v>
      </c>
      <c r="L52" s="1826">
        <f ca="1"/>
        <v>0</v>
      </c>
      <c r="M52" s="1826">
        <f ca="1"/>
        <v>0</v>
      </c>
      <c r="N52" s="1827">
        <f ca="1"/>
        <v>0</v>
      </c>
      <c r="O52" s="1837">
        <f ca="1">AVERAGE(C52:N52)</f>
        <v>0</v>
      </c>
    </row>
    <row r="53" spans="1:15">
      <c r="A53" s="2470" t="str">
        <v>Remanentes póliza crédito</v>
      </c>
      <c r="B53" s="1836">
        <f t="array" ref="B53:N53" ca="1">Financiación!$F$49-B52:N52</f>
        <v>0</v>
      </c>
      <c r="C53" s="1833">
        <f ca="1"/>
        <v>0</v>
      </c>
      <c r="D53" s="1834">
        <f ca="1"/>
        <v>0</v>
      </c>
      <c r="E53" s="1834">
        <f ca="1"/>
        <v>0</v>
      </c>
      <c r="F53" s="1834">
        <f ca="1"/>
        <v>0</v>
      </c>
      <c r="G53" s="1834">
        <f ca="1"/>
        <v>0</v>
      </c>
      <c r="H53" s="1834">
        <f ca="1"/>
        <v>0</v>
      </c>
      <c r="I53" s="1834">
        <f ca="1"/>
        <v>0</v>
      </c>
      <c r="J53" s="1834">
        <f ca="1"/>
        <v>0</v>
      </c>
      <c r="K53" s="1834">
        <f ca="1"/>
        <v>0</v>
      </c>
      <c r="L53" s="1834">
        <f ca="1"/>
        <v>0</v>
      </c>
      <c r="M53" s="1834">
        <f ca="1"/>
        <v>0</v>
      </c>
      <c r="N53" s="1835">
        <f ca="1"/>
        <v>0</v>
      </c>
      <c r="O53" s="615">
        <f ca="1">AVERAGE(C53:N53)</f>
        <v>0</v>
      </c>
    </row>
    <row r="54" spans="1:15" s="259" customFormat="1" ht="15.75" thickBot="1">
      <c r="A54" s="2471" t="str">
        <v>Descubiertos de tesorería</v>
      </c>
      <c r="B54" s="1828">
        <f ca="1">-MIN('Tesorería 3'!B35,0)</f>
        <v>0</v>
      </c>
      <c r="C54" s="1829">
        <f ca="1">-MIN('Tesorería 3'!C35,0)</f>
        <v>0</v>
      </c>
      <c r="D54" s="1830">
        <f ca="1">-MIN('Tesorería 3'!D35,0)</f>
        <v>0</v>
      </c>
      <c r="E54" s="1830">
        <f ca="1">-MIN('Tesorería 3'!E35,0)</f>
        <v>0</v>
      </c>
      <c r="F54" s="1830">
        <f ca="1">-MIN('Tesorería 3'!F35,0)</f>
        <v>0</v>
      </c>
      <c r="G54" s="1830">
        <f ca="1">-MIN('Tesorería 3'!G35,0)</f>
        <v>0</v>
      </c>
      <c r="H54" s="1830">
        <f ca="1">-MIN('Tesorería 3'!H35,0)</f>
        <v>0</v>
      </c>
      <c r="I54" s="1830">
        <f ca="1">-MIN('Tesorería 3'!I35,0)</f>
        <v>0</v>
      </c>
      <c r="J54" s="1830">
        <f ca="1">-MIN('Tesorería 3'!J35,0)</f>
        <v>0</v>
      </c>
      <c r="K54" s="1830">
        <f ca="1">-MIN('Tesorería 3'!K35,0)</f>
        <v>0</v>
      </c>
      <c r="L54" s="1830">
        <f ca="1">-MIN('Tesorería 3'!L35,0)</f>
        <v>0</v>
      </c>
      <c r="M54" s="1830">
        <f ca="1">-MIN('Tesorería 3'!M35,0)</f>
        <v>0</v>
      </c>
      <c r="N54" s="1831">
        <f ca="1">-MIN('Tesorería 3'!N35,0)</f>
        <v>0</v>
      </c>
      <c r="O54" s="1838">
        <f ca="1">AVERAGE(C54:N54)</f>
        <v>0</v>
      </c>
    </row>
    <row r="55" spans="1:15" ht="12" customHeight="1" thickBot="1">
      <c r="A55" s="1167"/>
      <c r="B55" s="263"/>
      <c r="C55" s="264"/>
      <c r="D55" s="265"/>
      <c r="E55" s="265"/>
      <c r="F55" s="265"/>
      <c r="G55" s="265"/>
      <c r="H55" s="265"/>
      <c r="I55" s="265"/>
      <c r="J55" s="265"/>
      <c r="K55" s="265"/>
      <c r="L55" s="265"/>
      <c r="M55" s="265"/>
      <c r="N55" s="266"/>
      <c r="O55" s="263"/>
    </row>
    <row r="56" spans="1:15" ht="14.25" customHeight="1" thickBot="1">
      <c r="A56" s="1167"/>
      <c r="B56" s="1840" t="str">
        <f>$B$11</f>
        <v>tipos</v>
      </c>
      <c r="C56" s="264"/>
      <c r="D56" s="265"/>
      <c r="E56" s="265"/>
      <c r="F56" s="265"/>
      <c r="G56" s="265"/>
      <c r="H56" s="265"/>
      <c r="I56" s="265"/>
      <c r="J56" s="265"/>
      <c r="K56" s="265"/>
      <c r="L56" s="265"/>
      <c r="M56" s="265"/>
      <c r="N56" s="266"/>
      <c r="O56" s="1840" t="str">
        <f>$O$11</f>
        <v>Totales</v>
      </c>
    </row>
    <row r="57" spans="1:15">
      <c r="A57" s="315" t="str">
        <f t="array" ref="A57:A63">A$12:A$18</f>
        <v>Intereses póliza de crédito</v>
      </c>
      <c r="B57" s="1170">
        <f>+Financiación!G51</f>
        <v>7.0000000000000007E-2</v>
      </c>
      <c r="C57" s="1169">
        <f t="array" ref="C57:N57" ca="1">$B57/12*B52:M52+IF(C$11:N$11=1,Financiación!$G$50*Financiación!G49)</f>
        <v>0</v>
      </c>
      <c r="D57" s="611">
        <f ca="1"/>
        <v>0</v>
      </c>
      <c r="E57" s="611">
        <f ca="1"/>
        <v>0</v>
      </c>
      <c r="F57" s="611">
        <f ca="1"/>
        <v>0</v>
      </c>
      <c r="G57" s="611">
        <f ca="1"/>
        <v>0</v>
      </c>
      <c r="H57" s="611">
        <f ca="1"/>
        <v>0</v>
      </c>
      <c r="I57" s="611">
        <f ca="1"/>
        <v>0</v>
      </c>
      <c r="J57" s="611">
        <f ca="1"/>
        <v>0</v>
      </c>
      <c r="K57" s="611">
        <f ca="1"/>
        <v>0</v>
      </c>
      <c r="L57" s="611">
        <f ca="1"/>
        <v>0</v>
      </c>
      <c r="M57" s="611">
        <f ca="1"/>
        <v>0</v>
      </c>
      <c r="N57" s="612">
        <f ca="1"/>
        <v>0</v>
      </c>
      <c r="O57" s="614">
        <f t="shared" ref="O57:O63" ca="1" si="7">SUM(C57:N57)</f>
        <v>0</v>
      </c>
    </row>
    <row r="58" spans="1:15">
      <c r="A58" s="1818" t="str">
        <v>Intereses póliza no dispuesta</v>
      </c>
      <c r="B58" s="1819">
        <f>+Financiación!$G$52</f>
        <v>0.02</v>
      </c>
      <c r="C58" s="1820">
        <f t="array" ref="C58:N59" ca="1">$B58:$B59/12*B53:M54</f>
        <v>0</v>
      </c>
      <c r="D58" s="1821">
        <f ca="1"/>
        <v>0</v>
      </c>
      <c r="E58" s="1821">
        <f ca="1"/>
        <v>0</v>
      </c>
      <c r="F58" s="1821">
        <f ca="1"/>
        <v>0</v>
      </c>
      <c r="G58" s="1821">
        <f ca="1"/>
        <v>0</v>
      </c>
      <c r="H58" s="1821">
        <f ca="1"/>
        <v>0</v>
      </c>
      <c r="I58" s="1821">
        <f ca="1"/>
        <v>0</v>
      </c>
      <c r="J58" s="1821">
        <f ca="1"/>
        <v>0</v>
      </c>
      <c r="K58" s="1821">
        <f ca="1"/>
        <v>0</v>
      </c>
      <c r="L58" s="1821">
        <f ca="1"/>
        <v>0</v>
      </c>
      <c r="M58" s="1821">
        <f ca="1"/>
        <v>0</v>
      </c>
      <c r="N58" s="1822">
        <f ca="1"/>
        <v>0</v>
      </c>
      <c r="O58" s="1823">
        <f t="shared" ca="1" si="7"/>
        <v>0</v>
      </c>
    </row>
    <row r="59" spans="1:15">
      <c r="A59" s="1818" t="str">
        <v>Intereses por descubierto en cc.</v>
      </c>
      <c r="B59" s="1819">
        <f>B44</f>
        <v>0</v>
      </c>
      <c r="C59" s="1820">
        <f ca="1"/>
        <v>0</v>
      </c>
      <c r="D59" s="1821">
        <f ca="1"/>
        <v>0</v>
      </c>
      <c r="E59" s="1821">
        <f ca="1"/>
        <v>0</v>
      </c>
      <c r="F59" s="1821">
        <f ca="1"/>
        <v>0</v>
      </c>
      <c r="G59" s="1821">
        <f ca="1"/>
        <v>0</v>
      </c>
      <c r="H59" s="1821">
        <f ca="1"/>
        <v>0</v>
      </c>
      <c r="I59" s="1821">
        <f ca="1"/>
        <v>0</v>
      </c>
      <c r="J59" s="1821">
        <f ca="1"/>
        <v>0</v>
      </c>
      <c r="K59" s="1821">
        <f ca="1"/>
        <v>0</v>
      </c>
      <c r="L59" s="1821">
        <f ca="1"/>
        <v>0</v>
      </c>
      <c r="M59" s="1821">
        <f ca="1"/>
        <v>0</v>
      </c>
      <c r="N59" s="1822">
        <f ca="1"/>
        <v>0</v>
      </c>
      <c r="O59" s="1823">
        <f t="shared" ca="1" si="7"/>
        <v>0</v>
      </c>
    </row>
    <row r="60" spans="1:15">
      <c r="A60" s="316" t="str">
        <v>Arrendamientos por Renting</v>
      </c>
      <c r="B60" s="1171"/>
      <c r="C60" s="1168">
        <f t="array" ref="C60:N60">+Renting!B42:M42</f>
        <v>0</v>
      </c>
      <c r="D60" s="889">
        <v>0</v>
      </c>
      <c r="E60" s="889">
        <v>0</v>
      </c>
      <c r="F60" s="889">
        <v>0</v>
      </c>
      <c r="G60" s="889">
        <v>0</v>
      </c>
      <c r="H60" s="889">
        <v>0</v>
      </c>
      <c r="I60" s="889">
        <v>0</v>
      </c>
      <c r="J60" s="889">
        <v>0</v>
      </c>
      <c r="K60" s="889">
        <v>0</v>
      </c>
      <c r="L60" s="889">
        <v>0</v>
      </c>
      <c r="M60" s="889">
        <v>0</v>
      </c>
      <c r="N60" s="890">
        <v>0</v>
      </c>
      <c r="O60" s="615">
        <f t="shared" si="7"/>
        <v>0</v>
      </c>
    </row>
    <row r="61" spans="1:15">
      <c r="A61" s="1745" t="str">
        <v>Intereses de Leasing</v>
      </c>
      <c r="B61" s="1723"/>
      <c r="C61" s="1746">
        <f t="array" ref="C61:N61">Leasing!B45:M45</f>
        <v>0</v>
      </c>
      <c r="D61" s="1747">
        <v>0</v>
      </c>
      <c r="E61" s="1747">
        <v>0</v>
      </c>
      <c r="F61" s="1747">
        <v>0</v>
      </c>
      <c r="G61" s="1747">
        <v>0</v>
      </c>
      <c r="H61" s="1747">
        <v>0</v>
      </c>
      <c r="I61" s="1747">
        <v>0</v>
      </c>
      <c r="J61" s="1747">
        <v>0</v>
      </c>
      <c r="K61" s="1747">
        <v>0</v>
      </c>
      <c r="L61" s="1747">
        <v>0</v>
      </c>
      <c r="M61" s="1747">
        <v>0</v>
      </c>
      <c r="N61" s="1748">
        <v>0</v>
      </c>
      <c r="O61" s="615">
        <f t="shared" si="7"/>
        <v>0</v>
      </c>
    </row>
    <row r="62" spans="1:15">
      <c r="A62" s="316" t="str">
        <v>Intereses del préstamo</v>
      </c>
      <c r="B62" s="2888"/>
      <c r="C62" s="1168">
        <f t="array" ref="C62:N62">Préstamos!B46:M46</f>
        <v>0</v>
      </c>
      <c r="D62" s="889">
        <v>0</v>
      </c>
      <c r="E62" s="889">
        <v>0</v>
      </c>
      <c r="F62" s="889">
        <v>0</v>
      </c>
      <c r="G62" s="889">
        <v>0</v>
      </c>
      <c r="H62" s="889">
        <v>0</v>
      </c>
      <c r="I62" s="889">
        <v>0</v>
      </c>
      <c r="J62" s="889">
        <v>0</v>
      </c>
      <c r="K62" s="889">
        <v>0</v>
      </c>
      <c r="L62" s="889">
        <v>0</v>
      </c>
      <c r="M62" s="889">
        <v>0</v>
      </c>
      <c r="N62" s="890">
        <v>0</v>
      </c>
      <c r="O62" s="2889">
        <f t="shared" si="7"/>
        <v>0</v>
      </c>
    </row>
    <row r="63" spans="1:15" ht="15.75" thickBot="1">
      <c r="A63" s="2882" t="str">
        <v>Gastos de cobro de ventas</v>
      </c>
      <c r="B63" s="2894">
        <f>Parametros!$H$14</f>
        <v>0.05</v>
      </c>
      <c r="C63" s="2883">
        <f t="array" aca="1" ref="C63:N63" ca="1">$B63*'Cobros y pagos 3'!$B$28:$M$28</f>
        <v>179.71645999999998</v>
      </c>
      <c r="D63" s="2884">
        <f ca="1"/>
        <v>224.64557500000001</v>
      </c>
      <c r="E63" s="2884">
        <f ca="1"/>
        <v>247.11013250000002</v>
      </c>
      <c r="F63" s="2884">
        <f ca="1"/>
        <v>235.87785374999999</v>
      </c>
      <c r="G63" s="2884">
        <f ca="1"/>
        <v>202.18101750000002</v>
      </c>
      <c r="H63" s="2884">
        <f ca="1"/>
        <v>190.94873874999999</v>
      </c>
      <c r="I63" s="2884">
        <f ca="1"/>
        <v>179.71645999999998</v>
      </c>
      <c r="J63" s="2884">
        <f ca="1"/>
        <v>134.78734499999999</v>
      </c>
      <c r="K63" s="2884">
        <f ca="1"/>
        <v>179.71645999999998</v>
      </c>
      <c r="L63" s="2884">
        <f ca="1"/>
        <v>213.41329625000003</v>
      </c>
      <c r="M63" s="2884">
        <f ca="1"/>
        <v>224.64557500000001</v>
      </c>
      <c r="N63" s="2885">
        <f ca="1"/>
        <v>269.57468999999998</v>
      </c>
      <c r="O63" s="2899">
        <f t="shared" ca="1" si="7"/>
        <v>2482.3336037499998</v>
      </c>
    </row>
    <row r="64" spans="1:15" ht="15.75" thickBot="1">
      <c r="A64" s="260"/>
      <c r="B64" s="261" t="str">
        <f>$B$19</f>
        <v xml:space="preserve">Totales mensuales  </v>
      </c>
      <c r="C64" s="1163">
        <f t="shared" ref="C64:O64" ca="1" si="8">SUM(C57:C63)</f>
        <v>179.71645999999998</v>
      </c>
      <c r="D64" s="1164">
        <f t="shared" ca="1" si="8"/>
        <v>224.64557500000001</v>
      </c>
      <c r="E64" s="1164">
        <f t="shared" ca="1" si="8"/>
        <v>247.11013250000002</v>
      </c>
      <c r="F64" s="1164">
        <f t="shared" ca="1" si="8"/>
        <v>235.87785374999999</v>
      </c>
      <c r="G64" s="1164">
        <f t="shared" ca="1" si="8"/>
        <v>202.18101750000002</v>
      </c>
      <c r="H64" s="1164">
        <f t="shared" ca="1" si="8"/>
        <v>190.94873874999999</v>
      </c>
      <c r="I64" s="1164">
        <f t="shared" ca="1" si="8"/>
        <v>179.71645999999998</v>
      </c>
      <c r="J64" s="1164">
        <f t="shared" ca="1" si="8"/>
        <v>134.78734499999999</v>
      </c>
      <c r="K64" s="1164">
        <f t="shared" ca="1" si="8"/>
        <v>179.71645999999998</v>
      </c>
      <c r="L64" s="1164">
        <f t="shared" ca="1" si="8"/>
        <v>213.41329625000003</v>
      </c>
      <c r="M64" s="1164">
        <f t="shared" ca="1" si="8"/>
        <v>224.64557500000001</v>
      </c>
      <c r="N64" s="1165">
        <f t="shared" ca="1" si="8"/>
        <v>269.57468999999998</v>
      </c>
      <c r="O64" s="613">
        <f t="shared" ca="1" si="8"/>
        <v>2482.3336037499998</v>
      </c>
    </row>
    <row r="65" spans="1:15" ht="36.75" customHeight="1" thickBot="1">
      <c r="B65" s="258"/>
      <c r="C65" s="232"/>
      <c r="D65" s="232"/>
      <c r="E65" s="232"/>
      <c r="F65" s="232"/>
      <c r="G65" s="232"/>
      <c r="H65" s="232"/>
      <c r="I65" s="232"/>
      <c r="J65" s="232"/>
      <c r="K65" s="232"/>
      <c r="L65" s="232"/>
      <c r="M65" s="232"/>
      <c r="N65" s="232"/>
      <c r="O65" s="232"/>
    </row>
    <row r="66" spans="1:15" ht="15.75" thickBot="1">
      <c r="A66" s="1166" t="str">
        <f>CONCATENATE("Gastos Financieros Año ",'Datos Básicos'!F18)</f>
        <v>Gastos Financieros Año 4</v>
      </c>
      <c r="B66" s="262" t="str">
        <f>$B$6</f>
        <v>previos</v>
      </c>
      <c r="C66" s="427" t="str">
        <f t="array" ref="C66:N66">meses</f>
        <v>enero</v>
      </c>
      <c r="D66" s="158" t="str">
        <v>febrero</v>
      </c>
      <c r="E66" s="158" t="str">
        <v>marzo</v>
      </c>
      <c r="F66" s="158" t="str">
        <v>abril</v>
      </c>
      <c r="G66" s="158" t="str">
        <v>mayo</v>
      </c>
      <c r="H66" s="158" t="str">
        <v>junio</v>
      </c>
      <c r="I66" s="158" t="str">
        <v>julio</v>
      </c>
      <c r="J66" s="158" t="str">
        <v>agosto</v>
      </c>
      <c r="K66" s="158" t="str">
        <v>septiembre</v>
      </c>
      <c r="L66" s="158" t="str">
        <v>octubre</v>
      </c>
      <c r="M66" s="158" t="str">
        <v>noviembre</v>
      </c>
      <c r="N66" s="159" t="str">
        <v>diciembre</v>
      </c>
      <c r="O66" s="103" t="str">
        <f>$O$6</f>
        <v>Media anual</v>
      </c>
    </row>
    <row r="67" spans="1:15" s="259" customFormat="1">
      <c r="A67" s="2469" t="str">
        <f t="array" ref="A67:A69">A$7:A$9</f>
        <v>Diposicones póliza crédito</v>
      </c>
      <c r="B67" s="1824">
        <f t="array" ref="B67:N67" ca="1">'Tesorería 4'!B33:N33</f>
        <v>0</v>
      </c>
      <c r="C67" s="1825">
        <f ca="1"/>
        <v>0</v>
      </c>
      <c r="D67" s="1826">
        <f ca="1"/>
        <v>0</v>
      </c>
      <c r="E67" s="1826">
        <f ca="1"/>
        <v>0</v>
      </c>
      <c r="F67" s="1826">
        <f ca="1"/>
        <v>0</v>
      </c>
      <c r="G67" s="1826">
        <f ca="1"/>
        <v>0</v>
      </c>
      <c r="H67" s="1826">
        <f ca="1"/>
        <v>0</v>
      </c>
      <c r="I67" s="1826">
        <f ca="1"/>
        <v>0</v>
      </c>
      <c r="J67" s="1826">
        <f ca="1"/>
        <v>0</v>
      </c>
      <c r="K67" s="1826">
        <f ca="1"/>
        <v>0</v>
      </c>
      <c r="L67" s="1826">
        <f ca="1"/>
        <v>0</v>
      </c>
      <c r="M67" s="1826">
        <f ca="1"/>
        <v>0</v>
      </c>
      <c r="N67" s="1827">
        <f ca="1"/>
        <v>0</v>
      </c>
      <c r="O67" s="1837">
        <f ca="1">AVERAGE(C67:N67)</f>
        <v>0</v>
      </c>
    </row>
    <row r="68" spans="1:15">
      <c r="A68" s="2470" t="str">
        <v>Remanentes póliza crédito</v>
      </c>
      <c r="B68" s="1836">
        <f t="array" ref="B68:N68" ca="1">Financiación!$G$49-B67:N67</f>
        <v>0</v>
      </c>
      <c r="C68" s="1833">
        <f ca="1"/>
        <v>0</v>
      </c>
      <c r="D68" s="1834">
        <f ca="1"/>
        <v>0</v>
      </c>
      <c r="E68" s="1834">
        <f ca="1"/>
        <v>0</v>
      </c>
      <c r="F68" s="1834">
        <f ca="1"/>
        <v>0</v>
      </c>
      <c r="G68" s="1834">
        <f ca="1"/>
        <v>0</v>
      </c>
      <c r="H68" s="1834">
        <f ca="1"/>
        <v>0</v>
      </c>
      <c r="I68" s="1834">
        <f ca="1"/>
        <v>0</v>
      </c>
      <c r="J68" s="1834">
        <f ca="1"/>
        <v>0</v>
      </c>
      <c r="K68" s="1834">
        <f ca="1"/>
        <v>0</v>
      </c>
      <c r="L68" s="1834">
        <f ca="1"/>
        <v>0</v>
      </c>
      <c r="M68" s="1834">
        <f ca="1"/>
        <v>0</v>
      </c>
      <c r="N68" s="1835">
        <f ca="1"/>
        <v>0</v>
      </c>
      <c r="O68" s="615">
        <f ca="1">AVERAGE(C68:N68)</f>
        <v>0</v>
      </c>
    </row>
    <row r="69" spans="1:15" s="259" customFormat="1" ht="15.75" thickBot="1">
      <c r="A69" s="2471" t="str">
        <v>Descubiertos de tesorería</v>
      </c>
      <c r="B69" s="1828">
        <f ca="1">-MIN('Tesorería 4'!B35,0)</f>
        <v>0</v>
      </c>
      <c r="C69" s="1829">
        <f ca="1">-MIN('Tesorería 4'!C35,0)</f>
        <v>0</v>
      </c>
      <c r="D69" s="1830">
        <f ca="1">-MIN('Tesorería 4'!D35,0)</f>
        <v>0</v>
      </c>
      <c r="E69" s="1830">
        <f ca="1">-MIN('Tesorería 4'!E35,0)</f>
        <v>0</v>
      </c>
      <c r="F69" s="1830">
        <f ca="1">-MIN('Tesorería 4'!F35,0)</f>
        <v>0</v>
      </c>
      <c r="G69" s="1830">
        <f ca="1">-MIN('Tesorería 4'!G35,0)</f>
        <v>0</v>
      </c>
      <c r="H69" s="1830">
        <f ca="1">-MIN('Tesorería 4'!H35,0)</f>
        <v>0</v>
      </c>
      <c r="I69" s="1830">
        <f ca="1">-MIN('Tesorería 4'!I35,0)</f>
        <v>0</v>
      </c>
      <c r="J69" s="1830">
        <f ca="1">-MIN('Tesorería 4'!J35,0)</f>
        <v>0</v>
      </c>
      <c r="K69" s="1830">
        <f ca="1">-MIN('Tesorería 4'!K35,0)</f>
        <v>0</v>
      </c>
      <c r="L69" s="1830">
        <f ca="1">-MIN('Tesorería 4'!L35,0)</f>
        <v>0</v>
      </c>
      <c r="M69" s="1830">
        <f ca="1">-MIN('Tesorería 4'!M35,0)</f>
        <v>0</v>
      </c>
      <c r="N69" s="1831">
        <f ca="1">-MIN('Tesorería 4'!N35,0)</f>
        <v>0</v>
      </c>
      <c r="O69" s="1838">
        <f ca="1">AVERAGE(C69:N69)</f>
        <v>0</v>
      </c>
    </row>
    <row r="70" spans="1:15" ht="12" customHeight="1" thickBot="1">
      <c r="A70" s="1167"/>
      <c r="B70" s="263"/>
      <c r="C70" s="264"/>
      <c r="D70" s="265"/>
      <c r="E70" s="265"/>
      <c r="F70" s="265"/>
      <c r="G70" s="265"/>
      <c r="H70" s="265"/>
      <c r="I70" s="265"/>
      <c r="J70" s="265"/>
      <c r="K70" s="265"/>
      <c r="L70" s="265"/>
      <c r="M70" s="265"/>
      <c r="N70" s="266"/>
      <c r="O70" s="263"/>
    </row>
    <row r="71" spans="1:15" ht="14.25" customHeight="1" thickBot="1">
      <c r="A71" s="1167"/>
      <c r="B71" s="1840" t="str">
        <f>$B$11</f>
        <v>tipos</v>
      </c>
      <c r="C71" s="264"/>
      <c r="D71" s="265"/>
      <c r="E71" s="265"/>
      <c r="F71" s="265"/>
      <c r="G71" s="265"/>
      <c r="H71" s="265"/>
      <c r="I71" s="265"/>
      <c r="J71" s="265"/>
      <c r="K71" s="265"/>
      <c r="L71" s="265"/>
      <c r="M71" s="265"/>
      <c r="N71" s="266"/>
      <c r="O71" s="1840" t="str">
        <f>$O$11</f>
        <v>Totales</v>
      </c>
    </row>
    <row r="72" spans="1:15">
      <c r="A72" s="315" t="str">
        <f t="array" ref="A72:A78">A$12:A$18</f>
        <v>Intereses póliza de crédito</v>
      </c>
      <c r="B72" s="1170">
        <f>+Financiación!H51</f>
        <v>7.0000000000000007E-2</v>
      </c>
      <c r="C72" s="1169">
        <f t="array" ref="C72:N72" ca="1">$B72/12*B67:M67+IF(C$11:N$11=1,Financiación!$H$50*Financiación!H49)</f>
        <v>0</v>
      </c>
      <c r="D72" s="611">
        <f ca="1"/>
        <v>0</v>
      </c>
      <c r="E72" s="611">
        <f ca="1"/>
        <v>0</v>
      </c>
      <c r="F72" s="611">
        <f ca="1"/>
        <v>0</v>
      </c>
      <c r="G72" s="611">
        <f ca="1"/>
        <v>0</v>
      </c>
      <c r="H72" s="611">
        <f ca="1"/>
        <v>0</v>
      </c>
      <c r="I72" s="611">
        <f ca="1"/>
        <v>0</v>
      </c>
      <c r="J72" s="611">
        <f ca="1"/>
        <v>0</v>
      </c>
      <c r="K72" s="611">
        <f ca="1"/>
        <v>0</v>
      </c>
      <c r="L72" s="611">
        <f ca="1"/>
        <v>0</v>
      </c>
      <c r="M72" s="611">
        <f ca="1"/>
        <v>0</v>
      </c>
      <c r="N72" s="612">
        <f ca="1"/>
        <v>0</v>
      </c>
      <c r="O72" s="614">
        <f t="shared" ref="O72:O78" ca="1" si="9">SUM(C72:N72)</f>
        <v>0</v>
      </c>
    </row>
    <row r="73" spans="1:15">
      <c r="A73" s="1818" t="str">
        <v>Intereses póliza no dispuesta</v>
      </c>
      <c r="B73" s="1819">
        <f>+Financiación!$H$52</f>
        <v>0.02</v>
      </c>
      <c r="C73" s="1820">
        <f t="array" ref="C73:N74" ca="1">$B73:$B74/12*B68:M69</f>
        <v>0</v>
      </c>
      <c r="D73" s="1821">
        <f ca="1"/>
        <v>0</v>
      </c>
      <c r="E73" s="1821">
        <f ca="1"/>
        <v>0</v>
      </c>
      <c r="F73" s="1821">
        <f ca="1"/>
        <v>0</v>
      </c>
      <c r="G73" s="1821">
        <f ca="1"/>
        <v>0</v>
      </c>
      <c r="H73" s="1821">
        <f ca="1"/>
        <v>0</v>
      </c>
      <c r="I73" s="1821">
        <f ca="1"/>
        <v>0</v>
      </c>
      <c r="J73" s="1821">
        <f ca="1"/>
        <v>0</v>
      </c>
      <c r="K73" s="1821">
        <f ca="1"/>
        <v>0</v>
      </c>
      <c r="L73" s="1821">
        <f ca="1"/>
        <v>0</v>
      </c>
      <c r="M73" s="1821">
        <f ca="1"/>
        <v>0</v>
      </c>
      <c r="N73" s="1822">
        <f ca="1"/>
        <v>0</v>
      </c>
      <c r="O73" s="1823">
        <f t="shared" ca="1" si="9"/>
        <v>0</v>
      </c>
    </row>
    <row r="74" spans="1:15">
      <c r="A74" s="1818" t="str">
        <v>Intereses por descubierto en cc.</v>
      </c>
      <c r="B74" s="1819">
        <f>B59</f>
        <v>0</v>
      </c>
      <c r="C74" s="1820">
        <f ca="1"/>
        <v>0</v>
      </c>
      <c r="D74" s="1821">
        <f ca="1"/>
        <v>0</v>
      </c>
      <c r="E74" s="1821">
        <f ca="1"/>
        <v>0</v>
      </c>
      <c r="F74" s="1821">
        <f ca="1"/>
        <v>0</v>
      </c>
      <c r="G74" s="1821">
        <f ca="1"/>
        <v>0</v>
      </c>
      <c r="H74" s="1821">
        <f ca="1"/>
        <v>0</v>
      </c>
      <c r="I74" s="1821">
        <f ca="1"/>
        <v>0</v>
      </c>
      <c r="J74" s="1821">
        <f ca="1"/>
        <v>0</v>
      </c>
      <c r="K74" s="1821">
        <f ca="1"/>
        <v>0</v>
      </c>
      <c r="L74" s="1821">
        <f ca="1"/>
        <v>0</v>
      </c>
      <c r="M74" s="1821">
        <f ca="1"/>
        <v>0</v>
      </c>
      <c r="N74" s="1822">
        <f ca="1"/>
        <v>0</v>
      </c>
      <c r="O74" s="1823">
        <f t="shared" ca="1" si="9"/>
        <v>0</v>
      </c>
    </row>
    <row r="75" spans="1:15">
      <c r="A75" s="316" t="str">
        <v>Arrendamientos por Renting</v>
      </c>
      <c r="B75" s="1171"/>
      <c r="C75" s="1168">
        <f t="array" ref="C75:N75">+Renting!B49:M49</f>
        <v>0</v>
      </c>
      <c r="D75" s="889">
        <v>0</v>
      </c>
      <c r="E75" s="889">
        <v>0</v>
      </c>
      <c r="F75" s="889">
        <v>0</v>
      </c>
      <c r="G75" s="889">
        <v>0</v>
      </c>
      <c r="H75" s="889">
        <v>0</v>
      </c>
      <c r="I75" s="889">
        <v>0</v>
      </c>
      <c r="J75" s="889">
        <v>0</v>
      </c>
      <c r="K75" s="889">
        <v>0</v>
      </c>
      <c r="L75" s="889">
        <v>0</v>
      </c>
      <c r="M75" s="889">
        <v>0</v>
      </c>
      <c r="N75" s="890">
        <v>0</v>
      </c>
      <c r="O75" s="615">
        <f t="shared" si="9"/>
        <v>0</v>
      </c>
    </row>
    <row r="76" spans="1:15">
      <c r="A76" s="1745" t="str">
        <v>Intereses de Leasing</v>
      </c>
      <c r="B76" s="1723"/>
      <c r="C76" s="1746">
        <f t="array" ref="C76:N76">Leasing!B53:M53</f>
        <v>0</v>
      </c>
      <c r="D76" s="1747">
        <v>0</v>
      </c>
      <c r="E76" s="1747">
        <v>0</v>
      </c>
      <c r="F76" s="1747">
        <v>0</v>
      </c>
      <c r="G76" s="1747">
        <v>0</v>
      </c>
      <c r="H76" s="1747">
        <v>0</v>
      </c>
      <c r="I76" s="1747">
        <v>0</v>
      </c>
      <c r="J76" s="1747">
        <v>0</v>
      </c>
      <c r="K76" s="1747">
        <v>0</v>
      </c>
      <c r="L76" s="1747">
        <v>0</v>
      </c>
      <c r="M76" s="1747">
        <v>0</v>
      </c>
      <c r="N76" s="1748">
        <v>0</v>
      </c>
      <c r="O76" s="615">
        <f t="shared" si="9"/>
        <v>0</v>
      </c>
    </row>
    <row r="77" spans="1:15">
      <c r="A77" s="316" t="str">
        <v>Intereses del préstamo</v>
      </c>
      <c r="B77" s="2888"/>
      <c r="C77" s="1168">
        <f t="array" ref="C77:N77">Préstamos!B54:M54</f>
        <v>0</v>
      </c>
      <c r="D77" s="889">
        <v>0</v>
      </c>
      <c r="E77" s="889">
        <v>0</v>
      </c>
      <c r="F77" s="889">
        <v>0</v>
      </c>
      <c r="G77" s="889">
        <v>0</v>
      </c>
      <c r="H77" s="889">
        <v>0</v>
      </c>
      <c r="I77" s="889">
        <v>0</v>
      </c>
      <c r="J77" s="889">
        <v>0</v>
      </c>
      <c r="K77" s="889">
        <v>0</v>
      </c>
      <c r="L77" s="889">
        <v>0</v>
      </c>
      <c r="M77" s="889">
        <v>0</v>
      </c>
      <c r="N77" s="890">
        <v>0</v>
      </c>
      <c r="O77" s="2889">
        <f t="shared" si="9"/>
        <v>0</v>
      </c>
    </row>
    <row r="78" spans="1:15" ht="15.75" thickBot="1">
      <c r="A78" s="2882" t="str">
        <v>Gastos de cobro de ventas</v>
      </c>
      <c r="B78" s="2894">
        <f>Parametros!$H$14</f>
        <v>0.05</v>
      </c>
      <c r="C78" s="2883">
        <f t="array" aca="1" ref="C78:N78" ca="1">$B78*'Cobros y pagos 4'!$B$28:$M$28</f>
        <v>185.10795380000002</v>
      </c>
      <c r="D78" s="2884">
        <f ca="1"/>
        <v>231.38494225000005</v>
      </c>
      <c r="E78" s="2884">
        <f ca="1"/>
        <v>254.52343647500004</v>
      </c>
      <c r="F78" s="2884">
        <f ca="1"/>
        <v>242.95418936249999</v>
      </c>
      <c r="G78" s="2884">
        <f ca="1"/>
        <v>208.24644802500003</v>
      </c>
      <c r="H78" s="2884">
        <f ca="1"/>
        <v>196.67720091250001</v>
      </c>
      <c r="I78" s="2884">
        <f ca="1"/>
        <v>185.10795380000002</v>
      </c>
      <c r="J78" s="2884">
        <f ca="1"/>
        <v>138.83096535000001</v>
      </c>
      <c r="K78" s="2884">
        <f ca="1"/>
        <v>185.10795380000002</v>
      </c>
      <c r="L78" s="2884">
        <f ca="1"/>
        <v>219.81569513750003</v>
      </c>
      <c r="M78" s="2884">
        <f ca="1"/>
        <v>231.38494225000005</v>
      </c>
      <c r="N78" s="2885">
        <f ca="1"/>
        <v>277.66193070000003</v>
      </c>
      <c r="O78" s="2899">
        <f t="shared" ca="1" si="9"/>
        <v>2556.8036118625</v>
      </c>
    </row>
    <row r="79" spans="1:15" ht="15.75" thickBot="1">
      <c r="A79" s="260"/>
      <c r="B79" s="261" t="str">
        <f>$B$19</f>
        <v xml:space="preserve">Totales mensuales  </v>
      </c>
      <c r="C79" s="1163">
        <f t="shared" ref="C79:O79" ca="1" si="10">SUM(C72:C78)</f>
        <v>185.10795380000002</v>
      </c>
      <c r="D79" s="1164">
        <f t="shared" ca="1" si="10"/>
        <v>231.38494225000005</v>
      </c>
      <c r="E79" s="1164">
        <f t="shared" ca="1" si="10"/>
        <v>254.52343647500004</v>
      </c>
      <c r="F79" s="1164">
        <f t="shared" ca="1" si="10"/>
        <v>242.95418936249999</v>
      </c>
      <c r="G79" s="1164">
        <f t="shared" ca="1" si="10"/>
        <v>208.24644802500003</v>
      </c>
      <c r="H79" s="1164">
        <f t="shared" ca="1" si="10"/>
        <v>196.67720091250001</v>
      </c>
      <c r="I79" s="1164">
        <f t="shared" ca="1" si="10"/>
        <v>185.10795380000002</v>
      </c>
      <c r="J79" s="1164">
        <f t="shared" ca="1" si="10"/>
        <v>138.83096535000001</v>
      </c>
      <c r="K79" s="1164">
        <f t="shared" ca="1" si="10"/>
        <v>185.10795380000002</v>
      </c>
      <c r="L79" s="1164">
        <f t="shared" ca="1" si="10"/>
        <v>219.81569513750003</v>
      </c>
      <c r="M79" s="1164">
        <f t="shared" ca="1" si="10"/>
        <v>231.38494225000005</v>
      </c>
      <c r="N79" s="1165">
        <f t="shared" ca="1" si="10"/>
        <v>277.66193070000003</v>
      </c>
      <c r="O79" s="613">
        <f t="shared" ca="1" si="10"/>
        <v>2556.8036118625</v>
      </c>
    </row>
    <row r="80" spans="1:15">
      <c r="B80" s="258"/>
      <c r="C80" s="232"/>
      <c r="D80" s="232"/>
      <c r="E80" s="232"/>
      <c r="F80" s="232"/>
      <c r="G80" s="232"/>
      <c r="H80" s="232"/>
      <c r="I80" s="232"/>
      <c r="J80" s="232"/>
      <c r="K80" s="232"/>
      <c r="L80" s="232"/>
      <c r="M80" s="232"/>
      <c r="N80" s="232"/>
      <c r="O80" s="232"/>
    </row>
    <row r="81" spans="1:15">
      <c r="B81" s="258"/>
      <c r="C81" s="232"/>
      <c r="D81" s="232"/>
      <c r="E81" s="232"/>
      <c r="F81" s="232"/>
      <c r="G81" s="232"/>
      <c r="H81" s="232"/>
      <c r="I81" s="232"/>
      <c r="J81" s="232"/>
      <c r="K81" s="232"/>
      <c r="L81" s="232"/>
      <c r="M81" s="232"/>
      <c r="N81" s="232"/>
      <c r="O81" s="232"/>
    </row>
    <row r="82" spans="1:15" ht="19.5">
      <c r="A82" s="243" t="s">
        <v>18</v>
      </c>
    </row>
    <row r="83" spans="1:15" ht="11.25" customHeight="1" thickBot="1"/>
    <row r="84" spans="1:15" ht="15.75" thickBot="1">
      <c r="A84" s="250" t="str">
        <f>CONCATENATE("Ingresos Financieros ",'Datos Básicos'!$B$18)</f>
        <v>Ingresos Financieros Año 0</v>
      </c>
      <c r="B84" s="1840" t="str">
        <f>$B$11</f>
        <v>tipos</v>
      </c>
      <c r="C84" s="427" t="str">
        <f t="array" ref="C84:N84">meses</f>
        <v>enero</v>
      </c>
      <c r="D84" s="158" t="str">
        <v>febrero</v>
      </c>
      <c r="E84" s="158" t="str">
        <v>marzo</v>
      </c>
      <c r="F84" s="158" t="str">
        <v>abril</v>
      </c>
      <c r="G84" s="158" t="str">
        <v>mayo</v>
      </c>
      <c r="H84" s="158" t="str">
        <v>junio</v>
      </c>
      <c r="I84" s="158" t="str">
        <v>julio</v>
      </c>
      <c r="J84" s="158" t="str">
        <v>agosto</v>
      </c>
      <c r="K84" s="158" t="str">
        <v>septiembre</v>
      </c>
      <c r="L84" s="158" t="str">
        <v>octubre</v>
      </c>
      <c r="M84" s="158" t="str">
        <v>noviembre</v>
      </c>
      <c r="N84" s="159" t="str">
        <v>diciembre</v>
      </c>
      <c r="O84" s="1840" t="str">
        <f>$O$11</f>
        <v>Totales</v>
      </c>
    </row>
    <row r="85" spans="1:15">
      <c r="A85" s="269" t="s">
        <v>141</v>
      </c>
      <c r="B85" s="272">
        <f>Parametros!$C$7</f>
        <v>0</v>
      </c>
      <c r="C85" s="616">
        <f ca="1">IF(C$11&lt;mes0,0,$B85*'Tesorería 0'!B$35/12)</f>
        <v>0</v>
      </c>
      <c r="D85" s="611">
        <f ca="1">IF(D$11&lt;mes0,0,$B85*'Tesorería 0'!C$35/12)</f>
        <v>0</v>
      </c>
      <c r="E85" s="611">
        <f ca="1">IF(E$11&lt;mes0,0,$B85*'Tesorería 0'!D$35/12)</f>
        <v>0</v>
      </c>
      <c r="F85" s="611">
        <f ca="1">IF(F$11&lt;mes0,0,$B85*'Tesorería 0'!E$35/12)</f>
        <v>0</v>
      </c>
      <c r="G85" s="611">
        <f ca="1">IF(G$11&lt;mes0,0,$B85*'Tesorería 0'!F$35/12)</f>
        <v>0</v>
      </c>
      <c r="H85" s="611">
        <f ca="1">IF(H$11&lt;mes0,0,$B85*'Tesorería 0'!G$35/12)</f>
        <v>0</v>
      </c>
      <c r="I85" s="611">
        <f ca="1">IF(I$11&lt;mes0,0,$B85*'Tesorería 0'!H$35/12)</f>
        <v>0</v>
      </c>
      <c r="J85" s="611">
        <f ca="1">IF(J$11&lt;mes0,0,$B85*'Tesorería 0'!I$35/12)</f>
        <v>0</v>
      </c>
      <c r="K85" s="611">
        <f ca="1">IF(K$11&lt;mes0,0,$B85*'Tesorería 0'!J$35/12)</f>
        <v>0</v>
      </c>
      <c r="L85" s="611">
        <f ca="1">IF(L$11&lt;mes0,0,$B85*'Tesorería 0'!K$35/12)</f>
        <v>0</v>
      </c>
      <c r="M85" s="611">
        <f ca="1">IF(M$11&lt;mes0,0,$B85*'Tesorería 0'!L$35/12)</f>
        <v>0</v>
      </c>
      <c r="N85" s="612">
        <f ca="1">IF(N$11&lt;mes0,0,$B85*'Tesorería 0'!M$35/12)</f>
        <v>0</v>
      </c>
      <c r="O85" s="614">
        <f ca="1">SUM(C85:N85)</f>
        <v>0</v>
      </c>
    </row>
    <row r="86" spans="1:15" ht="15.75" thickBot="1">
      <c r="A86" s="270" t="s">
        <v>140</v>
      </c>
      <c r="B86" s="273"/>
      <c r="C86" s="267"/>
      <c r="D86" s="268"/>
      <c r="E86" s="268"/>
      <c r="F86" s="268"/>
      <c r="G86" s="268"/>
      <c r="H86" s="268"/>
      <c r="I86" s="268"/>
      <c r="J86" s="268"/>
      <c r="K86" s="268"/>
      <c r="L86" s="268"/>
      <c r="M86" s="268"/>
      <c r="N86" s="271"/>
      <c r="O86" s="617">
        <f>SUM(C86:N86)</f>
        <v>0</v>
      </c>
    </row>
    <row r="87" spans="1:15" ht="15.75" thickBot="1">
      <c r="A87" s="260"/>
      <c r="B87" s="261" t="str">
        <f>$B$19</f>
        <v xml:space="preserve">Totales mensuales  </v>
      </c>
      <c r="C87" s="1160">
        <f ca="1">SUM(C85:C86)</f>
        <v>0</v>
      </c>
      <c r="D87" s="1161">
        <f t="shared" ref="D87:N87" ca="1" si="11">SUM(D85:D86)</f>
        <v>0</v>
      </c>
      <c r="E87" s="1161">
        <f t="shared" ca="1" si="11"/>
        <v>0</v>
      </c>
      <c r="F87" s="1161">
        <f t="shared" ca="1" si="11"/>
        <v>0</v>
      </c>
      <c r="G87" s="1161">
        <f t="shared" ca="1" si="11"/>
        <v>0</v>
      </c>
      <c r="H87" s="1161">
        <f t="shared" ca="1" si="11"/>
        <v>0</v>
      </c>
      <c r="I87" s="1161">
        <f t="shared" ca="1" si="11"/>
        <v>0</v>
      </c>
      <c r="J87" s="1161">
        <f t="shared" ca="1" si="11"/>
        <v>0</v>
      </c>
      <c r="K87" s="1161">
        <f t="shared" ca="1" si="11"/>
        <v>0</v>
      </c>
      <c r="L87" s="1161">
        <f t="shared" ca="1" si="11"/>
        <v>0</v>
      </c>
      <c r="M87" s="1161">
        <f t="shared" ca="1" si="11"/>
        <v>0</v>
      </c>
      <c r="N87" s="1162">
        <f t="shared" ca="1" si="11"/>
        <v>0</v>
      </c>
      <c r="O87" s="618">
        <f ca="1">SUM(O85:O86)</f>
        <v>0</v>
      </c>
    </row>
    <row r="88" spans="1:15" ht="15.75" thickBot="1">
      <c r="B88" s="257"/>
      <c r="C88" s="232"/>
      <c r="D88" s="232"/>
      <c r="E88" s="232"/>
      <c r="F88" s="232"/>
      <c r="G88" s="232"/>
      <c r="H88" s="232"/>
      <c r="I88" s="232"/>
      <c r="J88" s="232"/>
      <c r="K88" s="232"/>
      <c r="L88" s="232"/>
      <c r="M88" s="232"/>
      <c r="N88" s="232"/>
      <c r="O88" s="232"/>
    </row>
    <row r="89" spans="1:15" ht="15.75" thickBot="1">
      <c r="A89" s="250" t="str">
        <f>CONCATENATE("Ingresos Financieros Año ",'Datos Básicos'!$C$18)</f>
        <v>Ingresos Financieros Año 1</v>
      </c>
      <c r="B89" s="1840" t="str">
        <f>$B$11</f>
        <v>tipos</v>
      </c>
      <c r="C89" s="427" t="str">
        <f t="array" ref="C89:N89">meses</f>
        <v>enero</v>
      </c>
      <c r="D89" s="158" t="str">
        <v>febrero</v>
      </c>
      <c r="E89" s="158" t="str">
        <v>marzo</v>
      </c>
      <c r="F89" s="158" t="str">
        <v>abril</v>
      </c>
      <c r="G89" s="158" t="str">
        <v>mayo</v>
      </c>
      <c r="H89" s="158" t="str">
        <v>junio</v>
      </c>
      <c r="I89" s="158" t="str">
        <v>julio</v>
      </c>
      <c r="J89" s="158" t="str">
        <v>agosto</v>
      </c>
      <c r="K89" s="158" t="str">
        <v>septiembre</v>
      </c>
      <c r="L89" s="158" t="str">
        <v>octubre</v>
      </c>
      <c r="M89" s="158" t="str">
        <v>noviembre</v>
      </c>
      <c r="N89" s="159" t="str">
        <v>diciembre</v>
      </c>
      <c r="O89" s="1840" t="str">
        <f>$O$11</f>
        <v>Totales</v>
      </c>
    </row>
    <row r="90" spans="1:15">
      <c r="A90" s="269" t="str">
        <f t="array" ref="A90:A91">A$85:A$86</f>
        <v>Intereses Cuenta Corriente</v>
      </c>
      <c r="B90" s="272">
        <f>$B$85</f>
        <v>0</v>
      </c>
      <c r="C90" s="616">
        <f t="array" ref="C90:N90" ca="1">$B90*'Tesorería 1'!B$35:M$35/12</f>
        <v>0</v>
      </c>
      <c r="D90" s="611">
        <f ca="1"/>
        <v>0</v>
      </c>
      <c r="E90" s="611">
        <f ca="1"/>
        <v>0</v>
      </c>
      <c r="F90" s="611">
        <f ca="1"/>
        <v>0</v>
      </c>
      <c r="G90" s="611">
        <f ca="1"/>
        <v>0</v>
      </c>
      <c r="H90" s="611">
        <f ca="1"/>
        <v>0</v>
      </c>
      <c r="I90" s="611">
        <f ca="1"/>
        <v>0</v>
      </c>
      <c r="J90" s="611">
        <f ca="1"/>
        <v>0</v>
      </c>
      <c r="K90" s="611">
        <f ca="1"/>
        <v>0</v>
      </c>
      <c r="L90" s="611">
        <f ca="1"/>
        <v>0</v>
      </c>
      <c r="M90" s="611">
        <f ca="1"/>
        <v>0</v>
      </c>
      <c r="N90" s="612">
        <f ca="1"/>
        <v>0</v>
      </c>
      <c r="O90" s="614">
        <f ca="1">SUM(C90:N90)</f>
        <v>0</v>
      </c>
    </row>
    <row r="91" spans="1:15" ht="15.75" thickBot="1">
      <c r="A91" s="270" t="str">
        <v>Otros ingresos financieros</v>
      </c>
      <c r="B91" s="273"/>
      <c r="C91" s="267"/>
      <c r="D91" s="268"/>
      <c r="E91" s="268"/>
      <c r="F91" s="268"/>
      <c r="G91" s="268"/>
      <c r="H91" s="268"/>
      <c r="I91" s="268"/>
      <c r="J91" s="268"/>
      <c r="K91" s="268"/>
      <c r="L91" s="268"/>
      <c r="M91" s="268"/>
      <c r="N91" s="271"/>
      <c r="O91" s="617">
        <f>SUM(C91:N91)</f>
        <v>0</v>
      </c>
    </row>
    <row r="92" spans="1:15" ht="15.75" thickBot="1">
      <c r="A92" s="260"/>
      <c r="B92" s="261" t="str">
        <f>$B$19</f>
        <v xml:space="preserve">Totales mensuales  </v>
      </c>
      <c r="C92" s="1160">
        <f t="shared" ref="C92:O92" ca="1" si="12">SUM(C90:C91)</f>
        <v>0</v>
      </c>
      <c r="D92" s="1161">
        <f t="shared" ca="1" si="12"/>
        <v>0</v>
      </c>
      <c r="E92" s="1161">
        <f t="shared" ca="1" si="12"/>
        <v>0</v>
      </c>
      <c r="F92" s="1161">
        <f t="shared" ca="1" si="12"/>
        <v>0</v>
      </c>
      <c r="G92" s="1161">
        <f t="shared" ca="1" si="12"/>
        <v>0</v>
      </c>
      <c r="H92" s="1161">
        <f t="shared" ca="1" si="12"/>
        <v>0</v>
      </c>
      <c r="I92" s="1161">
        <f t="shared" ca="1" si="12"/>
        <v>0</v>
      </c>
      <c r="J92" s="1161">
        <f t="shared" ca="1" si="12"/>
        <v>0</v>
      </c>
      <c r="K92" s="1161">
        <f t="shared" ca="1" si="12"/>
        <v>0</v>
      </c>
      <c r="L92" s="1161">
        <f t="shared" ca="1" si="12"/>
        <v>0</v>
      </c>
      <c r="M92" s="1161">
        <f t="shared" ca="1" si="12"/>
        <v>0</v>
      </c>
      <c r="N92" s="1162">
        <f t="shared" ca="1" si="12"/>
        <v>0</v>
      </c>
      <c r="O92" s="618">
        <f t="shared" ca="1" si="12"/>
        <v>0</v>
      </c>
    </row>
    <row r="93" spans="1:15" ht="15.75" thickBot="1">
      <c r="B93" s="257"/>
      <c r="C93" s="232"/>
      <c r="D93" s="232"/>
      <c r="E93" s="232"/>
      <c r="F93" s="232"/>
      <c r="G93" s="232"/>
      <c r="H93" s="232"/>
      <c r="I93" s="232"/>
      <c r="J93" s="232"/>
      <c r="K93" s="232"/>
      <c r="L93" s="232"/>
      <c r="M93" s="232"/>
      <c r="N93" s="232"/>
      <c r="O93" s="232"/>
    </row>
    <row r="94" spans="1:15" ht="15.75" thickBot="1">
      <c r="A94" s="250" t="str">
        <f>CONCATENATE("Ingresos Financieros Año ",'Datos Básicos'!$D$18)</f>
        <v>Ingresos Financieros Año 2</v>
      </c>
      <c r="B94" s="1840" t="str">
        <f>$B$11</f>
        <v>tipos</v>
      </c>
      <c r="C94" s="427" t="str">
        <f t="array" ref="C94:N94">meses</f>
        <v>enero</v>
      </c>
      <c r="D94" s="158" t="str">
        <v>febrero</v>
      </c>
      <c r="E94" s="158" t="str">
        <v>marzo</v>
      </c>
      <c r="F94" s="158" t="str">
        <v>abril</v>
      </c>
      <c r="G94" s="158" t="str">
        <v>mayo</v>
      </c>
      <c r="H94" s="158" t="str">
        <v>junio</v>
      </c>
      <c r="I94" s="158" t="str">
        <v>julio</v>
      </c>
      <c r="J94" s="158" t="str">
        <v>agosto</v>
      </c>
      <c r="K94" s="158" t="str">
        <v>septiembre</v>
      </c>
      <c r="L94" s="158" t="str">
        <v>octubre</v>
      </c>
      <c r="M94" s="158" t="str">
        <v>noviembre</v>
      </c>
      <c r="N94" s="159" t="str">
        <v>diciembre</v>
      </c>
      <c r="O94" s="1840" t="str">
        <f>$O$11</f>
        <v>Totales</v>
      </c>
    </row>
    <row r="95" spans="1:15">
      <c r="A95" s="269" t="str">
        <f t="array" ref="A95:A96">A$85:A$86</f>
        <v>Intereses Cuenta Corriente</v>
      </c>
      <c r="B95" s="272">
        <f>$B$85</f>
        <v>0</v>
      </c>
      <c r="C95" s="616">
        <f t="array" ref="C95:N95" ca="1">$B95*'Tesorería 2'!B$35:M$35/12</f>
        <v>0</v>
      </c>
      <c r="D95" s="611">
        <f ca="1"/>
        <v>0</v>
      </c>
      <c r="E95" s="611">
        <f ca="1"/>
        <v>0</v>
      </c>
      <c r="F95" s="611">
        <f ca="1"/>
        <v>0</v>
      </c>
      <c r="G95" s="611">
        <f ca="1"/>
        <v>0</v>
      </c>
      <c r="H95" s="611">
        <f ca="1"/>
        <v>0</v>
      </c>
      <c r="I95" s="611">
        <f ca="1"/>
        <v>0</v>
      </c>
      <c r="J95" s="611">
        <f ca="1"/>
        <v>0</v>
      </c>
      <c r="K95" s="611">
        <f ca="1"/>
        <v>0</v>
      </c>
      <c r="L95" s="611">
        <f ca="1"/>
        <v>0</v>
      </c>
      <c r="M95" s="611">
        <f ca="1"/>
        <v>0</v>
      </c>
      <c r="N95" s="612">
        <f ca="1"/>
        <v>0</v>
      </c>
      <c r="O95" s="614">
        <f ca="1">SUM(C95:N95)</f>
        <v>0</v>
      </c>
    </row>
    <row r="96" spans="1:15" ht="15.75" thickBot="1">
      <c r="A96" s="270" t="str">
        <v>Otros ingresos financieros</v>
      </c>
      <c r="B96" s="273"/>
      <c r="C96" s="267"/>
      <c r="D96" s="268"/>
      <c r="E96" s="268"/>
      <c r="F96" s="268"/>
      <c r="G96" s="268"/>
      <c r="H96" s="268"/>
      <c r="I96" s="268"/>
      <c r="J96" s="268"/>
      <c r="K96" s="268"/>
      <c r="L96" s="268"/>
      <c r="M96" s="268"/>
      <c r="N96" s="271"/>
      <c r="O96" s="617">
        <f>SUM(C96:N96)</f>
        <v>0</v>
      </c>
    </row>
    <row r="97" spans="1:15" ht="15.75" thickBot="1">
      <c r="A97" s="260"/>
      <c r="B97" s="261" t="str">
        <f>$B$19</f>
        <v xml:space="preserve">Totales mensuales  </v>
      </c>
      <c r="C97" s="1160">
        <f t="shared" ref="C97:O97" ca="1" si="13">SUM(C95:C96)</f>
        <v>0</v>
      </c>
      <c r="D97" s="1161">
        <f t="shared" ca="1" si="13"/>
        <v>0</v>
      </c>
      <c r="E97" s="1161">
        <f t="shared" ca="1" si="13"/>
        <v>0</v>
      </c>
      <c r="F97" s="1161">
        <f t="shared" ca="1" si="13"/>
        <v>0</v>
      </c>
      <c r="G97" s="1161">
        <f t="shared" ca="1" si="13"/>
        <v>0</v>
      </c>
      <c r="H97" s="1161">
        <f t="shared" ca="1" si="13"/>
        <v>0</v>
      </c>
      <c r="I97" s="1161">
        <f t="shared" ca="1" si="13"/>
        <v>0</v>
      </c>
      <c r="J97" s="1161">
        <f t="shared" ca="1" si="13"/>
        <v>0</v>
      </c>
      <c r="K97" s="1161">
        <f t="shared" ca="1" si="13"/>
        <v>0</v>
      </c>
      <c r="L97" s="1161">
        <f t="shared" ca="1" si="13"/>
        <v>0</v>
      </c>
      <c r="M97" s="1161">
        <f t="shared" ca="1" si="13"/>
        <v>0</v>
      </c>
      <c r="N97" s="1162">
        <f t="shared" ca="1" si="13"/>
        <v>0</v>
      </c>
      <c r="O97" s="618">
        <f t="shared" ca="1" si="13"/>
        <v>0</v>
      </c>
    </row>
    <row r="98" spans="1:15" ht="15.75" thickBot="1"/>
    <row r="99" spans="1:15" ht="15.75" thickBot="1">
      <c r="A99" s="250" t="str">
        <f>CONCATENATE("Ingresos Financieros Año ",'Datos Básicos'!$E$18)</f>
        <v>Ingresos Financieros Año 3</v>
      </c>
      <c r="B99" s="1840" t="str">
        <f>$B$11</f>
        <v>tipos</v>
      </c>
      <c r="C99" s="427" t="str">
        <f t="array" ref="C99:N99">meses</f>
        <v>enero</v>
      </c>
      <c r="D99" s="158" t="str">
        <v>febrero</v>
      </c>
      <c r="E99" s="158" t="str">
        <v>marzo</v>
      </c>
      <c r="F99" s="158" t="str">
        <v>abril</v>
      </c>
      <c r="G99" s="158" t="str">
        <v>mayo</v>
      </c>
      <c r="H99" s="158" t="str">
        <v>junio</v>
      </c>
      <c r="I99" s="158" t="str">
        <v>julio</v>
      </c>
      <c r="J99" s="158" t="str">
        <v>agosto</v>
      </c>
      <c r="K99" s="158" t="str">
        <v>septiembre</v>
      </c>
      <c r="L99" s="158" t="str">
        <v>octubre</v>
      </c>
      <c r="M99" s="158" t="str">
        <v>noviembre</v>
      </c>
      <c r="N99" s="159" t="str">
        <v>diciembre</v>
      </c>
      <c r="O99" s="1840" t="str">
        <f>$O$11</f>
        <v>Totales</v>
      </c>
    </row>
    <row r="100" spans="1:15">
      <c r="A100" s="269" t="str">
        <f t="array" ref="A100:A101">A$85:A$86</f>
        <v>Intereses Cuenta Corriente</v>
      </c>
      <c r="B100" s="272">
        <f>$B$85</f>
        <v>0</v>
      </c>
      <c r="C100" s="616">
        <f t="array" ref="C100:N100" ca="1">$B100*'Tesorería 3'!B$35:M$35/12</f>
        <v>0</v>
      </c>
      <c r="D100" s="611">
        <f ca="1"/>
        <v>0</v>
      </c>
      <c r="E100" s="611">
        <f ca="1"/>
        <v>0</v>
      </c>
      <c r="F100" s="611">
        <f ca="1"/>
        <v>0</v>
      </c>
      <c r="G100" s="611">
        <f ca="1"/>
        <v>0</v>
      </c>
      <c r="H100" s="611">
        <f ca="1"/>
        <v>0</v>
      </c>
      <c r="I100" s="611">
        <f ca="1"/>
        <v>0</v>
      </c>
      <c r="J100" s="611">
        <f ca="1"/>
        <v>0</v>
      </c>
      <c r="K100" s="611">
        <f ca="1"/>
        <v>0</v>
      </c>
      <c r="L100" s="611">
        <f ca="1"/>
        <v>0</v>
      </c>
      <c r="M100" s="611">
        <f ca="1"/>
        <v>0</v>
      </c>
      <c r="N100" s="612">
        <f ca="1"/>
        <v>0</v>
      </c>
      <c r="O100" s="614">
        <f ca="1">SUM(C100:N100)</f>
        <v>0</v>
      </c>
    </row>
    <row r="101" spans="1:15" ht="15.75" thickBot="1">
      <c r="A101" s="270" t="str">
        <v>Otros ingresos financieros</v>
      </c>
      <c r="B101" s="273"/>
      <c r="C101" s="267"/>
      <c r="D101" s="268"/>
      <c r="E101" s="268"/>
      <c r="F101" s="268"/>
      <c r="G101" s="268"/>
      <c r="H101" s="268"/>
      <c r="I101" s="268"/>
      <c r="J101" s="268"/>
      <c r="K101" s="268"/>
      <c r="L101" s="268"/>
      <c r="M101" s="268"/>
      <c r="N101" s="271"/>
      <c r="O101" s="617">
        <f>SUM(C101:N101)</f>
        <v>0</v>
      </c>
    </row>
    <row r="102" spans="1:15" ht="15.75" thickBot="1">
      <c r="A102" s="260"/>
      <c r="B102" s="261" t="str">
        <f>$B$19</f>
        <v xml:space="preserve">Totales mensuales  </v>
      </c>
      <c r="C102" s="1160">
        <f t="shared" ref="C102:O102" ca="1" si="14">SUM(C100:C101)</f>
        <v>0</v>
      </c>
      <c r="D102" s="1161">
        <f t="shared" ca="1" si="14"/>
        <v>0</v>
      </c>
      <c r="E102" s="1161">
        <f t="shared" ca="1" si="14"/>
        <v>0</v>
      </c>
      <c r="F102" s="1161">
        <f t="shared" ca="1" si="14"/>
        <v>0</v>
      </c>
      <c r="G102" s="1161">
        <f t="shared" ca="1" si="14"/>
        <v>0</v>
      </c>
      <c r="H102" s="1161">
        <f t="shared" ca="1" si="14"/>
        <v>0</v>
      </c>
      <c r="I102" s="1161">
        <f t="shared" ca="1" si="14"/>
        <v>0</v>
      </c>
      <c r="J102" s="1161">
        <f t="shared" ca="1" si="14"/>
        <v>0</v>
      </c>
      <c r="K102" s="1161">
        <f t="shared" ca="1" si="14"/>
        <v>0</v>
      </c>
      <c r="L102" s="1161">
        <f t="shared" ca="1" si="14"/>
        <v>0</v>
      </c>
      <c r="M102" s="1161">
        <f t="shared" ca="1" si="14"/>
        <v>0</v>
      </c>
      <c r="N102" s="1162">
        <f t="shared" ca="1" si="14"/>
        <v>0</v>
      </c>
      <c r="O102" s="618">
        <f t="shared" ca="1" si="14"/>
        <v>0</v>
      </c>
    </row>
    <row r="103" spans="1:15" ht="15.75" thickBot="1"/>
    <row r="104" spans="1:15" ht="15.75" thickBot="1">
      <c r="A104" s="250" t="str">
        <f>CONCATENATE("Ingresos Financieros Año ",'Datos Básicos'!$F$18)</f>
        <v>Ingresos Financieros Año 4</v>
      </c>
      <c r="B104" s="1840" t="str">
        <f>$B$11</f>
        <v>tipos</v>
      </c>
      <c r="C104" s="427" t="str">
        <f t="array" ref="C104:N104">meses</f>
        <v>enero</v>
      </c>
      <c r="D104" s="158" t="str">
        <v>febrero</v>
      </c>
      <c r="E104" s="158" t="str">
        <v>marzo</v>
      </c>
      <c r="F104" s="158" t="str">
        <v>abril</v>
      </c>
      <c r="G104" s="158" t="str">
        <v>mayo</v>
      </c>
      <c r="H104" s="158" t="str">
        <v>junio</v>
      </c>
      <c r="I104" s="158" t="str">
        <v>julio</v>
      </c>
      <c r="J104" s="158" t="str">
        <v>agosto</v>
      </c>
      <c r="K104" s="158" t="str">
        <v>septiembre</v>
      </c>
      <c r="L104" s="158" t="str">
        <v>octubre</v>
      </c>
      <c r="M104" s="158" t="str">
        <v>noviembre</v>
      </c>
      <c r="N104" s="159" t="str">
        <v>diciembre</v>
      </c>
      <c r="O104" s="1840" t="str">
        <f>$O$11</f>
        <v>Totales</v>
      </c>
    </row>
    <row r="105" spans="1:15">
      <c r="A105" s="269" t="str">
        <f t="array" ref="A105:A106">A$85:A$86</f>
        <v>Intereses Cuenta Corriente</v>
      </c>
      <c r="B105" s="272">
        <f>$B$85</f>
        <v>0</v>
      </c>
      <c r="C105" s="616">
        <f t="array" ref="C105:N105" ca="1">$B105*'Tesorería 4'!B$35:M$35/12</f>
        <v>0</v>
      </c>
      <c r="D105" s="611">
        <f ca="1"/>
        <v>0</v>
      </c>
      <c r="E105" s="611">
        <f ca="1"/>
        <v>0</v>
      </c>
      <c r="F105" s="611">
        <f ca="1"/>
        <v>0</v>
      </c>
      <c r="G105" s="611">
        <f ca="1"/>
        <v>0</v>
      </c>
      <c r="H105" s="611">
        <f ca="1"/>
        <v>0</v>
      </c>
      <c r="I105" s="611">
        <f ca="1"/>
        <v>0</v>
      </c>
      <c r="J105" s="611">
        <f ca="1"/>
        <v>0</v>
      </c>
      <c r="K105" s="611">
        <f ca="1"/>
        <v>0</v>
      </c>
      <c r="L105" s="611">
        <f ca="1"/>
        <v>0</v>
      </c>
      <c r="M105" s="611">
        <f ca="1"/>
        <v>0</v>
      </c>
      <c r="N105" s="612">
        <f ca="1"/>
        <v>0</v>
      </c>
      <c r="O105" s="614">
        <f ca="1">SUM(C105:N105)</f>
        <v>0</v>
      </c>
    </row>
    <row r="106" spans="1:15" ht="15.75" thickBot="1">
      <c r="A106" s="270" t="str">
        <v>Otros ingresos financieros</v>
      </c>
      <c r="B106" s="273"/>
      <c r="C106" s="267"/>
      <c r="D106" s="268"/>
      <c r="E106" s="268"/>
      <c r="F106" s="268"/>
      <c r="G106" s="268"/>
      <c r="H106" s="268"/>
      <c r="I106" s="268"/>
      <c r="J106" s="268"/>
      <c r="K106" s="268"/>
      <c r="L106" s="268"/>
      <c r="M106" s="268"/>
      <c r="N106" s="271"/>
      <c r="O106" s="617">
        <f>SUM(C106:N106)</f>
        <v>0</v>
      </c>
    </row>
    <row r="107" spans="1:15" ht="15.75" thickBot="1">
      <c r="A107" s="260"/>
      <c r="B107" s="261" t="str">
        <f>$B$19</f>
        <v xml:space="preserve">Totales mensuales  </v>
      </c>
      <c r="C107" s="1160">
        <f t="shared" ref="C107:O107" ca="1" si="15">SUM(C105:C106)</f>
        <v>0</v>
      </c>
      <c r="D107" s="1161">
        <f t="shared" ca="1" si="15"/>
        <v>0</v>
      </c>
      <c r="E107" s="1161">
        <f t="shared" ca="1" si="15"/>
        <v>0</v>
      </c>
      <c r="F107" s="1161">
        <f t="shared" ca="1" si="15"/>
        <v>0</v>
      </c>
      <c r="G107" s="1161">
        <f t="shared" ca="1" si="15"/>
        <v>0</v>
      </c>
      <c r="H107" s="1161">
        <f t="shared" ca="1" si="15"/>
        <v>0</v>
      </c>
      <c r="I107" s="1161">
        <f t="shared" ca="1" si="15"/>
        <v>0</v>
      </c>
      <c r="J107" s="1161">
        <f t="shared" ca="1" si="15"/>
        <v>0</v>
      </c>
      <c r="K107" s="1161">
        <f t="shared" ca="1" si="15"/>
        <v>0</v>
      </c>
      <c r="L107" s="1161">
        <f t="shared" ca="1" si="15"/>
        <v>0</v>
      </c>
      <c r="M107" s="1161">
        <f t="shared" ca="1" si="15"/>
        <v>0</v>
      </c>
      <c r="N107" s="1162">
        <f t="shared" ca="1" si="15"/>
        <v>0</v>
      </c>
      <c r="O107" s="618">
        <f t="shared" ca="1" si="15"/>
        <v>0</v>
      </c>
    </row>
  </sheetData>
  <sheetProtection sheet="1" objects="1" scenarios="1"/>
  <phoneticPr fontId="6" type="noConversion"/>
  <printOptions horizontalCentered="1"/>
  <pageMargins left="0.75" right="0.75" top="0.4" bottom="0.41" header="0" footer="0"/>
  <pageSetup paperSize="9" scale="68" fitToHeight="2" orientation="landscape" horizontalDpi="300" r:id="rId1"/>
  <headerFooter alignWithMargins="0"/>
  <rowBreaks count="2" manualBreakCount="2">
    <brk id="50" max="16383" man="1"/>
    <brk id="80" max="16383" man="1"/>
  </rowBreaks>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30">
    <tabColor indexed="43"/>
    <pageSetUpPr fitToPage="1"/>
  </sheetPr>
  <dimension ref="A1:O60"/>
  <sheetViews>
    <sheetView workbookViewId="0"/>
  </sheetViews>
  <sheetFormatPr baseColWidth="10" defaultColWidth="11" defaultRowHeight="12.75"/>
  <cols>
    <col min="1" max="1" width="29.25" style="87" customWidth="1"/>
    <col min="2" max="2" width="12" style="87" customWidth="1"/>
    <col min="3" max="3" width="11.875" style="87" customWidth="1"/>
    <col min="4" max="4" width="13.125" style="87" customWidth="1"/>
    <col min="5" max="5" width="13.5" style="87" customWidth="1"/>
    <col min="6" max="6" width="12.625" style="87" customWidth="1"/>
    <col min="7" max="7" width="13" style="87" customWidth="1"/>
    <col min="8" max="8" width="12.25" style="87" bestFit="1" customWidth="1"/>
    <col min="9" max="9" width="12" style="87" bestFit="1" customWidth="1"/>
    <col min="10" max="10" width="12.25" style="87" bestFit="1" customWidth="1"/>
    <col min="11" max="11" width="12" style="87" bestFit="1" customWidth="1"/>
    <col min="12" max="12" width="12.25" style="87" bestFit="1" customWidth="1"/>
    <col min="13" max="13" width="14.125" style="87" bestFit="1" customWidth="1"/>
    <col min="14" max="14" width="12.25" style="87" bestFit="1" customWidth="1"/>
    <col min="15" max="15" width="12.75" style="279" customWidth="1"/>
    <col min="16" max="16384" width="11" style="87"/>
  </cols>
  <sheetData>
    <row r="1" spans="1:15" ht="22.5">
      <c r="A1" s="294" t="s">
        <v>396</v>
      </c>
      <c r="B1" s="275"/>
      <c r="E1" s="277"/>
      <c r="F1" s="2700" t="str">
        <f>Parametros!B$77</f>
        <v>Año 0:  2026</v>
      </c>
      <c r="G1" s="296"/>
      <c r="H1" s="277"/>
      <c r="I1" s="161"/>
      <c r="J1" s="278"/>
      <c r="K1" s="161"/>
    </row>
    <row r="2" spans="1:15" ht="25.5">
      <c r="A2" s="295" t="str">
        <f>'Datos Básicos'!B9</f>
        <v>nombre empresa</v>
      </c>
      <c r="B2" s="280"/>
      <c r="D2" s="274"/>
      <c r="F2" s="277"/>
      <c r="G2" s="161"/>
      <c r="H2" s="161"/>
      <c r="I2" s="161"/>
      <c r="J2" s="161"/>
      <c r="K2" s="161"/>
    </row>
    <row r="3" spans="1:15" ht="15.75" thickBot="1">
      <c r="A3" s="35"/>
      <c r="B3" s="35"/>
    </row>
    <row r="4" spans="1:15" s="281" customFormat="1" ht="18" customHeight="1" thickBot="1">
      <c r="A4" s="314" t="s">
        <v>0</v>
      </c>
      <c r="B4" s="297"/>
      <c r="C4" s="298" t="str">
        <f t="array" ref="C4:N4">meses</f>
        <v>enero</v>
      </c>
      <c r="D4" s="298" t="str">
        <v>febrero</v>
      </c>
      <c r="E4" s="298" t="str">
        <v>marzo</v>
      </c>
      <c r="F4" s="298" t="str">
        <v>abril</v>
      </c>
      <c r="G4" s="298" t="str">
        <v>mayo</v>
      </c>
      <c r="H4" s="298" t="str">
        <v>junio</v>
      </c>
      <c r="I4" s="298" t="str">
        <v>julio</v>
      </c>
      <c r="J4" s="298" t="str">
        <v>agosto</v>
      </c>
      <c r="K4" s="298" t="str">
        <v>septiembre</v>
      </c>
      <c r="L4" s="298" t="str">
        <v>octubre</v>
      </c>
      <c r="M4" s="298" t="str">
        <v>noviembre</v>
      </c>
      <c r="N4" s="302" t="str">
        <v>diciembre</v>
      </c>
      <c r="O4" s="303" t="s">
        <v>11</v>
      </c>
    </row>
    <row r="5" spans="1:15" s="281" customFormat="1" ht="18" customHeight="1" thickBot="1">
      <c r="A5" s="301" t="str">
        <f t="array" ref="A5:A11">'Resumen Tesorerias'!A4:A10</f>
        <v>COBROS</v>
      </c>
      <c r="B5" s="282"/>
      <c r="C5" s="282"/>
      <c r="D5" s="282"/>
      <c r="E5" s="282"/>
      <c r="F5" s="282"/>
      <c r="G5" s="282"/>
      <c r="H5" s="282"/>
      <c r="I5" s="282"/>
      <c r="J5" s="282"/>
      <c r="K5" s="282"/>
      <c r="L5" s="282"/>
      <c r="M5" s="282"/>
      <c r="O5" s="304"/>
    </row>
    <row r="6" spans="1:15" ht="21" customHeight="1">
      <c r="A6" s="1177" t="str">
        <v>Cobro de ventas</v>
      </c>
      <c r="B6" s="318"/>
      <c r="C6" s="1207">
        <f t="array" aca="1" ref="C6:N6" ca="1">'Cobros y pagos 0'!B28:M28</f>
        <v>2117.5</v>
      </c>
      <c r="D6" s="1207">
        <f ca="1"/>
        <v>2263.4791666666665</v>
      </c>
      <c r="E6" s="1207">
        <f ca="1"/>
        <v>2486.4583333333335</v>
      </c>
      <c r="F6" s="1207">
        <f ca="1"/>
        <v>2613.1875</v>
      </c>
      <c r="G6" s="1207">
        <f ca="1"/>
        <v>2547.4166666666661</v>
      </c>
      <c r="H6" s="1207">
        <f ca="1"/>
        <v>2558.645833333333</v>
      </c>
      <c r="I6" s="1207">
        <f ca="1"/>
        <v>2531.375</v>
      </c>
      <c r="J6" s="1207">
        <f ca="1"/>
        <v>2061.3541666666665</v>
      </c>
      <c r="K6" s="1207">
        <f ca="1"/>
        <v>2669.333333333333</v>
      </c>
      <c r="L6" s="1207">
        <f ca="1"/>
        <v>3258.0624999999995</v>
      </c>
      <c r="M6" s="1207">
        <f ca="1"/>
        <v>3577.2916666666661</v>
      </c>
      <c r="N6" s="1208">
        <f ca="1"/>
        <v>4570.270833333333</v>
      </c>
      <c r="O6" s="1209">
        <f t="shared" ref="O6:O21" ca="1" si="0">SUM(C6:N6)</f>
        <v>33254.375</v>
      </c>
    </row>
    <row r="7" spans="1:15" ht="21" customHeight="1">
      <c r="A7" s="1176" t="str">
        <v>Cobros pendientes / Cobros en mora</v>
      </c>
      <c r="B7" s="283"/>
      <c r="C7" s="1211">
        <f>'Inversiones AC'!$G$24*IF(OR(mes0&gt;COLUMN(B4)-1,COLUMN(B4)-mes0&gt;6),0,INDEX('Politicas Cobros y Pagos'!$C$19:$H$19,1,COLUMN(B11)-mes0))
+IF(mes0=COLUMN(B4)-1,'Inversiones AC'!$I$23*SUM(Parametros!$B53:C53),0)
+IF(mes0&gt;COLUMN(B4)-2,0,'Inversiones AC'!$I$23*Parametros!B53)</f>
        <v>0</v>
      </c>
      <c r="D7" s="1211">
        <f>'Inversiones AC'!$G$24*IF(OR(mes0&gt;COLUMN(C4)-1,COLUMN(C4)-mes0&gt;6),0,INDEX('Politicas Cobros y Pagos'!$C$19:$H$19,1,COLUMN(C11)-mes0))
+IF(mes0=COLUMN(C4)-1,'Inversiones AC'!$I$23*SUM(Parametros!$B53:D53),0)
+IF(mes0&gt;COLUMN(C4)-2,0,'Inversiones AC'!$I$23*Parametros!C53)</f>
        <v>0</v>
      </c>
      <c r="E7" s="1211">
        <f>'Inversiones AC'!$G$24*IF(OR(mes0&gt;COLUMN(D4)-1,COLUMN(D4)-mes0&gt;6),0,INDEX('Politicas Cobros y Pagos'!$C$19:$H$19,1,COLUMN(D11)-mes0))
+IF(mes0=COLUMN(D4)-1,'Inversiones AC'!$I$23*SUM(Parametros!$B53:E53),0)
+IF(mes0&gt;COLUMN(D4)-2,0,'Inversiones AC'!$I$23*Parametros!D53)</f>
        <v>0</v>
      </c>
      <c r="F7" s="1211">
        <f>'Inversiones AC'!$G$24*IF(OR(mes0&gt;COLUMN(E4)-1,COLUMN(E4)-mes0&gt;6),0,INDEX('Politicas Cobros y Pagos'!$C$19:$H$19,1,COLUMN(E11)-mes0))
+IF(mes0=COLUMN(E4)-1,'Inversiones AC'!$I$23*SUM(Parametros!$B53:F53),0)
+IF(mes0&gt;COLUMN(E4)-2,0,'Inversiones AC'!$I$23*Parametros!E53)</f>
        <v>0</v>
      </c>
      <c r="G7" s="1211">
        <f>'Inversiones AC'!$G$24*IF(OR(mes0&gt;COLUMN(F4)-1,COLUMN(F4)-mes0&gt;6),0,INDEX('Politicas Cobros y Pagos'!$C$19:$H$19,1,COLUMN(F11)-mes0))
+IF(mes0=COLUMN(F4)-1,'Inversiones AC'!$I$23*SUM(Parametros!$B53:G53),0)
+IF(mes0&gt;COLUMN(F4)-2,0,'Inversiones AC'!$I$23*Parametros!F53)</f>
        <v>0</v>
      </c>
      <c r="H7" s="1211">
        <f>'Inversiones AC'!$G$24*IF(OR(mes0&gt;COLUMN(G4)-1,COLUMN(G4)-mes0&gt;6),0,INDEX('Politicas Cobros y Pagos'!$C$19:$H$19,1,COLUMN(G11)-mes0))
+IF(mes0=COLUMN(G4)-1,'Inversiones AC'!$I$23*SUM(Parametros!$B53:H53),0)
+IF(mes0&gt;COLUMN(G4)-2,0,'Inversiones AC'!$I$23*Parametros!G53)</f>
        <v>0</v>
      </c>
      <c r="I7" s="1211">
        <f>'Inversiones AC'!$G$24*IF(OR(mes0&gt;COLUMN(H4)-1,COLUMN(H4)-mes0&gt;6),0,INDEX('Politicas Cobros y Pagos'!$C$19:$H$19,1,COLUMN(H11)-mes0))
+IF(mes0=COLUMN(H4)-1,'Inversiones AC'!$I$23*SUM(Parametros!$B53:I53),0)
+IF(mes0&gt;COLUMN(H4)-2,0,'Inversiones AC'!$I$23*Parametros!H53)</f>
        <v>0</v>
      </c>
      <c r="J7" s="1211">
        <f>'Inversiones AC'!$G$24*IF(OR(mes0&gt;COLUMN(I4)-1,COLUMN(I4)-mes0&gt;6),0,INDEX('Politicas Cobros y Pagos'!$C$19:$H$19,1,COLUMN(I11)-mes0))
+IF(mes0=COLUMN(I4)-1,'Inversiones AC'!$I$23*SUM(Parametros!$B53:J53),0)
+IF(mes0&gt;COLUMN(I4)-2,0,'Inversiones AC'!$I$23*Parametros!I53)</f>
        <v>0</v>
      </c>
      <c r="K7" s="1211">
        <f>'Inversiones AC'!$G$24*IF(OR(mes0&gt;COLUMN(J4)-1,COLUMN(J4)-mes0&gt;6),0,INDEX('Politicas Cobros y Pagos'!$C$19:$H$19,1,COLUMN(J11)-mes0))
+IF(mes0=COLUMN(J4)-1,'Inversiones AC'!$I$23*SUM(Parametros!$B53:K53),0)
+IF(mes0&gt;COLUMN(J4)-2,0,'Inversiones AC'!$I$23*Parametros!J53)</f>
        <v>0</v>
      </c>
      <c r="L7" s="1211">
        <f>'Inversiones AC'!$G$24*IF(OR(mes0&gt;COLUMN(K4)-1,COLUMN(K4)-mes0&gt;6),0,INDEX('Politicas Cobros y Pagos'!$C$19:$H$19,1,COLUMN(K11)-mes0))
+IF(mes0=COLUMN(K4)-1,'Inversiones AC'!$I$23*SUM(Parametros!$B53:L53),0)
+IF(mes0&gt;COLUMN(K4)-2,0,'Inversiones AC'!$I$23*Parametros!K53)</f>
        <v>0</v>
      </c>
      <c r="M7" s="1211">
        <f>'Inversiones AC'!$G$24*IF(OR(mes0&gt;COLUMN(L4)-1,COLUMN(L4)-mes0&gt;6),0,INDEX('Politicas Cobros y Pagos'!$C$19:$H$19,1,COLUMN(L11)-mes0))
+IF(mes0=COLUMN(L4)-1,'Inversiones AC'!$I$23*SUM(Parametros!$B53:M53),0)
+IF(mes0&gt;COLUMN(L4)-2,0,'Inversiones AC'!$I$23*Parametros!L53)</f>
        <v>0</v>
      </c>
      <c r="N7" s="1212">
        <f>'Inversiones AC'!$G$24*IF(OR(mes0&gt;COLUMN(M4)-1,COLUMN(M4)-mes0&gt;6),0,INDEX('Politicas Cobros y Pagos'!$C$19:$H$19,1,COLUMN(M11)-mes0))
+IF(mes0=COLUMN(M4)-1,'Inversiones AC'!$I$23*SUM(Parametros!$B53:N53),0)
+IF(mes0&gt;COLUMN(M4)-2,0,'Inversiones AC'!$I$23*Parametros!M53)</f>
        <v>0</v>
      </c>
      <c r="O7" s="1213">
        <f t="shared" si="0"/>
        <v>0</v>
      </c>
    </row>
    <row r="8" spans="1:15" ht="21" customHeight="1">
      <c r="A8" s="1176" t="str">
        <v>Otras entradas</v>
      </c>
      <c r="B8" s="319"/>
      <c r="C8" s="1211">
        <v>0</v>
      </c>
      <c r="D8" s="1211">
        <v>0</v>
      </c>
      <c r="E8" s="1211">
        <v>0</v>
      </c>
      <c r="F8" s="1211">
        <v>0</v>
      </c>
      <c r="G8" s="1211">
        <v>0</v>
      </c>
      <c r="H8" s="1211">
        <v>0</v>
      </c>
      <c r="I8" s="1211">
        <v>0</v>
      </c>
      <c r="J8" s="1211">
        <v>0</v>
      </c>
      <c r="K8" s="1211">
        <v>0</v>
      </c>
      <c r="L8" s="1211">
        <v>0</v>
      </c>
      <c r="M8" s="1211">
        <v>0</v>
      </c>
      <c r="N8" s="1212">
        <f>IF(AND(Isoc&lt;&gt;0,'Inversiones AC'!G22&gt;'Financiación Inicial'!B29),'Inversiones AC'!G22-'Financiación Inicial'!B29,0)</f>
        <v>0</v>
      </c>
      <c r="O8" s="1213">
        <f t="shared" si="0"/>
        <v>0</v>
      </c>
    </row>
    <row r="9" spans="1:15" ht="21" customHeight="1">
      <c r="A9" s="1176" t="str">
        <v>Devoluciones de IVA</v>
      </c>
      <c r="B9" s="319"/>
      <c r="C9" s="1211">
        <f t="array" ref="C9:N9">'IVA 0'!C26:N26</f>
        <v>0</v>
      </c>
      <c r="D9" s="1211">
        <v>0</v>
      </c>
      <c r="E9" s="1211">
        <v>0</v>
      </c>
      <c r="F9" s="1211">
        <v>0</v>
      </c>
      <c r="G9" s="1211">
        <v>0</v>
      </c>
      <c r="H9" s="1211">
        <v>0</v>
      </c>
      <c r="I9" s="1211">
        <v>0</v>
      </c>
      <c r="J9" s="1211">
        <v>0</v>
      </c>
      <c r="K9" s="1211">
        <v>0</v>
      </c>
      <c r="L9" s="1211">
        <v>0</v>
      </c>
      <c r="M9" s="1211">
        <v>0</v>
      </c>
      <c r="N9" s="1212">
        <v>0</v>
      </c>
      <c r="O9" s="1213">
        <f t="shared" si="0"/>
        <v>0</v>
      </c>
    </row>
    <row r="10" spans="1:15" ht="21" customHeight="1">
      <c r="A10" s="1175" t="str">
        <v>Ingresos financieros</v>
      </c>
      <c r="B10" s="283"/>
      <c r="C10" s="1211">
        <f t="array" ref="C10:N10" ca="1">'Gastos Financieros'!C87:N87</f>
        <v>0</v>
      </c>
      <c r="D10" s="1211">
        <f ca="1"/>
        <v>0</v>
      </c>
      <c r="E10" s="1211">
        <f ca="1"/>
        <v>0</v>
      </c>
      <c r="F10" s="1211">
        <f ca="1"/>
        <v>0</v>
      </c>
      <c r="G10" s="1211">
        <f ca="1"/>
        <v>0</v>
      </c>
      <c r="H10" s="1211">
        <f ca="1"/>
        <v>0</v>
      </c>
      <c r="I10" s="1211">
        <f ca="1"/>
        <v>0</v>
      </c>
      <c r="J10" s="1211">
        <f ca="1"/>
        <v>0</v>
      </c>
      <c r="K10" s="1211">
        <f ca="1"/>
        <v>0</v>
      </c>
      <c r="L10" s="1211">
        <f ca="1"/>
        <v>0</v>
      </c>
      <c r="M10" s="1211">
        <f ca="1"/>
        <v>0</v>
      </c>
      <c r="N10" s="1212">
        <f ca="1"/>
        <v>0</v>
      </c>
      <c r="O10" s="1213">
        <f t="shared" ca="1" si="0"/>
        <v>0</v>
      </c>
    </row>
    <row r="11" spans="1:15" s="279" customFormat="1" ht="21" customHeight="1" thickBot="1">
      <c r="A11" s="317" t="str">
        <v>Total COBROS</v>
      </c>
      <c r="B11" s="284"/>
      <c r="C11" s="1214">
        <f ca="1">SUM(C6:C10)</f>
        <v>2117.5</v>
      </c>
      <c r="D11" s="1214">
        <f t="shared" ref="D11:K11" ca="1" si="1">SUM(D6:D10)</f>
        <v>2263.4791666666665</v>
      </c>
      <c r="E11" s="1214">
        <f t="shared" ca="1" si="1"/>
        <v>2486.4583333333335</v>
      </c>
      <c r="F11" s="1214">
        <f t="shared" ca="1" si="1"/>
        <v>2613.1875</v>
      </c>
      <c r="G11" s="1214">
        <f t="shared" ca="1" si="1"/>
        <v>2547.4166666666661</v>
      </c>
      <c r="H11" s="1214">
        <f t="shared" ca="1" si="1"/>
        <v>2558.645833333333</v>
      </c>
      <c r="I11" s="1214">
        <f t="shared" ca="1" si="1"/>
        <v>2531.375</v>
      </c>
      <c r="J11" s="1214">
        <f t="shared" ca="1" si="1"/>
        <v>2061.3541666666665</v>
      </c>
      <c r="K11" s="1214">
        <f t="shared" ca="1" si="1"/>
        <v>2669.333333333333</v>
      </c>
      <c r="L11" s="1214">
        <f ca="1">SUM(L6:L10)</f>
        <v>3258.0624999999995</v>
      </c>
      <c r="M11" s="1214">
        <f ca="1">SUM(M6:M10)</f>
        <v>3577.2916666666661</v>
      </c>
      <c r="N11" s="1215">
        <f ca="1">SUM(N6:N10)</f>
        <v>4570.270833333333</v>
      </c>
      <c r="O11" s="1216">
        <f t="shared" ca="1" si="0"/>
        <v>33254.375</v>
      </c>
    </row>
    <row r="12" spans="1:15" s="279" customFormat="1" ht="9.75" customHeight="1">
      <c r="A12" s="299"/>
      <c r="B12" s="285"/>
      <c r="C12" s="285"/>
      <c r="D12" s="285"/>
      <c r="E12" s="285"/>
      <c r="F12" s="285"/>
      <c r="G12" s="285"/>
      <c r="H12" s="285"/>
      <c r="I12" s="285"/>
      <c r="J12" s="285"/>
      <c r="K12" s="285"/>
      <c r="L12" s="285"/>
      <c r="M12" s="285"/>
      <c r="N12" s="285"/>
      <c r="O12" s="305"/>
    </row>
    <row r="13" spans="1:15" s="279" customFormat="1" ht="21" customHeight="1" thickBot="1">
      <c r="A13" s="301" t="s">
        <v>87</v>
      </c>
      <c r="B13" s="286"/>
      <c r="C13" s="286"/>
      <c r="D13" s="286"/>
      <c r="E13" s="286"/>
      <c r="F13" s="286"/>
      <c r="G13" s="286"/>
      <c r="H13" s="286"/>
      <c r="I13" s="286"/>
      <c r="J13" s="286"/>
      <c r="K13" s="286"/>
      <c r="L13" s="286"/>
      <c r="M13" s="286"/>
      <c r="N13" s="286"/>
      <c r="O13" s="306"/>
    </row>
    <row r="14" spans="1:15" s="293" customFormat="1" ht="21" customHeight="1">
      <c r="A14" s="1201" t="str">
        <f t="array" ref="A14:A17">'Resumen Tesorerias'!A13:A16</f>
        <v>Pagos de Gastos Fijos ( IVA incl.)</v>
      </c>
      <c r="B14" s="1195"/>
      <c r="C14" s="1217">
        <f ca="1">'G.F. 0'!B58+'G.F. 0'!B60
+IF(COLUMN(C$4)-2&lt;mes0,0,IF(COLUMN(C$4)-2&lt;mes0+'Gastos Fijos Datos'!$C$33,-'Gastos Fijos Datos'!$B$21,0))</f>
        <v>1707.9327083333333</v>
      </c>
      <c r="D14" s="1217">
        <f ca="1">'G.F. 0'!C58+'G.F. 0'!C60
+IF(COLUMN(D$4)-2&lt;mes0,0,IF(COLUMN(D$4)-2&lt;mes0+'Gastos Fijos Datos'!$C$33,-'Gastos Fijos Datos'!$B$21,0))</f>
        <v>1707.9327083333333</v>
      </c>
      <c r="E14" s="1217">
        <f ca="1">'G.F. 0'!D58+'G.F. 0'!D60
+IF(COLUMN(E$4)-2&lt;mes0,0,IF(COLUMN(E$4)-2&lt;mes0+'Gastos Fijos Datos'!$C$33,-'Gastos Fijos Datos'!$B$21,0))</f>
        <v>1707.9327083333333</v>
      </c>
      <c r="F14" s="1217">
        <f ca="1">'G.F. 0'!E58+'G.F. 0'!E60
+IF(COLUMN(F$4)-2&lt;mes0,0,IF(COLUMN(F$4)-2&lt;mes0+'Gastos Fijos Datos'!$C$33,-'Gastos Fijos Datos'!$B$21,0))</f>
        <v>1707.9327083333333</v>
      </c>
      <c r="G14" s="1217">
        <f ca="1">'G.F. 0'!F58+'G.F. 0'!F60
+IF(COLUMN(G$4)-2&lt;mes0,0,IF(COLUMN(G$4)-2&lt;mes0+'Gastos Fijos Datos'!$C$33,-'Gastos Fijos Datos'!$B$21,0))</f>
        <v>1707.9327083333333</v>
      </c>
      <c r="H14" s="1217">
        <f ca="1">'G.F. 0'!G58+'G.F. 0'!G60
+IF(COLUMN(H$4)-2&lt;mes0,0,IF(COLUMN(H$4)-2&lt;mes0+'Gastos Fijos Datos'!$C$33,-'Gastos Fijos Datos'!$B$21,0))</f>
        <v>1707.9327083333333</v>
      </c>
      <c r="I14" s="1217">
        <f ca="1">'G.F. 0'!H58+'G.F. 0'!H60
+IF(COLUMN(I$4)-2&lt;mes0,0,IF(COLUMN(I$4)-2&lt;mes0+'Gastos Fijos Datos'!$C$33,-'Gastos Fijos Datos'!$B$21,0))</f>
        <v>1707.9327083333333</v>
      </c>
      <c r="J14" s="1217">
        <f ca="1">'G.F. 0'!I58+'G.F. 0'!I60
+IF(COLUMN(J$4)-2&lt;mes0,0,IF(COLUMN(J$4)-2&lt;mes0+'Gastos Fijos Datos'!$C$33,-'Gastos Fijos Datos'!$B$21,0))</f>
        <v>1707.9327083333333</v>
      </c>
      <c r="K14" s="1217">
        <f ca="1">'G.F. 0'!J58+'G.F. 0'!J60
+IF(COLUMN(K$4)-2&lt;mes0,0,IF(COLUMN(K$4)-2&lt;mes0+'Gastos Fijos Datos'!$C$33,-'Gastos Fijos Datos'!$B$21,0))</f>
        <v>1707.9327083333333</v>
      </c>
      <c r="L14" s="1217">
        <f ca="1">'G.F. 0'!K58+'G.F. 0'!K60
+IF(COLUMN(L$4)-2&lt;mes0,0,IF(COLUMN(L$4)-2&lt;mes0+'Gastos Fijos Datos'!$C$33,-'Gastos Fijos Datos'!$B$21,0))</f>
        <v>1707.9327083333333</v>
      </c>
      <c r="M14" s="1217">
        <f ca="1">'G.F. 0'!L58+'G.F. 0'!L60
+IF(COLUMN(M$4)-2&lt;mes0,0,IF(COLUMN(M$4)-2&lt;mes0+'Gastos Fijos Datos'!$C$33,-'Gastos Fijos Datos'!$B$21,0))</f>
        <v>1707.9327083333333</v>
      </c>
      <c r="N14" s="1218">
        <f ca="1">'G.F. 0'!M58+'G.F. 0'!M60
+IF(COLUMN(N$4)-2&lt;mes0,0,IF(COLUMN(N$4)-2&lt;mes0+'Gastos Fijos Datos'!$C$33,-'Gastos Fijos Datos'!$B$21,0))</f>
        <v>1707.9327083333333</v>
      </c>
      <c r="O14" s="1219">
        <f t="shared" ca="1" si="0"/>
        <v>20495.192500000001</v>
      </c>
    </row>
    <row r="15" spans="1:15" s="292" customFormat="1" ht="21" customHeight="1">
      <c r="A15" s="1204" t="str">
        <v>Pago de compras y Costes Variables  ( IVA incl.)</v>
      </c>
      <c r="B15" s="1196"/>
      <c r="C15" s="1220">
        <f t="array" aca="1" ref="C15:N15" ca="1">'Cobros y pagos 0'!B55:M55</f>
        <v>211.75000000000003</v>
      </c>
      <c r="D15" s="1220">
        <f ca="1"/>
        <v>226.34791666666669</v>
      </c>
      <c r="E15" s="1220">
        <f ca="1"/>
        <v>248.64583333333334</v>
      </c>
      <c r="F15" s="1220">
        <f ca="1"/>
        <v>261.31875000000002</v>
      </c>
      <c r="G15" s="1220">
        <f ca="1"/>
        <v>254.7416666666667</v>
      </c>
      <c r="H15" s="1220">
        <f ca="1"/>
        <v>255.86458333333334</v>
      </c>
      <c r="I15" s="1220">
        <f ca="1"/>
        <v>253.13750000000005</v>
      </c>
      <c r="J15" s="1220">
        <f ca="1"/>
        <v>206.13541666666666</v>
      </c>
      <c r="K15" s="1220">
        <f ca="1"/>
        <v>266.93333333333334</v>
      </c>
      <c r="L15" s="1220">
        <f ca="1"/>
        <v>325.80624999999998</v>
      </c>
      <c r="M15" s="1220">
        <f ca="1"/>
        <v>357.72916666666663</v>
      </c>
      <c r="N15" s="1221">
        <f ca="1"/>
        <v>457.02708333333328</v>
      </c>
      <c r="O15" s="1222">
        <f t="shared" ca="1" si="0"/>
        <v>3325.4375</v>
      </c>
    </row>
    <row r="16" spans="1:15" s="292" customFormat="1" ht="21" customHeight="1">
      <c r="A16" s="1204" t="str">
        <v>Pagos de Gastos Financieros</v>
      </c>
      <c r="B16" s="1198"/>
      <c r="C16" s="1220">
        <f t="array" ref="C16:N16" ca="1">'Gastos Financieros'!C19:N19+'Gastos Financieros'!C15:N15*Parametros!$F$33*0</f>
        <v>105.875</v>
      </c>
      <c r="D16" s="1220">
        <f ca="1"/>
        <v>113.17395833333333</v>
      </c>
      <c r="E16" s="1220">
        <f ca="1"/>
        <v>124.32291666666669</v>
      </c>
      <c r="F16" s="1220">
        <f ca="1"/>
        <v>130.65937500000001</v>
      </c>
      <c r="G16" s="1220">
        <f ca="1"/>
        <v>127.37083333333331</v>
      </c>
      <c r="H16" s="1220">
        <f ca="1"/>
        <v>127.93229166666666</v>
      </c>
      <c r="I16" s="1220">
        <f ca="1"/>
        <v>126.56875000000001</v>
      </c>
      <c r="J16" s="1220">
        <f ca="1"/>
        <v>103.06770833333333</v>
      </c>
      <c r="K16" s="1220">
        <f ca="1"/>
        <v>133.46666666666667</v>
      </c>
      <c r="L16" s="1220">
        <f ca="1"/>
        <v>162.90312499999999</v>
      </c>
      <c r="M16" s="1220">
        <f ca="1"/>
        <v>178.86458333333331</v>
      </c>
      <c r="N16" s="1221">
        <f ca="1"/>
        <v>228.51354166666667</v>
      </c>
      <c r="O16" s="1222">
        <f t="shared" ca="1" si="0"/>
        <v>1662.71875</v>
      </c>
    </row>
    <row r="17" spans="1:15" s="292" customFormat="1" ht="21" customHeight="1">
      <c r="A17" s="1204" t="str">
        <v>Pagos de IVA de cuotas de Leasing / Renting</v>
      </c>
      <c r="B17" s="1198"/>
      <c r="C17" s="1220">
        <f t="array" ref="C17:N17">Leasing!B24:M24+Renting!B24:M24</f>
        <v>0</v>
      </c>
      <c r="D17" s="1220">
        <v>0</v>
      </c>
      <c r="E17" s="1220">
        <v>0</v>
      </c>
      <c r="F17" s="1220">
        <v>0</v>
      </c>
      <c r="G17" s="1220">
        <v>0</v>
      </c>
      <c r="H17" s="1220">
        <v>0</v>
      </c>
      <c r="I17" s="1220">
        <v>0</v>
      </c>
      <c r="J17" s="1220">
        <v>0</v>
      </c>
      <c r="K17" s="1220">
        <v>0</v>
      </c>
      <c r="L17" s="1220">
        <v>0</v>
      </c>
      <c r="M17" s="1220">
        <v>0</v>
      </c>
      <c r="N17" s="1221">
        <v>0</v>
      </c>
      <c r="O17" s="1222">
        <f t="shared" si="0"/>
        <v>0</v>
      </c>
    </row>
    <row r="18" spans="1:15" s="292" customFormat="1" ht="19.5" customHeight="1">
      <c r="A18" s="1203"/>
      <c r="C18" s="1751"/>
      <c r="D18" s="1752"/>
      <c r="E18" s="1753"/>
      <c r="F18" s="1752"/>
      <c r="G18" s="1752"/>
      <c r="H18" s="1752"/>
      <c r="I18" s="1752"/>
      <c r="J18" s="1752"/>
      <c r="K18" s="1752"/>
      <c r="L18" s="1752"/>
      <c r="M18" s="1752"/>
      <c r="N18" s="1754"/>
      <c r="O18" s="1755"/>
    </row>
    <row r="19" spans="1:15" s="292" customFormat="1" ht="21" customHeight="1">
      <c r="A19" s="1205" t="s">
        <v>395</v>
      </c>
      <c r="B19" s="1197"/>
      <c r="C19" s="1223"/>
      <c r="D19" s="1224"/>
      <c r="E19" s="1225"/>
      <c r="F19" s="1224"/>
      <c r="G19" s="1224"/>
      <c r="H19" s="1224"/>
      <c r="I19" s="1224"/>
      <c r="J19" s="1224"/>
      <c r="K19" s="1224"/>
      <c r="L19" s="1224"/>
      <c r="M19" s="1224"/>
      <c r="N19" s="1226"/>
      <c r="O19" s="1227"/>
    </row>
    <row r="20" spans="1:15" s="292" customFormat="1" ht="21" customHeight="1">
      <c r="A20" s="1204" t="str">
        <f t="array" ref="A20:A25">'Resumen Tesorerias'!A17:A22</f>
        <v>Devolución de principal de préstamos / Leasing</v>
      </c>
      <c r="B20" s="1198"/>
      <c r="C20" s="1220">
        <f t="array" ref="C20:N20">Préstamos!B24:M24+Leasing!B23:M23</f>
        <v>0</v>
      </c>
      <c r="D20" s="1220">
        <v>0</v>
      </c>
      <c r="E20" s="1220">
        <v>0</v>
      </c>
      <c r="F20" s="1220">
        <v>0</v>
      </c>
      <c r="G20" s="1220">
        <v>0</v>
      </c>
      <c r="H20" s="1220">
        <v>0</v>
      </c>
      <c r="I20" s="1220">
        <v>0</v>
      </c>
      <c r="J20" s="1220">
        <v>0</v>
      </c>
      <c r="K20" s="1220">
        <v>0</v>
      </c>
      <c r="L20" s="1220">
        <v>0</v>
      </c>
      <c r="M20" s="1220">
        <v>0</v>
      </c>
      <c r="N20" s="1221">
        <v>0</v>
      </c>
      <c r="O20" s="1222">
        <f t="shared" si="0"/>
        <v>0</v>
      </c>
    </row>
    <row r="21" spans="1:15" s="292" customFormat="1" ht="21" customHeight="1">
      <c r="A21" s="1202" t="str">
        <v>Otras salidas de caja</v>
      </c>
      <c r="B21" s="1196"/>
      <c r="C21" s="1220">
        <f ca="1">('Financiación Inicial'!$C$26+'Financiación Inicial'!$B$27)*IF(OR(mes0&gt;COLUMN(B4)-1,COLUMN(B4)-mes0&gt;6),0,INDEX('Politicas Cobros y Pagos'!$C$67:$H$67,1,COLUMN(B11)-mes0))</f>
        <v>0</v>
      </c>
      <c r="D21" s="1220">
        <f ca="1">('Financiación Inicial'!$C$26+'Financiación Inicial'!$B$27)*IF(OR(mes0&gt;COLUMN(C4)-1,COLUMN(C4)-mes0&gt;6),0,INDEX('Politicas Cobros y Pagos'!$C$67:$H$67,1,COLUMN(C11)-mes0))</f>
        <v>0</v>
      </c>
      <c r="E21" s="1220">
        <f ca="1">('Financiación Inicial'!$C$26+'Financiación Inicial'!$B$27)*IF(OR(mes0&gt;COLUMN(D4)-1,COLUMN(D4)-mes0&gt;6),0,INDEX('Politicas Cobros y Pagos'!$C$67:$H$67,1,COLUMN(D11)-mes0))</f>
        <v>0</v>
      </c>
      <c r="F21" s="1220">
        <f ca="1">('Financiación Inicial'!$C$26+'Financiación Inicial'!$B$27)*IF(OR(mes0&gt;COLUMN(E4)-1,COLUMN(E4)-mes0&gt;6),0,INDEX('Politicas Cobros y Pagos'!$C$67:$H$67,1,COLUMN(E11)-mes0))</f>
        <v>0</v>
      </c>
      <c r="G21" s="1220">
        <f ca="1">('Financiación Inicial'!$C$26+'Financiación Inicial'!$B$27)*IF(OR(mes0&gt;COLUMN(F4)-1,COLUMN(F4)-mes0&gt;6),0,INDEX('Politicas Cobros y Pagos'!$C$67:$H$67,1,COLUMN(F11)-mes0))</f>
        <v>0</v>
      </c>
      <c r="H21" s="1220">
        <f ca="1">('Financiación Inicial'!$C$26+'Financiación Inicial'!$B$27)*IF(OR(mes0&gt;COLUMN(G4)-1,COLUMN(G4)-mes0&gt;6),0,INDEX('Politicas Cobros y Pagos'!$C$67:$H$67,1,COLUMN(G11)-mes0))</f>
        <v>0</v>
      </c>
      <c r="I21" s="1220">
        <f ca="1">('Financiación Inicial'!$C$26+'Financiación Inicial'!$B$27)*IF(OR(mes0&gt;COLUMN(H4)-1,COLUMN(H4)-mes0&gt;6),0,INDEX('Politicas Cobros y Pagos'!$C$67:$H$67,1,COLUMN(H11)-mes0))</f>
        <v>0</v>
      </c>
      <c r="J21" s="1220">
        <f ca="1">('Financiación Inicial'!$C$26+'Financiación Inicial'!$B$27)*IF(OR(mes0&gt;COLUMN(I4)-1,COLUMN(I4)-mes0&gt;6),0,INDEX('Politicas Cobros y Pagos'!$C$67:$H$67,1,COLUMN(I11)-mes0))</f>
        <v>0</v>
      </c>
      <c r="K21" s="1220">
        <f ca="1">('Financiación Inicial'!$C$26+'Financiación Inicial'!$B$27)*IF(OR(mes0&gt;COLUMN(J4)-1,COLUMN(J4)-mes0&gt;6),0,INDEX('Politicas Cobros y Pagos'!$C$67:$H$67,1,COLUMN(J11)-mes0))</f>
        <v>0</v>
      </c>
      <c r="L21" s="1220">
        <f ca="1">('Financiación Inicial'!$C$26+'Financiación Inicial'!$B$27)*IF(OR(mes0&gt;COLUMN(K4)-1,COLUMN(K4)-mes0&gt;6),0,INDEX('Politicas Cobros y Pagos'!$C$67:$H$67,1,COLUMN(K11)-mes0))</f>
        <v>0</v>
      </c>
      <c r="M21" s="1220">
        <f ca="1">('Financiación Inicial'!$C$26+'Financiación Inicial'!$B$27)*IF(OR(mes0&gt;COLUMN(L4)-1,COLUMN(L4)-mes0&gt;6),0,INDEX('Politicas Cobros y Pagos'!$C$67:$H$67,1,COLUMN(L11)-mes0))</f>
        <v>0</v>
      </c>
      <c r="N21" s="1221">
        <f ca="1">('Financiación Inicial'!$C$26+'Financiación Inicial'!$B$27)*IF(OR(mes0&gt;COLUMN(M4)-1,COLUMN(M4)-mes0&gt;6),0,INDEX('Politicas Cobros y Pagos'!$C$67:$H$67,1,COLUMN(M11)-mes0))</f>
        <v>0</v>
      </c>
      <c r="O21" s="1222">
        <f t="shared" ca="1" si="0"/>
        <v>0</v>
      </c>
    </row>
    <row r="22" spans="1:15" s="292" customFormat="1" ht="21" customHeight="1">
      <c r="A22" s="1202" t="str">
        <v>Liquidaciones de IVA</v>
      </c>
      <c r="B22" s="1196"/>
      <c r="C22" s="1220">
        <f t="array" ref="C22:N22" ca="1">'IVA 0'!C24:N24</f>
        <v>0</v>
      </c>
      <c r="D22" s="1220">
        <v>0</v>
      </c>
      <c r="E22" s="1220">
        <v>0</v>
      </c>
      <c r="F22" s="1220">
        <f ca="1"/>
        <v>1009.1967613636364</v>
      </c>
      <c r="G22" s="1220">
        <v>0</v>
      </c>
      <c r="H22" s="1220">
        <v>0</v>
      </c>
      <c r="I22" s="1220">
        <f ca="1"/>
        <v>1142.2484659090908</v>
      </c>
      <c r="J22" s="1220">
        <v>0</v>
      </c>
      <c r="K22" s="1220">
        <v>0</v>
      </c>
      <c r="L22" s="1220">
        <f ca="1"/>
        <v>1070.836534090909</v>
      </c>
      <c r="M22" s="1220">
        <v>0</v>
      </c>
      <c r="N22" s="1221">
        <v>0</v>
      </c>
      <c r="O22" s="1222">
        <f ca="1">SUM(C22:N22)</f>
        <v>3222.2817613636362</v>
      </c>
    </row>
    <row r="23" spans="1:15" s="292" customFormat="1" ht="21" customHeight="1">
      <c r="A23" s="1202" t="str">
        <v>Otros pagos (I.R.P.F. / I.S. )</v>
      </c>
      <c r="B23" s="1196"/>
      <c r="C23" s="1220">
        <v>0</v>
      </c>
      <c r="D23" s="1220">
        <v>0</v>
      </c>
      <c r="E23" s="1220">
        <v>0</v>
      </c>
      <c r="F23" s="1220">
        <f ca="1">Imp.Sociedades!B18+'Ret IRPF'!E13</f>
        <v>840.86539772727292</v>
      </c>
      <c r="G23" s="1220">
        <v>0</v>
      </c>
      <c r="H23" s="1220">
        <f>IF(AND(irpf&lt;&gt;0,('Financiación Inicial'!B29&gt;'Inversiones AC'!G22)),'Financiación Inicial'!B29-'Inversiones AC'!G22,0)</f>
        <v>0</v>
      </c>
      <c r="I23" s="1220">
        <f ca="1">IF(AND(Isoc&lt;&gt;0,('Financiación Inicial'!B29&gt;'Inversiones AC'!G22)),'Financiación Inicial'!B29-'Inversiones AC'!G22,0)+'Ret IRPF'!H13</f>
        <v>959.06318181818187</v>
      </c>
      <c r="J23" s="1220">
        <v>0</v>
      </c>
      <c r="K23" s="1220">
        <v>0</v>
      </c>
      <c r="L23" s="1220">
        <f ca="1">'Ret IRPF'!K13+Imp.Sociedades!B19</f>
        <v>895.623693181818</v>
      </c>
      <c r="M23" s="1220">
        <v>0</v>
      </c>
      <c r="N23" s="1221">
        <f>Imp.Sociedades!B20</f>
        <v>0</v>
      </c>
      <c r="O23" s="1222">
        <f ca="1">SUM(C23:N23)</f>
        <v>2695.5522727272728</v>
      </c>
    </row>
    <row r="24" spans="1:15" s="292" customFormat="1" ht="21" customHeight="1">
      <c r="A24" s="1202" t="str">
        <v>Otros pagos acreedores L/P</v>
      </c>
      <c r="B24" s="1196"/>
      <c r="C24" s="1220">
        <f t="array" ref="C24:N24">'Otros cobros y pagos'!B64:M64</f>
        <v>0</v>
      </c>
      <c r="D24" s="1220">
        <v>0</v>
      </c>
      <c r="E24" s="1220">
        <v>0</v>
      </c>
      <c r="F24" s="1220">
        <v>0</v>
      </c>
      <c r="G24" s="1220">
        <v>0</v>
      </c>
      <c r="H24" s="1220">
        <v>0</v>
      </c>
      <c r="I24" s="1220">
        <v>0</v>
      </c>
      <c r="J24" s="1220">
        <v>0</v>
      </c>
      <c r="K24" s="1220">
        <v>0</v>
      </c>
      <c r="L24" s="1220">
        <v>0</v>
      </c>
      <c r="M24" s="1220">
        <v>0</v>
      </c>
      <c r="N24" s="1221">
        <v>0</v>
      </c>
      <c r="O24" s="1222">
        <f>SUM(C24:N24)</f>
        <v>0</v>
      </c>
    </row>
    <row r="25" spans="1:15" s="293" customFormat="1" ht="21" customHeight="1" thickBot="1">
      <c r="A25" s="1206" t="str">
        <v>Total PAGOS</v>
      </c>
      <c r="B25" s="1200"/>
      <c r="C25" s="1228">
        <f t="shared" ref="C25:N25" ca="1" si="2">SUM(C14:C24)</f>
        <v>2025.5577083333333</v>
      </c>
      <c r="D25" s="1228">
        <f t="shared" ca="1" si="2"/>
        <v>2047.4545833333332</v>
      </c>
      <c r="E25" s="1228">
        <f t="shared" ca="1" si="2"/>
        <v>2080.9014583333333</v>
      </c>
      <c r="F25" s="1228">
        <f t="shared" ca="1" si="2"/>
        <v>3949.9729924242424</v>
      </c>
      <c r="G25" s="1228">
        <f t="shared" ca="1" si="2"/>
        <v>2090.0452083333334</v>
      </c>
      <c r="H25" s="1228">
        <f t="shared" ca="1" si="2"/>
        <v>2091.7295833333333</v>
      </c>
      <c r="I25" s="1228">
        <f t="shared" ca="1" si="2"/>
        <v>4188.9506060606063</v>
      </c>
      <c r="J25" s="1228">
        <f t="shared" ca="1" si="2"/>
        <v>2017.1358333333333</v>
      </c>
      <c r="K25" s="1228">
        <f t="shared" ca="1" si="2"/>
        <v>2108.3327083333334</v>
      </c>
      <c r="L25" s="1228">
        <f t="shared" ca="1" si="2"/>
        <v>4163.1023106060602</v>
      </c>
      <c r="M25" s="1228">
        <f ca="1">SUM(M14:M24)</f>
        <v>2244.5264583333333</v>
      </c>
      <c r="N25" s="1229">
        <f t="shared" ca="1" si="2"/>
        <v>2393.4733333333334</v>
      </c>
      <c r="O25" s="1230">
        <f ca="1">SUM(O14:O24)</f>
        <v>31401.18278409091</v>
      </c>
    </row>
    <row r="26" spans="1:15" s="279" customFormat="1" ht="21" customHeight="1">
      <c r="A26" s="299"/>
      <c r="B26" s="323"/>
      <c r="C26" s="288"/>
      <c r="D26" s="288"/>
      <c r="E26" s="288"/>
      <c r="F26" s="288"/>
      <c r="G26" s="288"/>
      <c r="H26" s="288"/>
      <c r="I26" s="288"/>
      <c r="J26" s="288"/>
      <c r="K26" s="288"/>
      <c r="L26" s="288"/>
      <c r="M26" s="288"/>
      <c r="O26" s="307"/>
    </row>
    <row r="27" spans="1:15" s="279" customFormat="1" ht="21" customHeight="1" thickBot="1">
      <c r="A27" s="299"/>
      <c r="B27" s="287"/>
      <c r="C27" s="288"/>
      <c r="D27" s="288"/>
      <c r="E27" s="288"/>
      <c r="F27" s="288"/>
      <c r="G27" s="288"/>
      <c r="H27" s="288"/>
      <c r="I27" s="288"/>
      <c r="J27" s="288"/>
      <c r="K27" s="288"/>
      <c r="L27" s="288"/>
      <c r="M27" s="288"/>
      <c r="O27" s="307"/>
    </row>
    <row r="28" spans="1:15" s="281" customFormat="1" ht="18" customHeight="1" thickBot="1">
      <c r="A28" s="320" t="s">
        <v>398</v>
      </c>
      <c r="B28" s="297"/>
      <c r="C28" s="298" t="str">
        <f t="array" ref="C28:N28">meses</f>
        <v>enero</v>
      </c>
      <c r="D28" s="298" t="str">
        <v>febrero</v>
      </c>
      <c r="E28" s="298" t="str">
        <v>marzo</v>
      </c>
      <c r="F28" s="298" t="str">
        <v>abril</v>
      </c>
      <c r="G28" s="298" t="str">
        <v>mayo</v>
      </c>
      <c r="H28" s="298" t="str">
        <v>junio</v>
      </c>
      <c r="I28" s="298" t="str">
        <v>julio</v>
      </c>
      <c r="J28" s="298" t="str">
        <v>agosto</v>
      </c>
      <c r="K28" s="298" t="str">
        <v>septiembre</v>
      </c>
      <c r="L28" s="298" t="str">
        <v>octubre</v>
      </c>
      <c r="M28" s="298" t="str">
        <v>noviembre</v>
      </c>
      <c r="N28" s="302" t="str">
        <v>diciembre</v>
      </c>
      <c r="O28" s="303" t="str">
        <f>O4</f>
        <v>Total</v>
      </c>
    </row>
    <row r="29" spans="1:15" s="279" customFormat="1" ht="21" customHeight="1" thickBot="1">
      <c r="A29" s="321" t="s">
        <v>400</v>
      </c>
      <c r="B29" s="289"/>
      <c r="C29" s="619">
        <f t="array" ref="C29:N29" ca="1">C11:N11</f>
        <v>2117.5</v>
      </c>
      <c r="D29" s="619">
        <f ca="1"/>
        <v>2263.4791666666665</v>
      </c>
      <c r="E29" s="619">
        <f ca="1"/>
        <v>2486.4583333333335</v>
      </c>
      <c r="F29" s="619">
        <f ca="1"/>
        <v>2613.1875</v>
      </c>
      <c r="G29" s="619">
        <f ca="1"/>
        <v>2547.4166666666661</v>
      </c>
      <c r="H29" s="619">
        <f ca="1"/>
        <v>2558.645833333333</v>
      </c>
      <c r="I29" s="619">
        <f ca="1"/>
        <v>2531.375</v>
      </c>
      <c r="J29" s="619">
        <f ca="1"/>
        <v>2061.3541666666665</v>
      </c>
      <c r="K29" s="619">
        <f ca="1"/>
        <v>2669.333333333333</v>
      </c>
      <c r="L29" s="619">
        <f ca="1"/>
        <v>3258.0624999999995</v>
      </c>
      <c r="M29" s="619">
        <f ca="1"/>
        <v>3577.2916666666661</v>
      </c>
      <c r="N29" s="620">
        <f ca="1"/>
        <v>4570.270833333333</v>
      </c>
      <c r="O29" s="621">
        <f ca="1">SUM(C29:N29)</f>
        <v>33254.375</v>
      </c>
    </row>
    <row r="30" spans="1:15" s="279" customFormat="1" ht="21" customHeight="1" thickBot="1">
      <c r="A30" s="321" t="s">
        <v>399</v>
      </c>
      <c r="B30" s="284"/>
      <c r="C30" s="622">
        <f t="array" ref="C30:N30" ca="1">C25:N25</f>
        <v>2025.5577083333333</v>
      </c>
      <c r="D30" s="622">
        <f ca="1"/>
        <v>2047.4545833333332</v>
      </c>
      <c r="E30" s="622">
        <f ca="1"/>
        <v>2080.9014583333333</v>
      </c>
      <c r="F30" s="622">
        <f ca="1"/>
        <v>3949.9729924242424</v>
      </c>
      <c r="G30" s="622">
        <f ca="1"/>
        <v>2090.0452083333334</v>
      </c>
      <c r="H30" s="622">
        <f ca="1"/>
        <v>2091.7295833333333</v>
      </c>
      <c r="I30" s="622">
        <f ca="1"/>
        <v>4188.9506060606063</v>
      </c>
      <c r="J30" s="622">
        <f ca="1"/>
        <v>2017.1358333333333</v>
      </c>
      <c r="K30" s="622">
        <f ca="1"/>
        <v>2108.3327083333334</v>
      </c>
      <c r="L30" s="622">
        <f ca="1"/>
        <v>4163.1023106060602</v>
      </c>
      <c r="M30" s="622">
        <f ca="1"/>
        <v>2244.5264583333333</v>
      </c>
      <c r="N30" s="623">
        <f ca="1"/>
        <v>2393.4733333333334</v>
      </c>
      <c r="O30" s="621">
        <f ca="1">SUM(C30:N30)</f>
        <v>31401.18278409091</v>
      </c>
    </row>
    <row r="31" spans="1:15" s="279" customFormat="1" ht="21" customHeight="1" thickBot="1">
      <c r="A31" s="322" t="s">
        <v>401</v>
      </c>
      <c r="B31" s="289"/>
      <c r="C31" s="624">
        <f t="array" ref="C31:N31" ca="1">C29:N29-C30:N30</f>
        <v>91.942291666666733</v>
      </c>
      <c r="D31" s="624">
        <f ca="1"/>
        <v>216.02458333333334</v>
      </c>
      <c r="E31" s="624">
        <f ca="1"/>
        <v>405.55687500000022</v>
      </c>
      <c r="F31" s="624">
        <f ca="1"/>
        <v>-1336.7854924242424</v>
      </c>
      <c r="G31" s="624">
        <f ca="1"/>
        <v>457.37145833333261</v>
      </c>
      <c r="H31" s="624">
        <f ca="1"/>
        <v>466.91624999999976</v>
      </c>
      <c r="I31" s="624">
        <f ca="1"/>
        <v>-1657.5756060606063</v>
      </c>
      <c r="J31" s="624">
        <f ca="1"/>
        <v>44.218333333333248</v>
      </c>
      <c r="K31" s="624">
        <f ca="1"/>
        <v>561.00062499999967</v>
      </c>
      <c r="L31" s="624">
        <f ca="1"/>
        <v>-905.03981060606066</v>
      </c>
      <c r="M31" s="624">
        <f ca="1"/>
        <v>1332.7652083333328</v>
      </c>
      <c r="N31" s="625">
        <f ca="1"/>
        <v>2176.7974999999997</v>
      </c>
      <c r="O31" s="626">
        <f ca="1">O29-O30</f>
        <v>1853.19221590909</v>
      </c>
    </row>
    <row r="32" spans="1:15" s="279" customFormat="1" ht="21" customHeight="1" thickBot="1">
      <c r="A32" s="324"/>
      <c r="B32" s="289"/>
      <c r="C32" s="290"/>
      <c r="D32" s="290"/>
      <c r="E32" s="290"/>
      <c r="F32" s="290"/>
      <c r="G32" s="290"/>
      <c r="H32" s="290"/>
      <c r="I32" s="290"/>
      <c r="J32" s="290"/>
      <c r="K32" s="290"/>
      <c r="L32" s="290"/>
      <c r="M32" s="290"/>
      <c r="N32" s="627"/>
      <c r="O32" s="628"/>
    </row>
    <row r="33" spans="1:15" s="293" customFormat="1" ht="21" customHeight="1" thickBot="1">
      <c r="A33" s="1192" t="s">
        <v>720</v>
      </c>
      <c r="B33" s="1178">
        <f>'Financiación Inicial'!$B$25</f>
        <v>0</v>
      </c>
      <c r="C33" s="1179">
        <f ca="1">IF(COLUMN(C$4)-1&lt;=mes0,0,
       IF(B35+C31-B33&gt;tesoreriasec,0,MIN(B33-B35-C31+tesoreriasec,Financiación!$D$49))  )</f>
        <v>0</v>
      </c>
      <c r="D33" s="1180">
        <f ca="1">IF(COLUMN(D$4)-1&lt;=mes0,0,
       IF(C35+D31-C33&gt;tesoreriasec,0,MIN(C33-C35-D31+tesoreriasec,Financiación!$D$49))  )</f>
        <v>0</v>
      </c>
      <c r="E33" s="1180">
        <f ca="1">IF(COLUMN(E$4)-1&lt;=mes0,0,
       IF(D35+E31-D33&gt;tesoreriasec,0,MIN(D33-D35-E31+tesoreriasec,Financiación!$D$49))  )</f>
        <v>0</v>
      </c>
      <c r="F33" s="1180">
        <f ca="1">IF(COLUMN(F$4)-1&lt;=mes0,0,
       IF(E35+F31-E33&gt;tesoreriasec,0,MIN(E33-E35-F31+tesoreriasec,Financiación!$D$49))  )</f>
        <v>0</v>
      </c>
      <c r="G33" s="1180">
        <f ca="1">IF(COLUMN(G$4)-1&lt;=mes0,0,
       IF(F35+G31-F33&gt;tesoreriasec,0,MIN(F33-F35-G31+tesoreriasec,Financiación!$D$49))  )</f>
        <v>0</v>
      </c>
      <c r="H33" s="1180">
        <f ca="1">IF(COLUMN(H$4)-1&lt;=mes0,0,
       IF(G35+H31-G33&gt;tesoreriasec,0,MIN(G33-G35-H31+tesoreriasec,Financiación!$D$49))  )</f>
        <v>0</v>
      </c>
      <c r="I33" s="1180">
        <f ca="1">IF(COLUMN(I$4)-1&lt;=mes0,0,
       IF(H35+I31-H33&gt;tesoreriasec,0,MIN(H33-H35-I31+tesoreriasec,Financiación!$D$49))  )</f>
        <v>0</v>
      </c>
      <c r="J33" s="1180">
        <f ca="1">IF(COLUMN(J$4)-1&lt;=mes0,0,
       IF(I35+J31-I33&gt;tesoreriasec,0,MIN(I33-I35-J31+tesoreriasec,Financiación!$D$49))  )</f>
        <v>0</v>
      </c>
      <c r="K33" s="1180">
        <f ca="1">IF(COLUMN(K$4)-1&lt;=mes0,0,
       IF(J35+K31-J33&gt;tesoreriasec,0,MIN(J33-J35-K31+tesoreriasec,Financiación!$D$49))  )</f>
        <v>0</v>
      </c>
      <c r="L33" s="1180">
        <f ca="1">IF(COLUMN(L$4)-1&lt;=mes0,0,
       IF(K35+L31-K33&gt;tesoreriasec,0,MIN(K33-K35-L31+tesoreriasec,Financiación!$D$49))  )</f>
        <v>0</v>
      </c>
      <c r="M33" s="1180">
        <f ca="1">IF(COLUMN(M$4)-1&lt;=mes0,0,
       IF(L35+M31-L33&gt;tesoreriasec,0,MIN(L33-L35-M31+tesoreriasec,Financiación!$D$49))  )</f>
        <v>0</v>
      </c>
      <c r="N33" s="1181">
        <f ca="1">IF(COLUMN(N$4)-1&lt;=mes0,0,
       IF(M35+N31-M33&gt;tesoreriasec,0,MIN(M33-M35-N31+tesoreriasec,Financiación!$D$49))  )</f>
        <v>0</v>
      </c>
      <c r="O33" s="1182"/>
    </row>
    <row r="34" spans="1:15" s="293" customFormat="1" ht="21" customHeight="1" thickBot="1">
      <c r="A34" s="1193"/>
      <c r="B34" s="1183"/>
      <c r="C34" s="1184"/>
      <c r="D34" s="1184"/>
      <c r="E34" s="1184"/>
      <c r="F34" s="1184"/>
      <c r="G34" s="1184"/>
      <c r="H34" s="1184"/>
      <c r="I34" s="1184"/>
      <c r="J34" s="1184"/>
      <c r="K34" s="1184"/>
      <c r="L34" s="1184"/>
      <c r="M34" s="1184"/>
      <c r="O34" s="1191"/>
    </row>
    <row r="35" spans="1:15" s="293" customFormat="1" ht="21" customHeight="1" thickBot="1">
      <c r="A35" s="1194" t="s">
        <v>88</v>
      </c>
      <c r="B35" s="1186">
        <f ca="1">'Inversiones AC'!G26+'Inversiones AC'!H26</f>
        <v>3000</v>
      </c>
      <c r="C35" s="1187">
        <f ca="1">IF(COLUMN(C$4)-1&lt;mes0,0,
IF(COLUMN(C$4)-1=mes0,$B$35,B35+C31+C33-B33))</f>
        <v>3091.9422916666667</v>
      </c>
      <c r="D35" s="1188">
        <f t="shared" ref="D35:N35" ca="1" si="3">IF(COLUMN(D$4)-1&lt;mes0,0,
IF(COLUMN(D$4)-1=mes0,$B$35,C35+D31+D33-C33))</f>
        <v>3307.9668750000001</v>
      </c>
      <c r="E35" s="1188">
        <f t="shared" ca="1" si="3"/>
        <v>3713.5237500000003</v>
      </c>
      <c r="F35" s="1188">
        <f t="shared" ca="1" si="3"/>
        <v>2376.7382575757579</v>
      </c>
      <c r="G35" s="1188">
        <f t="shared" ca="1" si="3"/>
        <v>2834.1097159090905</v>
      </c>
      <c r="H35" s="1188">
        <f t="shared" ca="1" si="3"/>
        <v>3301.0259659090902</v>
      </c>
      <c r="I35" s="1188">
        <f t="shared" ca="1" si="3"/>
        <v>1643.4503598484839</v>
      </c>
      <c r="J35" s="1188">
        <f t="shared" ca="1" si="3"/>
        <v>1687.6686931818172</v>
      </c>
      <c r="K35" s="1188">
        <f t="shared" ca="1" si="3"/>
        <v>2248.6693181818168</v>
      </c>
      <c r="L35" s="1188">
        <f t="shared" ca="1" si="3"/>
        <v>1343.6295075757562</v>
      </c>
      <c r="M35" s="1188">
        <f t="shared" ca="1" si="3"/>
        <v>2676.394715909089</v>
      </c>
      <c r="N35" s="1189">
        <f t="shared" ca="1" si="3"/>
        <v>4853.1922159090882</v>
      </c>
      <c r="O35" s="1190"/>
    </row>
    <row r="36" spans="1:15" ht="18.75" customHeight="1">
      <c r="A36" s="4"/>
      <c r="B36" s="4"/>
    </row>
    <row r="37" spans="1:15" ht="18.75" customHeight="1">
      <c r="A37" s="4"/>
      <c r="B37" s="4"/>
    </row>
    <row r="38" spans="1:15" ht="18.75" customHeight="1">
      <c r="A38" s="312"/>
      <c r="B38" s="313"/>
      <c r="C38" s="310" t="s">
        <v>236</v>
      </c>
      <c r="D38" s="311" t="s">
        <v>397</v>
      </c>
    </row>
    <row r="39" spans="1:15" s="292" customFormat="1" ht="19.5" customHeight="1">
      <c r="A39" s="291"/>
      <c r="B39" s="309" t="s">
        <v>722</v>
      </c>
      <c r="C39" s="1695">
        <f ca="1">MAX(C33:N33)*0-MIN(C35:N35,0)</f>
        <v>0</v>
      </c>
      <c r="D39" s="1172" t="str">
        <f ca="1">IF(C39&lt;&gt;0,INDEX(C4:N4,1,MATCH(-C39,C35:N35,0)),"")</f>
        <v/>
      </c>
      <c r="O39" s="293"/>
    </row>
    <row r="40" spans="1:15" s="292" customFormat="1" ht="18.75" customHeight="1">
      <c r="A40" s="291"/>
      <c r="B40" s="309" t="s">
        <v>269</v>
      </c>
      <c r="C40" s="1696">
        <f ca="1">N35-B35+B33-N33</f>
        <v>1853.1922159090882</v>
      </c>
      <c r="D40" s="1173"/>
      <c r="O40" s="293"/>
    </row>
    <row r="41" spans="1:15" s="292" customFormat="1" ht="21" customHeight="1">
      <c r="A41" s="291"/>
      <c r="B41" s="309" t="s">
        <v>322</v>
      </c>
      <c r="C41" s="1697">
        <f ca="1">MAX(C35:N35)</f>
        <v>4853.1922159090882</v>
      </c>
      <c r="D41" s="1172" t="str">
        <f ca="1">INDEX(C4:N4,1,MATCH(C41,C35:N35,0))</f>
        <v>diciembre</v>
      </c>
      <c r="O41" s="293"/>
    </row>
    <row r="42" spans="1:15" ht="18" customHeight="1">
      <c r="A42" s="4"/>
      <c r="B42" s="4"/>
    </row>
    <row r="43" spans="1:15">
      <c r="A43" s="4"/>
      <c r="B43" s="4"/>
    </row>
    <row r="44" spans="1:15" ht="15">
      <c r="A44" s="35"/>
      <c r="B44" s="35"/>
    </row>
    <row r="45" spans="1:15" ht="15">
      <c r="A45" s="35"/>
      <c r="B45" s="35"/>
    </row>
    <row r="46" spans="1:15" ht="15">
      <c r="A46" s="35"/>
      <c r="B46" s="35"/>
    </row>
    <row r="47" spans="1:15" ht="15">
      <c r="A47" s="35"/>
      <c r="B47" s="35"/>
    </row>
    <row r="48" spans="1:15" ht="15">
      <c r="A48" s="35"/>
      <c r="B48" s="35"/>
    </row>
    <row r="49" spans="1:2" ht="15">
      <c r="A49" s="35"/>
      <c r="B49" s="35"/>
    </row>
    <row r="50" spans="1:2" ht="15">
      <c r="A50" s="35"/>
      <c r="B50" s="35"/>
    </row>
    <row r="51" spans="1:2" ht="15">
      <c r="A51" s="35"/>
      <c r="B51" s="35"/>
    </row>
    <row r="52" spans="1:2" ht="15">
      <c r="A52" s="35"/>
      <c r="B52" s="35"/>
    </row>
    <row r="53" spans="1:2" ht="15">
      <c r="A53" s="35"/>
      <c r="B53" s="35"/>
    </row>
    <row r="54" spans="1:2" ht="15">
      <c r="A54" s="35"/>
      <c r="B54" s="35"/>
    </row>
    <row r="55" spans="1:2" ht="15">
      <c r="A55" s="35"/>
      <c r="B55" s="35"/>
    </row>
    <row r="56" spans="1:2" ht="15">
      <c r="A56" s="35"/>
      <c r="B56" s="35"/>
    </row>
    <row r="57" spans="1:2" ht="15">
      <c r="A57" s="35"/>
      <c r="B57" s="35"/>
    </row>
    <row r="58" spans="1:2" ht="15">
      <c r="A58" s="35"/>
      <c r="B58" s="35"/>
    </row>
    <row r="59" spans="1:2" ht="15">
      <c r="A59" s="35"/>
      <c r="B59" s="35"/>
    </row>
    <row r="60" spans="1:2" ht="15">
      <c r="A60" s="35"/>
      <c r="B60" s="35"/>
    </row>
  </sheetData>
  <sheetProtection sheet="1" objects="1" scenarios="1"/>
  <phoneticPr fontId="6" type="noConversion"/>
  <conditionalFormatting sqref="C6:N11 C14:N25 C29:N31 C33:N33">
    <cfRule type="expression" dxfId="7" priority="1" stopIfTrue="1">
      <formula>COLUMN(C$4)&lt;=mes0+1</formula>
    </cfRule>
  </conditionalFormatting>
  <conditionalFormatting sqref="C35:N35">
    <cfRule type="expression" dxfId="6" priority="2" stopIfTrue="1">
      <formula>COLUMN(C35)&lt;=mes0</formula>
    </cfRule>
  </conditionalFormatting>
  <printOptions horizontalCentered="1" verticalCentered="1"/>
  <pageMargins left="0.19685039370078741" right="0.19685039370078741" top="0.39370078740157483" bottom="0.39370078740157483" header="0.11811023622047245" footer="0.11811023622047245"/>
  <pageSetup paperSize="9" scale="64" orientation="landscape" horizontalDpi="300" verticalDpi="300" r:id="rId1"/>
  <headerFooter alignWithMargins="0">
    <oddFooter>&amp;C&amp;"Tahoma,Normal"&amp;10&amp;A</oddFooter>
  </headerFooter>
  <legacy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31">
    <tabColor indexed="43"/>
    <pageSetUpPr fitToPage="1"/>
  </sheetPr>
  <dimension ref="A1:O60"/>
  <sheetViews>
    <sheetView workbookViewId="0"/>
  </sheetViews>
  <sheetFormatPr baseColWidth="10" defaultColWidth="11" defaultRowHeight="12.75"/>
  <cols>
    <col min="1" max="1" width="29.25" style="87" customWidth="1"/>
    <col min="2" max="2" width="12" style="87" customWidth="1"/>
    <col min="3" max="3" width="11.875" style="87" customWidth="1"/>
    <col min="4" max="4" width="13.125" style="87" customWidth="1"/>
    <col min="5" max="5" width="13.5" style="87" customWidth="1"/>
    <col min="6" max="7" width="12.125" style="87" bestFit="1" customWidth="1"/>
    <col min="8" max="8" width="11.375" style="87" customWidth="1"/>
    <col min="9" max="9" width="12.5" style="87" customWidth="1"/>
    <col min="10" max="13" width="11.375" style="87" customWidth="1"/>
    <col min="14" max="14" width="12.5" style="87" customWidth="1"/>
    <col min="15" max="15" width="13.375" style="279" customWidth="1"/>
    <col min="16" max="16384" width="11" style="87"/>
  </cols>
  <sheetData>
    <row r="1" spans="1:15" ht="22.5">
      <c r="A1" s="294" t="str">
        <f>'Tesorería 0'!A1</f>
        <v>Previsiones de Cobros y Pagos: Previsiones de Tesorería</v>
      </c>
      <c r="B1" s="275"/>
      <c r="E1" s="277"/>
      <c r="F1" s="2700" t="str">
        <f>Parametros!C$77</f>
        <v>Año 1:  2027</v>
      </c>
      <c r="G1" s="296"/>
      <c r="H1" s="277"/>
      <c r="I1" s="161"/>
      <c r="J1" s="278"/>
      <c r="K1" s="161"/>
    </row>
    <row r="2" spans="1:15" ht="25.5">
      <c r="A2" s="295" t="str">
        <f>'Datos Básicos'!B9</f>
        <v>nombre empresa</v>
      </c>
      <c r="B2" s="280"/>
      <c r="D2" s="274"/>
      <c r="F2" s="277"/>
      <c r="G2" s="161"/>
      <c r="H2" s="161"/>
      <c r="I2" s="161"/>
      <c r="J2" s="161"/>
      <c r="K2" s="161"/>
    </row>
    <row r="3" spans="1:15" ht="15.75" thickBot="1">
      <c r="A3" s="35"/>
      <c r="B3" s="35"/>
    </row>
    <row r="4" spans="1:15" s="281" customFormat="1" ht="18" customHeight="1" thickBot="1">
      <c r="A4" s="314" t="s">
        <v>0</v>
      </c>
      <c r="B4" s="297"/>
      <c r="C4" s="298" t="str">
        <f t="array" ref="C4:N4">meses</f>
        <v>enero</v>
      </c>
      <c r="D4" s="298" t="str">
        <v>febrero</v>
      </c>
      <c r="E4" s="298" t="str">
        <v>marzo</v>
      </c>
      <c r="F4" s="298" t="str">
        <v>abril</v>
      </c>
      <c r="G4" s="298" t="str">
        <v>mayo</v>
      </c>
      <c r="H4" s="298" t="str">
        <v>junio</v>
      </c>
      <c r="I4" s="298" t="str">
        <v>julio</v>
      </c>
      <c r="J4" s="298" t="str">
        <v>agosto</v>
      </c>
      <c r="K4" s="298" t="str">
        <v>septiembre</v>
      </c>
      <c r="L4" s="298" t="str">
        <v>octubre</v>
      </c>
      <c r="M4" s="298" t="str">
        <v>noviembre</v>
      </c>
      <c r="N4" s="302" t="str">
        <v>diciembre</v>
      </c>
      <c r="O4" s="303" t="s">
        <v>11</v>
      </c>
    </row>
    <row r="5" spans="1:15" s="281" customFormat="1" ht="18" customHeight="1" thickBot="1">
      <c r="A5" s="301" t="str">
        <f t="array" ref="A5:A11">'Resumen Tesorerias'!A4:A10</f>
        <v>COBROS</v>
      </c>
      <c r="B5" s="282"/>
      <c r="C5" s="282"/>
      <c r="D5" s="282"/>
      <c r="E5" s="282"/>
      <c r="F5" s="282"/>
      <c r="G5" s="282"/>
      <c r="H5" s="282"/>
      <c r="I5" s="282"/>
      <c r="J5" s="282"/>
      <c r="K5" s="282"/>
      <c r="L5" s="282"/>
      <c r="M5" s="282"/>
      <c r="O5" s="304"/>
    </row>
    <row r="6" spans="1:15" ht="21" customHeight="1">
      <c r="A6" s="1177" t="str">
        <v>Cobro de ventas</v>
      </c>
      <c r="B6" s="318"/>
      <c r="C6" s="1207">
        <f t="array" aca="1" ref="C6:N6" ca="1">'Cobros y pagos 1'!B28:M28</f>
        <v>3388</v>
      </c>
      <c r="D6" s="1207">
        <f ca="1"/>
        <v>4235</v>
      </c>
      <c r="E6" s="1207">
        <f ca="1"/>
        <v>4658.5</v>
      </c>
      <c r="F6" s="1207">
        <f ca="1"/>
        <v>4446.75</v>
      </c>
      <c r="G6" s="1207">
        <f ca="1"/>
        <v>3811.5</v>
      </c>
      <c r="H6" s="1207">
        <f ca="1"/>
        <v>3599.75</v>
      </c>
      <c r="I6" s="1207">
        <f ca="1"/>
        <v>3388</v>
      </c>
      <c r="J6" s="1207">
        <f ca="1"/>
        <v>2541</v>
      </c>
      <c r="K6" s="1207">
        <f ca="1"/>
        <v>3388</v>
      </c>
      <c r="L6" s="1207">
        <f ca="1"/>
        <v>4023.25</v>
      </c>
      <c r="M6" s="1207">
        <f ca="1"/>
        <v>4235</v>
      </c>
      <c r="N6" s="1208">
        <f ca="1"/>
        <v>5082</v>
      </c>
      <c r="O6" s="1209">
        <f t="shared" ref="O6:O11" ca="1" si="0">SUM(C6:N6)</f>
        <v>46796.75</v>
      </c>
    </row>
    <row r="7" spans="1:15" ht="21" customHeight="1">
      <c r="A7" s="1176" t="str">
        <v>Cobros pendientes / Cobros en mora</v>
      </c>
      <c r="B7" s="283"/>
      <c r="C7" s="1211">
        <f ca="1">'Inversiones AC'!$G$24*IF(OR(mes0&lt;=7,COLUMN(B4)&gt;mes0-6),0,INDEX('Politicas Cobros y Pagos'!$C$19:$H$19,1,COLUMN(B4)-mes0+12))
+recmorosos*'Cobros y pagos 0'!$S$31/12
+Financiación!$E$19*Parametros!B54</f>
        <v>0</v>
      </c>
      <c r="D7" s="1211">
        <f ca="1">'Inversiones AC'!$G$24*IF(OR(mes0&lt;=7,COLUMN(C4)&gt;mes0-6),0,INDEX('Politicas Cobros y Pagos'!$C$19:$H$19,1,COLUMN(C4)-mes0+12))
+recmorosos*'Cobros y pagos 0'!$S$31/12
+Financiación!$E$19*Parametros!C54</f>
        <v>0</v>
      </c>
      <c r="E7" s="1211">
        <f ca="1">'Inversiones AC'!$G$24*IF(OR(mes0&lt;=7,COLUMN(D4)&gt;mes0-6),0,INDEX('Politicas Cobros y Pagos'!$C$19:$H$19,1,COLUMN(D4)-mes0+12))
+recmorosos*'Cobros y pagos 0'!$S$31/12
+Financiación!$E$19*Parametros!D54</f>
        <v>0</v>
      </c>
      <c r="F7" s="1211">
        <f ca="1">'Inversiones AC'!$G$24*IF(OR(mes0&lt;=7,COLUMN(E4)&gt;mes0-6),0,INDEX('Politicas Cobros y Pagos'!$C$19:$H$19,1,COLUMN(E4)-mes0+12))
+recmorosos*'Cobros y pagos 0'!$S$31/12
+Financiación!$E$19*Parametros!E54</f>
        <v>0</v>
      </c>
      <c r="G7" s="1211">
        <f ca="1">'Inversiones AC'!$G$24*IF(OR(mes0&lt;=7,COLUMN(F4)&gt;mes0-6),0,INDEX('Politicas Cobros y Pagos'!$C$19:$H$19,1,COLUMN(F4)-mes0+12))
+recmorosos*'Cobros y pagos 0'!$S$31/12
+Financiación!$E$19*Parametros!F54</f>
        <v>0</v>
      </c>
      <c r="H7" s="1211">
        <f ca="1">'Inversiones AC'!$G$24*IF(OR(mes0&lt;=7,COLUMN(G4)&gt;mes0-6),0,INDEX('Politicas Cobros y Pagos'!$C$19:$H$19,1,COLUMN(G4)-mes0+12))
+recmorosos*'Cobros y pagos 0'!$S$31/12
+Financiación!$E$19*Parametros!G54</f>
        <v>0</v>
      </c>
      <c r="I7" s="1211">
        <f ca="1">'Inversiones AC'!$G$24*IF(OR(mes0&lt;=7,COLUMN(H4)&gt;mes0-6),0,INDEX('Politicas Cobros y Pagos'!$C$19:$H$19,1,COLUMN(H4)-mes0+12))
+recmorosos*'Cobros y pagos 0'!$S$31/12
+Financiación!$E$19*Parametros!H54</f>
        <v>0</v>
      </c>
      <c r="J7" s="1211">
        <f ca="1">'Inversiones AC'!$G$24*IF(OR(mes0&lt;=7,COLUMN(I4)&gt;mes0-6),0,INDEX('Politicas Cobros y Pagos'!$C$19:$H$19,1,COLUMN(I4)-mes0+12))
+recmorosos*'Cobros y pagos 0'!$S$31/12
+Financiación!$E$19*Parametros!I54</f>
        <v>0</v>
      </c>
      <c r="K7" s="1211">
        <f ca="1">'Inversiones AC'!$G$24*IF(OR(mes0&lt;=7,COLUMN(J4)&gt;mes0-6),0,INDEX('Politicas Cobros y Pagos'!$C$19:$H$19,1,COLUMN(J4)-mes0+12))
+recmorosos*'Cobros y pagos 0'!$S$31/12
+Financiación!$E$19*Parametros!J54</f>
        <v>0</v>
      </c>
      <c r="L7" s="1211">
        <f ca="1">'Inversiones AC'!$G$24*IF(OR(mes0&lt;=7,COLUMN(K4)&gt;mes0-6),0,INDEX('Politicas Cobros y Pagos'!$C$19:$H$19,1,COLUMN(K4)-mes0+12))
+recmorosos*'Cobros y pagos 0'!$S$31/12
+Financiación!$E$19*Parametros!K54</f>
        <v>0</v>
      </c>
      <c r="M7" s="1211">
        <f ca="1">'Inversiones AC'!$G$24*IF(OR(mes0&lt;=7,COLUMN(L4)&gt;mes0-6),0,INDEX('Politicas Cobros y Pagos'!$C$19:$H$19,1,COLUMN(L4)-mes0+12))
+recmorosos*'Cobros y pagos 0'!$S$31/12
+Financiación!$E$19*Parametros!L54</f>
        <v>0</v>
      </c>
      <c r="N7" s="1212">
        <f ca="1">'Inversiones AC'!$G$24*IF(OR(mes0&lt;=7,COLUMN(M4)&gt;mes0-6),0,INDEX('Politicas Cobros y Pagos'!$C$19:$H$19,1,COLUMN(M4)-mes0+12))
+recmorosos*'Cobros y pagos 0'!$S$31/12
+Financiación!$E$19*Parametros!M54</f>
        <v>0</v>
      </c>
      <c r="O7" s="1213">
        <f t="shared" ca="1" si="0"/>
        <v>0</v>
      </c>
    </row>
    <row r="8" spans="1:15" ht="21" customHeight="1">
      <c r="A8" s="1176" t="str">
        <v>Otras entradas</v>
      </c>
      <c r="B8" s="319"/>
      <c r="C8" s="1211">
        <v>0</v>
      </c>
      <c r="D8" s="1211">
        <v>0</v>
      </c>
      <c r="E8" s="1211">
        <v>0</v>
      </c>
      <c r="F8" s="1211">
        <v>0</v>
      </c>
      <c r="G8" s="1211">
        <v>0</v>
      </c>
      <c r="H8" s="1211">
        <v>0</v>
      </c>
      <c r="I8" s="1211">
        <v>0</v>
      </c>
      <c r="J8" s="1211">
        <f ca="1">IF('IRPF Prof y Autónomos'!K25&lt;0,-'IRPF Prof y Autónomos'!K25*'IRPF Prof y Autónomos'!K19,0)</f>
        <v>805.93526590909232</v>
      </c>
      <c r="K8" s="1211">
        <v>0</v>
      </c>
      <c r="L8" s="1211">
        <v>0</v>
      </c>
      <c r="M8" s="1211">
        <v>0</v>
      </c>
      <c r="N8" s="1212">
        <f>IF(Imp.Sociedades!$B$23&lt;0,-Imp.Sociedades!$B$23,0)</f>
        <v>0</v>
      </c>
      <c r="O8" s="1213">
        <f t="shared" ca="1" si="0"/>
        <v>805.93526590909232</v>
      </c>
    </row>
    <row r="9" spans="1:15" ht="21" customHeight="1">
      <c r="A9" s="1176" t="str">
        <v>Devoluciones de IVA</v>
      </c>
      <c r="B9" s="319"/>
      <c r="C9" s="1211">
        <f t="array" ref="C9:N9">'IVA 1'!C26:N26</f>
        <v>0</v>
      </c>
      <c r="D9" s="1211">
        <v>0</v>
      </c>
      <c r="E9" s="1211">
        <v>0</v>
      </c>
      <c r="F9" s="1211">
        <v>0</v>
      </c>
      <c r="G9" s="1211">
        <v>0</v>
      </c>
      <c r="H9" s="1211">
        <f ca="1"/>
        <v>0</v>
      </c>
      <c r="I9" s="1211">
        <v>0</v>
      </c>
      <c r="J9" s="1211">
        <v>0</v>
      </c>
      <c r="K9" s="1211">
        <v>0</v>
      </c>
      <c r="L9" s="1211">
        <v>0</v>
      </c>
      <c r="M9" s="1211">
        <v>0</v>
      </c>
      <c r="N9" s="1212">
        <v>0</v>
      </c>
      <c r="O9" s="1213">
        <f t="shared" ca="1" si="0"/>
        <v>0</v>
      </c>
    </row>
    <row r="10" spans="1:15" ht="21" customHeight="1">
      <c r="A10" s="1176" t="str">
        <v>Ingresos financieros</v>
      </c>
      <c r="B10" s="319"/>
      <c r="C10" s="1211">
        <f t="array" ref="C10:N10" ca="1">'Gastos Financieros'!C92:N92</f>
        <v>0</v>
      </c>
      <c r="D10" s="1211">
        <f ca="1"/>
        <v>0</v>
      </c>
      <c r="E10" s="1211">
        <f ca="1"/>
        <v>0</v>
      </c>
      <c r="F10" s="1211">
        <f ca="1"/>
        <v>0</v>
      </c>
      <c r="G10" s="1211">
        <f ca="1"/>
        <v>0</v>
      </c>
      <c r="H10" s="1211">
        <f ca="1"/>
        <v>0</v>
      </c>
      <c r="I10" s="1211">
        <f ca="1"/>
        <v>0</v>
      </c>
      <c r="J10" s="1211">
        <f ca="1"/>
        <v>0</v>
      </c>
      <c r="K10" s="1211">
        <f ca="1"/>
        <v>0</v>
      </c>
      <c r="L10" s="1211">
        <f ca="1"/>
        <v>0</v>
      </c>
      <c r="M10" s="1211">
        <f ca="1"/>
        <v>0</v>
      </c>
      <c r="N10" s="1212">
        <f ca="1"/>
        <v>0</v>
      </c>
      <c r="O10" s="1213">
        <f t="shared" ca="1" si="0"/>
        <v>0</v>
      </c>
    </row>
    <row r="11" spans="1:15" s="279" customFormat="1" ht="21" customHeight="1" thickBot="1">
      <c r="A11" s="317" t="str">
        <v>Total COBROS</v>
      </c>
      <c r="B11" s="284"/>
      <c r="C11" s="1214">
        <f ca="1">SUM(C6:C10)</f>
        <v>3388</v>
      </c>
      <c r="D11" s="1214">
        <f t="shared" ref="D11:K11" ca="1" si="1">SUM(D6:D10)</f>
        <v>4235</v>
      </c>
      <c r="E11" s="1214">
        <f t="shared" ca="1" si="1"/>
        <v>4658.5</v>
      </c>
      <c r="F11" s="1214">
        <f ca="1">SUM(F6:F10)</f>
        <v>4446.75</v>
      </c>
      <c r="G11" s="1214">
        <f t="shared" ca="1" si="1"/>
        <v>3811.5</v>
      </c>
      <c r="H11" s="1214">
        <f t="shared" ca="1" si="1"/>
        <v>3599.75</v>
      </c>
      <c r="I11" s="1214">
        <f t="shared" ca="1" si="1"/>
        <v>3388</v>
      </c>
      <c r="J11" s="1214">
        <f t="shared" ca="1" si="1"/>
        <v>3346.9352659090923</v>
      </c>
      <c r="K11" s="1214">
        <f t="shared" ca="1" si="1"/>
        <v>3388</v>
      </c>
      <c r="L11" s="1214">
        <f ca="1">SUM(L6:L10)</f>
        <v>4023.25</v>
      </c>
      <c r="M11" s="1214">
        <f ca="1">SUM(M6:M10)</f>
        <v>4235</v>
      </c>
      <c r="N11" s="1215">
        <f ca="1">SUM(N6:N10)</f>
        <v>5082</v>
      </c>
      <c r="O11" s="1216">
        <f t="shared" ca="1" si="0"/>
        <v>47602.685265909095</v>
      </c>
    </row>
    <row r="12" spans="1:15" s="279" customFormat="1" ht="9.75" customHeight="1">
      <c r="A12" s="299"/>
      <c r="B12" s="285"/>
      <c r="C12" s="285"/>
      <c r="D12" s="285"/>
      <c r="E12" s="285"/>
      <c r="F12" s="285"/>
      <c r="G12" s="285"/>
      <c r="H12" s="285"/>
      <c r="I12" s="285"/>
      <c r="J12" s="285"/>
      <c r="K12" s="285"/>
      <c r="L12" s="285"/>
      <c r="M12" s="285"/>
      <c r="N12" s="285"/>
      <c r="O12" s="305"/>
    </row>
    <row r="13" spans="1:15" s="279" customFormat="1" ht="21" customHeight="1" thickBot="1">
      <c r="A13" s="301" t="s">
        <v>87</v>
      </c>
      <c r="B13" s="286"/>
      <c r="C13" s="286"/>
      <c r="D13" s="286"/>
      <c r="E13" s="286"/>
      <c r="F13" s="286"/>
      <c r="G13" s="286"/>
      <c r="H13" s="286"/>
      <c r="I13" s="286"/>
      <c r="J13" s="286"/>
      <c r="K13" s="286"/>
      <c r="L13" s="286"/>
      <c r="M13" s="286"/>
      <c r="N13" s="286"/>
      <c r="O13" s="306"/>
    </row>
    <row r="14" spans="1:15" s="293" customFormat="1" ht="21" customHeight="1">
      <c r="A14" s="1201" t="str">
        <f t="array" ref="A14:A17">'Resumen Tesorerias'!A13:A16</f>
        <v>Pagos de Gastos Fijos ( IVA incl.)</v>
      </c>
      <c r="B14" s="1195"/>
      <c r="C14" s="1217">
        <f ca="1">'G.F. 1'!B58+'G.F. 1'!B60
+IF(mes0+'Gastos Fijos Datos'!$C$33&lt;13,0,IF(COLUMN(C$4)-2+11&lt;mes0+'Gastos Fijos Datos'!$C$33,-'Gastos Fijos Datos'!$B$21,0))</f>
        <v>1813.5173499999999</v>
      </c>
      <c r="D14" s="1217">
        <f ca="1">'G.F. 1'!C58+'G.F. 1'!C60
+IF(mes0+'Gastos Fijos Datos'!$C$33&lt;13,0,IF(COLUMN(D$4)-2+11&lt;mes0+'Gastos Fijos Datos'!$C$33,-'Gastos Fijos Datos'!$B$21,0))</f>
        <v>1813.5173499999999</v>
      </c>
      <c r="E14" s="1217">
        <f ca="1">'G.F. 1'!D58+'G.F. 1'!D60
+IF(mes0+'Gastos Fijos Datos'!$C$33&lt;13,0,IF(COLUMN(E$4)-2+11&lt;mes0+'Gastos Fijos Datos'!$C$33,-'Gastos Fijos Datos'!$B$21,0))</f>
        <v>1813.5173499999999</v>
      </c>
      <c r="F14" s="1217">
        <f ca="1">'G.F. 1'!E58+'G.F. 1'!E60
+IF(mes0+'Gastos Fijos Datos'!$C$33&lt;13,0,IF(COLUMN(F$4)-2+11&lt;mes0+'Gastos Fijos Datos'!$C$33,-'Gastos Fijos Datos'!$B$21,0))</f>
        <v>1813.5173499999999</v>
      </c>
      <c r="G14" s="1217">
        <f ca="1">'G.F. 1'!F58+'G.F. 1'!F60
+IF(mes0+'Gastos Fijos Datos'!$C$33&lt;13,0,IF(COLUMN(G$4)-2+11&lt;mes0+'Gastos Fijos Datos'!$C$33,-'Gastos Fijos Datos'!$B$21,0))</f>
        <v>1813.5173499999999</v>
      </c>
      <c r="H14" s="1217">
        <f ca="1">'G.F. 1'!G58+'G.F. 1'!G60
+IF(mes0+'Gastos Fijos Datos'!$C$33&lt;13,0,IF(COLUMN(H$4)-2+11&lt;mes0+'Gastos Fijos Datos'!$C$33,-'Gastos Fijos Datos'!$B$21,0))</f>
        <v>1813.5173499999999</v>
      </c>
      <c r="I14" s="1217">
        <f ca="1">'G.F. 1'!H58+'G.F. 1'!H60
+IF(mes0+'Gastos Fijos Datos'!$C$33&lt;13,0,IF(COLUMN(I$4)-2+11&lt;mes0+'Gastos Fijos Datos'!$C$33,-'Gastos Fijos Datos'!$B$21,0))</f>
        <v>1813.5173499999999</v>
      </c>
      <c r="J14" s="1217">
        <f ca="1">'G.F. 1'!I58+'G.F. 1'!I60
+IF(mes0+'Gastos Fijos Datos'!$C$33&lt;13,0,IF(COLUMN(J$4)-2+11&lt;mes0+'Gastos Fijos Datos'!$C$33,-'Gastos Fijos Datos'!$B$21,0))</f>
        <v>1813.5173499999999</v>
      </c>
      <c r="K14" s="1217">
        <f ca="1">'G.F. 1'!J58+'G.F. 1'!J60
+IF(mes0+'Gastos Fijos Datos'!$C$33&lt;13,0,IF(COLUMN(K$4)-2+11&lt;mes0+'Gastos Fijos Datos'!$C$33,-'Gastos Fijos Datos'!$B$21,0))</f>
        <v>1813.5173499999999</v>
      </c>
      <c r="L14" s="1217">
        <f ca="1">'G.F. 1'!K58+'G.F. 1'!K60
+IF(mes0+'Gastos Fijos Datos'!$C$33&lt;13,0,IF(COLUMN(L$4)-2+11&lt;mes0+'Gastos Fijos Datos'!$C$33,-'Gastos Fijos Datos'!$B$21,0))</f>
        <v>1813.5173499999999</v>
      </c>
      <c r="M14" s="1217">
        <f ca="1">'G.F. 1'!L58+'G.F. 1'!L60
+IF(mes0+'Gastos Fijos Datos'!$C$33&lt;13,0,IF(COLUMN(M$4)-2+11&lt;mes0+'Gastos Fijos Datos'!$C$33,-'Gastos Fijos Datos'!$B$21,0))</f>
        <v>1813.5173499999999</v>
      </c>
      <c r="N14" s="1218">
        <f ca="1">'G.F. 1'!M58+'G.F. 1'!M60
+IF(mes0+'Gastos Fijos Datos'!$C$33&lt;13,0,IF(COLUMN(N$4)-2+11&lt;mes0+'Gastos Fijos Datos'!$C$33,-'Gastos Fijos Datos'!$B$21,0))</f>
        <v>1813.5173499999999</v>
      </c>
      <c r="O14" s="1219">
        <f ca="1">SUM(C14:N14)</f>
        <v>21762.208199999994</v>
      </c>
    </row>
    <row r="15" spans="1:15" s="292" customFormat="1" ht="21" customHeight="1">
      <c r="A15" s="1202" t="str">
        <v>Pago de compras y Costes Variables  ( IVA incl.)</v>
      </c>
      <c r="B15" s="1196"/>
      <c r="C15" s="1220">
        <f t="array" aca="1" ref="C15:N15" ca="1">'Cobros y pagos 1'!B55:M55</f>
        <v>338.8</v>
      </c>
      <c r="D15" s="1220">
        <f ca="1"/>
        <v>423.50000000000006</v>
      </c>
      <c r="E15" s="1220">
        <f ca="1"/>
        <v>465.85000000000008</v>
      </c>
      <c r="F15" s="1220">
        <f ca="1"/>
        <v>444.67500000000007</v>
      </c>
      <c r="G15" s="1220">
        <f ca="1"/>
        <v>381.15000000000009</v>
      </c>
      <c r="H15" s="1220">
        <f ca="1"/>
        <v>359.97500000000002</v>
      </c>
      <c r="I15" s="1220">
        <f ca="1"/>
        <v>338.8</v>
      </c>
      <c r="J15" s="1220">
        <f ca="1"/>
        <v>254.10000000000002</v>
      </c>
      <c r="K15" s="1220">
        <f ca="1"/>
        <v>338.8</v>
      </c>
      <c r="L15" s="1220">
        <f ca="1"/>
        <v>402.32500000000005</v>
      </c>
      <c r="M15" s="1220">
        <f ca="1"/>
        <v>423.50000000000006</v>
      </c>
      <c r="N15" s="1221">
        <f ca="1"/>
        <v>508.20000000000005</v>
      </c>
      <c r="O15" s="1222">
        <f ca="1">SUM(C15:N15)</f>
        <v>4679.6750000000002</v>
      </c>
    </row>
    <row r="16" spans="1:15" s="292" customFormat="1" ht="21" customHeight="1">
      <c r="A16" s="1202" t="str">
        <v>Pagos de Gastos Financieros</v>
      </c>
      <c r="B16" s="1196"/>
      <c r="C16" s="1220">
        <f t="array" ref="C16:N16" ca="1">'Gastos Financieros'!C34:N34+'Gastos Financieros'!C30:N30*Parametros!$F$33*0</f>
        <v>169.4</v>
      </c>
      <c r="D16" s="1220">
        <f ca="1"/>
        <v>211.75</v>
      </c>
      <c r="E16" s="1220">
        <f ca="1"/>
        <v>232.92500000000001</v>
      </c>
      <c r="F16" s="1220">
        <f ca="1"/>
        <v>222.33750000000001</v>
      </c>
      <c r="G16" s="1220">
        <f ca="1"/>
        <v>190.57500000000002</v>
      </c>
      <c r="H16" s="1220">
        <f ca="1"/>
        <v>179.98750000000001</v>
      </c>
      <c r="I16" s="1220">
        <f ca="1"/>
        <v>169.4</v>
      </c>
      <c r="J16" s="1220">
        <f ca="1"/>
        <v>127.05000000000001</v>
      </c>
      <c r="K16" s="1220">
        <f ca="1"/>
        <v>169.4</v>
      </c>
      <c r="L16" s="1220">
        <f ca="1"/>
        <v>201.16250000000002</v>
      </c>
      <c r="M16" s="1220">
        <f ca="1"/>
        <v>211.75</v>
      </c>
      <c r="N16" s="1221">
        <f ca="1"/>
        <v>254.10000000000002</v>
      </c>
      <c r="O16" s="1222">
        <f ca="1">SUM(C16:N16)</f>
        <v>2339.8375000000001</v>
      </c>
    </row>
    <row r="17" spans="1:15" s="292" customFormat="1" ht="21" customHeight="1">
      <c r="A17" s="1202" t="str">
        <v>Pagos de IVA de cuotas de Leasing / Renting</v>
      </c>
      <c r="B17" s="1196"/>
      <c r="C17" s="1220">
        <f t="array" ref="C17:N17">+Leasing!B32:M32+Renting!B31:M31</f>
        <v>0</v>
      </c>
      <c r="D17" s="1220">
        <v>0</v>
      </c>
      <c r="E17" s="1220">
        <v>0</v>
      </c>
      <c r="F17" s="1220">
        <v>0</v>
      </c>
      <c r="G17" s="1220">
        <v>0</v>
      </c>
      <c r="H17" s="1220">
        <v>0</v>
      </c>
      <c r="I17" s="1220">
        <v>0</v>
      </c>
      <c r="J17" s="1220">
        <v>0</v>
      </c>
      <c r="K17" s="1220">
        <v>0</v>
      </c>
      <c r="L17" s="1220">
        <v>0</v>
      </c>
      <c r="M17" s="1220">
        <v>0</v>
      </c>
      <c r="N17" s="1221">
        <v>0</v>
      </c>
      <c r="O17" s="1222">
        <f>SUM(C17:N17)</f>
        <v>0</v>
      </c>
    </row>
    <row r="18" spans="1:15" s="292" customFormat="1" ht="9.75" customHeight="1">
      <c r="A18" s="1203"/>
      <c r="C18" s="1751"/>
      <c r="D18" s="1752"/>
      <c r="E18" s="1753"/>
      <c r="F18" s="1752"/>
      <c r="G18" s="1752"/>
      <c r="H18" s="1752"/>
      <c r="I18" s="1752"/>
      <c r="J18" s="1752"/>
      <c r="K18" s="1752"/>
      <c r="L18" s="1752"/>
      <c r="M18" s="1752"/>
      <c r="N18" s="1754"/>
      <c r="O18" s="1755"/>
    </row>
    <row r="19" spans="1:15" s="292" customFormat="1" ht="21" customHeight="1">
      <c r="A19" s="1205" t="s">
        <v>395</v>
      </c>
      <c r="B19" s="1197"/>
      <c r="C19" s="1223"/>
      <c r="D19" s="1224"/>
      <c r="E19" s="1225"/>
      <c r="F19" s="1224"/>
      <c r="G19" s="1224"/>
      <c r="H19" s="1224"/>
      <c r="I19" s="1224"/>
      <c r="J19" s="1224"/>
      <c r="K19" s="1224"/>
      <c r="L19" s="1224"/>
      <c r="M19" s="1224"/>
      <c r="N19" s="1226"/>
      <c r="O19" s="1227"/>
    </row>
    <row r="20" spans="1:15" s="292" customFormat="1" ht="21" customHeight="1">
      <c r="A20" s="1202" t="str">
        <f t="array" ref="A20:A25">'Resumen Tesorerias'!A17:A22</f>
        <v>Devolución de principal de préstamos / Leasing</v>
      </c>
      <c r="B20" s="1196"/>
      <c r="C20" s="1220">
        <f t="array" ref="C20:N20">Préstamos!B32:M32+Leasing!B31:M31</f>
        <v>0</v>
      </c>
      <c r="D20" s="1220">
        <v>0</v>
      </c>
      <c r="E20" s="1220">
        <v>0</v>
      </c>
      <c r="F20" s="1220">
        <v>0</v>
      </c>
      <c r="G20" s="1220">
        <v>0</v>
      </c>
      <c r="H20" s="1220">
        <v>0</v>
      </c>
      <c r="I20" s="1220">
        <v>0</v>
      </c>
      <c r="J20" s="1220">
        <v>0</v>
      </c>
      <c r="K20" s="1220">
        <v>0</v>
      </c>
      <c r="L20" s="1220">
        <v>0</v>
      </c>
      <c r="M20" s="1220">
        <v>0</v>
      </c>
      <c r="N20" s="1221">
        <v>0</v>
      </c>
      <c r="O20" s="1222">
        <f>SUM(C20:N20)</f>
        <v>0</v>
      </c>
    </row>
    <row r="21" spans="1:15" s="292" customFormat="1" ht="21" customHeight="1">
      <c r="A21" s="1202" t="str">
        <v>Otras salidas de caja</v>
      </c>
      <c r="B21" s="1196"/>
      <c r="C21" s="1220">
        <f>'Financiación Inicial'!$B$27*IF(OR(mes0&lt;=7,COLUMN(B4)&gt;mes0-6),0,INDEX('Politicas Cobros y Pagos'!$C$67:$H$67,1,COLUMN(B4)-mes0+12))</f>
        <v>0</v>
      </c>
      <c r="D21" s="1220">
        <f>'Financiación Inicial'!$B$27*IF(OR(mes0&lt;=7,COLUMN(C4)&gt;mes0-6),0,INDEX('Politicas Cobros y Pagos'!$C$67:$H$67,1,COLUMN(C4)-mes0+12))</f>
        <v>0</v>
      </c>
      <c r="E21" s="1220">
        <f>'Financiación Inicial'!$B$27*IF(OR(mes0&lt;=7,COLUMN(D4)&gt;mes0-6),0,INDEX('Politicas Cobros y Pagos'!$C$67:$H$67,1,COLUMN(D4)-mes0+12))</f>
        <v>0</v>
      </c>
      <c r="F21" s="1220">
        <f>'Financiación Inicial'!$B$27*IF(OR(mes0&lt;=7,COLUMN(E4)&gt;mes0-6),0,INDEX('Politicas Cobros y Pagos'!$C$67:$H$67,1,COLUMN(E4)-mes0+12))</f>
        <v>0</v>
      </c>
      <c r="G21" s="1220">
        <f>'Financiación Inicial'!$B$27*IF(OR(mes0&lt;=7,COLUMN(F4)&gt;mes0-6),0,INDEX('Politicas Cobros y Pagos'!$C$67:$H$67,1,COLUMN(F4)-mes0+12))</f>
        <v>0</v>
      </c>
      <c r="H21" s="1220">
        <f>'Financiación Inicial'!$B$27*IF(OR(mes0&lt;=7,COLUMN(G4)&gt;mes0-6),0,INDEX('Politicas Cobros y Pagos'!$C$67:$H$67,1,COLUMN(G4)-mes0+12))</f>
        <v>0</v>
      </c>
      <c r="I21" s="1220">
        <f>'Financiación Inicial'!$B$27*IF(OR(mes0&lt;=7,COLUMN(H4)&gt;mes0-6),0,INDEX('Politicas Cobros y Pagos'!$C$67:$H$67,1,COLUMN(H4)-mes0+12))</f>
        <v>0</v>
      </c>
      <c r="J21" s="1220">
        <f>'Financiación Inicial'!$B$27*IF(OR(mes0&lt;=7,COLUMN(I4)&gt;mes0-6),0,INDEX('Politicas Cobros y Pagos'!$C$67:$H$67,1,COLUMN(I4)-mes0+12))</f>
        <v>0</v>
      </c>
      <c r="K21" s="1220">
        <f>'Financiación Inicial'!$B$27*IF(OR(mes0&lt;=7,COLUMN(J4)&gt;mes0-6),0,INDEX('Politicas Cobros y Pagos'!$C$67:$H$67,1,COLUMN(J4)-mes0+12))</f>
        <v>0</v>
      </c>
      <c r="L21" s="1220">
        <f>'Financiación Inicial'!$B$27*IF(OR(mes0&lt;=7,COLUMN(K4)&gt;mes0-6),0,INDEX('Politicas Cobros y Pagos'!$C$67:$H$67,1,COLUMN(K4)-mes0+12))</f>
        <v>0</v>
      </c>
      <c r="M21" s="1220">
        <f>'Financiación Inicial'!$B$27*IF(OR(mes0&lt;=7,COLUMN(L4)&gt;mes0-6),0,INDEX('Politicas Cobros y Pagos'!$C$67:$H$67,1,COLUMN(L4)-mes0+12))</f>
        <v>0</v>
      </c>
      <c r="N21" s="1221">
        <f>'Financiación Inicial'!$B$27*IF(OR(mes0&lt;=7,COLUMN(M4)&gt;mes0-6),0,INDEX('Politicas Cobros y Pagos'!$C$67:$H$67,1,COLUMN(M4)-mes0+12))</f>
        <v>0</v>
      </c>
      <c r="O21" s="1222">
        <f>SUM(C21:N21)</f>
        <v>0</v>
      </c>
    </row>
    <row r="22" spans="1:15" s="292" customFormat="1" ht="21" customHeight="1">
      <c r="A22" s="1202" t="str">
        <v>Liquidaciones de IVA</v>
      </c>
      <c r="B22" s="1196"/>
      <c r="C22" s="1220">
        <f t="array" ref="C22:N22" ca="1">'IVA 1'!C24:N24</f>
        <v>1718.0541477272723</v>
      </c>
      <c r="D22" s="1220">
        <v>0</v>
      </c>
      <c r="E22" s="1220">
        <v>0</v>
      </c>
      <c r="F22" s="1220">
        <f ca="1"/>
        <v>1831.1302227272727</v>
      </c>
      <c r="G22" s="1220">
        <v>0</v>
      </c>
      <c r="H22" s="1220">
        <v>0</v>
      </c>
      <c r="I22" s="1220">
        <f ca="1"/>
        <v>1764.9802227272726</v>
      </c>
      <c r="J22" s="1220">
        <v>0</v>
      </c>
      <c r="K22" s="1220">
        <v>0</v>
      </c>
      <c r="L22" s="1220">
        <f ca="1"/>
        <v>1368.0802227272729</v>
      </c>
      <c r="M22" s="1220">
        <v>0</v>
      </c>
      <c r="N22" s="1221">
        <v>0</v>
      </c>
      <c r="O22" s="1222">
        <f ca="1">SUM(C22:N22)</f>
        <v>6682.2448159090909</v>
      </c>
    </row>
    <row r="23" spans="1:15" s="292" customFormat="1" ht="21" customHeight="1">
      <c r="A23" s="1202" t="str">
        <v>Otros pagos (I.R.P.F. / I.S. )</v>
      </c>
      <c r="B23" s="1196"/>
      <c r="C23" s="1220">
        <f ca="1">'Ret IRPF'!B22</f>
        <v>1470.5857954545454</v>
      </c>
      <c r="D23" s="1220"/>
      <c r="E23" s="1220"/>
      <c r="F23" s="1220">
        <f ca="1">Imp.Sociedades!D18+'Ret IRPF'!E22</f>
        <v>1569.5185454545456</v>
      </c>
      <c r="G23" s="1220"/>
      <c r="H23" s="1220">
        <f ca="1">IF('IRPF Prof y Autónomos'!K25&lt;0,0,'IRPF Prof y Autónomos'!K25*'IRPF Prof y Autónomos'!K19)</f>
        <v>0</v>
      </c>
      <c r="I23" s="1220">
        <f ca="1">IF(Imp.Sociedades!B23&gt;0,Imp.Sociedades!B23,0)+'Ret IRPF'!H22
+Imp.Sociedades!$B$32/2</f>
        <v>1510.7535454545457</v>
      </c>
      <c r="J23" s="1220"/>
      <c r="K23" s="1220"/>
      <c r="L23" s="1220">
        <f ca="1">Imp.Sociedades!D19+'Ret IRPF'!K22</f>
        <v>1158.1635454545458</v>
      </c>
      <c r="M23" s="1220"/>
      <c r="N23" s="1221">
        <f>Imp.Sociedades!D20
+Imp.Sociedades!$B$32/2</f>
        <v>0</v>
      </c>
      <c r="O23" s="1222">
        <f ca="1">SUM(C23:N23)</f>
        <v>5709.0214318181825</v>
      </c>
    </row>
    <row r="24" spans="1:15" s="292" customFormat="1" ht="21" customHeight="1">
      <c r="A24" s="1202" t="str">
        <v>Otros pagos acreedores L/P</v>
      </c>
      <c r="B24" s="1196"/>
      <c r="C24" s="1220">
        <f t="array" ref="C24:N24">'Otros cobros y pagos'!B74:M74</f>
        <v>0</v>
      </c>
      <c r="D24" s="1220">
        <v>0</v>
      </c>
      <c r="E24" s="1220">
        <v>0</v>
      </c>
      <c r="F24" s="1220">
        <v>0</v>
      </c>
      <c r="G24" s="1220">
        <v>0</v>
      </c>
      <c r="H24" s="1220">
        <v>0</v>
      </c>
      <c r="I24" s="1220">
        <v>0</v>
      </c>
      <c r="J24" s="1220">
        <v>0</v>
      </c>
      <c r="K24" s="1220">
        <v>0</v>
      </c>
      <c r="L24" s="1220">
        <v>0</v>
      </c>
      <c r="M24" s="1220">
        <v>0</v>
      </c>
      <c r="N24" s="1221">
        <v>0</v>
      </c>
      <c r="O24" s="1222">
        <f>SUM(C24:N24)</f>
        <v>0</v>
      </c>
    </row>
    <row r="25" spans="1:15" s="293" customFormat="1" ht="21" customHeight="1" thickBot="1">
      <c r="A25" s="1206" t="str">
        <v>Total PAGOS</v>
      </c>
      <c r="B25" s="1200"/>
      <c r="C25" s="1228">
        <f t="shared" ref="C25:N25" ca="1" si="2">SUM(C14:C24)</f>
        <v>5510.357293181818</v>
      </c>
      <c r="D25" s="1228">
        <f t="shared" ca="1" si="2"/>
        <v>2448.7673500000001</v>
      </c>
      <c r="E25" s="1228">
        <f t="shared" ca="1" si="2"/>
        <v>2512.2923500000002</v>
      </c>
      <c r="F25" s="1228">
        <f t="shared" ca="1" si="2"/>
        <v>5881.1786181818179</v>
      </c>
      <c r="G25" s="1228">
        <f t="shared" ca="1" si="2"/>
        <v>2385.2423499999995</v>
      </c>
      <c r="H25" s="1228">
        <f t="shared" ca="1" si="2"/>
        <v>2353.4798500000002</v>
      </c>
      <c r="I25" s="1228">
        <f t="shared" ca="1" si="2"/>
        <v>5597.4511181818179</v>
      </c>
      <c r="J25" s="1228">
        <f t="shared" ca="1" si="2"/>
        <v>2194.6673500000002</v>
      </c>
      <c r="K25" s="1228">
        <f t="shared" ca="1" si="2"/>
        <v>2321.7173499999999</v>
      </c>
      <c r="L25" s="1228">
        <f t="shared" ca="1" si="2"/>
        <v>4943.2486181818185</v>
      </c>
      <c r="M25" s="1228">
        <f t="shared" ca="1" si="2"/>
        <v>2448.7673500000001</v>
      </c>
      <c r="N25" s="1229">
        <f t="shared" ca="1" si="2"/>
        <v>2575.8173499999998</v>
      </c>
      <c r="O25" s="1230">
        <f ca="1">SUM(O14:O24)</f>
        <v>41172.986947727266</v>
      </c>
    </row>
    <row r="26" spans="1:15" s="279" customFormat="1" ht="21" customHeight="1">
      <c r="A26" s="299"/>
      <c r="B26" s="323"/>
      <c r="C26" s="288"/>
      <c r="D26" s="288"/>
      <c r="E26" s="288"/>
      <c r="F26" s="288"/>
      <c r="G26" s="288"/>
      <c r="H26" s="288"/>
      <c r="I26" s="288"/>
      <c r="J26" s="288"/>
      <c r="K26" s="288"/>
      <c r="L26" s="288"/>
      <c r="M26" s="288"/>
      <c r="O26" s="307"/>
    </row>
    <row r="27" spans="1:15" s="279" customFormat="1" ht="21" customHeight="1" thickBot="1">
      <c r="A27" s="299"/>
      <c r="B27" s="287"/>
      <c r="C27" s="288"/>
      <c r="D27" s="288"/>
      <c r="E27" s="288"/>
      <c r="F27" s="288"/>
      <c r="G27" s="288"/>
      <c r="H27" s="288"/>
      <c r="I27" s="288"/>
      <c r="J27" s="288"/>
      <c r="K27" s="288"/>
      <c r="L27" s="288"/>
      <c r="M27" s="288"/>
      <c r="O27" s="307"/>
    </row>
    <row r="28" spans="1:15" s="281" customFormat="1" ht="18" customHeight="1" thickBot="1">
      <c r="A28" s="320" t="str">
        <f t="array" ref="A28:A31">'Tesorería 0'!A28:A31</f>
        <v>Resúmen de tesorería</v>
      </c>
      <c r="B28" s="297"/>
      <c r="C28" s="298" t="str">
        <f t="array" ref="C28:N28">meses</f>
        <v>enero</v>
      </c>
      <c r="D28" s="298" t="str">
        <v>febrero</v>
      </c>
      <c r="E28" s="298" t="str">
        <v>marzo</v>
      </c>
      <c r="F28" s="298" t="str">
        <v>abril</v>
      </c>
      <c r="G28" s="298" t="str">
        <v>mayo</v>
      </c>
      <c r="H28" s="298" t="str">
        <v>junio</v>
      </c>
      <c r="I28" s="298" t="str">
        <v>julio</v>
      </c>
      <c r="J28" s="298" t="str">
        <v>agosto</v>
      </c>
      <c r="K28" s="298" t="str">
        <v>septiembre</v>
      </c>
      <c r="L28" s="298" t="str">
        <v>octubre</v>
      </c>
      <c r="M28" s="298" t="str">
        <v>noviembre</v>
      </c>
      <c r="N28" s="302" t="str">
        <v>diciembre</v>
      </c>
      <c r="O28" s="303" t="str">
        <f>O4</f>
        <v>Total</v>
      </c>
    </row>
    <row r="29" spans="1:15" s="279" customFormat="1" ht="21" customHeight="1" thickBot="1">
      <c r="A29" s="321" t="str">
        <v>Previsiones de cobros por meses</v>
      </c>
      <c r="B29" s="289"/>
      <c r="C29" s="619">
        <f t="array" ref="C29:N29" ca="1">C11:N11</f>
        <v>3388</v>
      </c>
      <c r="D29" s="619">
        <f ca="1"/>
        <v>4235</v>
      </c>
      <c r="E29" s="619">
        <f ca="1"/>
        <v>4658.5</v>
      </c>
      <c r="F29" s="619">
        <f ca="1"/>
        <v>4446.75</v>
      </c>
      <c r="G29" s="619">
        <f ca="1"/>
        <v>3811.5</v>
      </c>
      <c r="H29" s="619">
        <f ca="1"/>
        <v>3599.75</v>
      </c>
      <c r="I29" s="619">
        <f ca="1"/>
        <v>3388</v>
      </c>
      <c r="J29" s="619">
        <f ca="1"/>
        <v>3346.9352659090923</v>
      </c>
      <c r="K29" s="619">
        <f ca="1"/>
        <v>3388</v>
      </c>
      <c r="L29" s="619">
        <f ca="1"/>
        <v>4023.25</v>
      </c>
      <c r="M29" s="619">
        <f ca="1"/>
        <v>4235</v>
      </c>
      <c r="N29" s="620">
        <f ca="1"/>
        <v>5082</v>
      </c>
      <c r="O29" s="621">
        <f ca="1">SUM(C29:N29)</f>
        <v>47602.685265909095</v>
      </c>
    </row>
    <row r="30" spans="1:15" s="279" customFormat="1" ht="21" customHeight="1" thickBot="1">
      <c r="A30" s="321" t="str">
        <v>Previsiones de pagos por meses</v>
      </c>
      <c r="B30" s="284"/>
      <c r="C30" s="622">
        <f t="array" ref="C30:N30" ca="1">C25:N25</f>
        <v>5510.357293181818</v>
      </c>
      <c r="D30" s="622">
        <f ca="1"/>
        <v>2448.7673500000001</v>
      </c>
      <c r="E30" s="622">
        <f ca="1"/>
        <v>2512.2923500000002</v>
      </c>
      <c r="F30" s="622">
        <f ca="1"/>
        <v>5881.1786181818179</v>
      </c>
      <c r="G30" s="622">
        <f ca="1"/>
        <v>2385.2423499999995</v>
      </c>
      <c r="H30" s="622">
        <f ca="1"/>
        <v>2353.4798500000002</v>
      </c>
      <c r="I30" s="622">
        <f ca="1"/>
        <v>5597.4511181818179</v>
      </c>
      <c r="J30" s="622">
        <f ca="1"/>
        <v>2194.6673500000002</v>
      </c>
      <c r="K30" s="622">
        <f ca="1"/>
        <v>2321.7173499999999</v>
      </c>
      <c r="L30" s="622">
        <f ca="1"/>
        <v>4943.2486181818185</v>
      </c>
      <c r="M30" s="622">
        <f ca="1"/>
        <v>2448.7673500000001</v>
      </c>
      <c r="N30" s="623">
        <f ca="1"/>
        <v>2575.8173499999998</v>
      </c>
      <c r="O30" s="621">
        <f ca="1">SUM(C30:N30)</f>
        <v>41172.986947727273</v>
      </c>
    </row>
    <row r="31" spans="1:15" s="279" customFormat="1" ht="21" customHeight="1" thickBot="1">
      <c r="A31" s="322" t="str">
        <v>Tesorerías mensuales previstas</v>
      </c>
      <c r="B31" s="289"/>
      <c r="C31" s="624">
        <f t="array" ref="C31:N31" ca="1">C29:N29-C30:N30</f>
        <v>-2122.357293181818</v>
      </c>
      <c r="D31" s="624">
        <f ca="1"/>
        <v>1786.2326499999999</v>
      </c>
      <c r="E31" s="624">
        <f ca="1"/>
        <v>2146.2076499999998</v>
      </c>
      <c r="F31" s="624">
        <f ca="1"/>
        <v>-1434.4286181818179</v>
      </c>
      <c r="G31" s="624">
        <f ca="1"/>
        <v>1426.2576500000005</v>
      </c>
      <c r="H31" s="624">
        <f ca="1"/>
        <v>1246.2701499999998</v>
      </c>
      <c r="I31" s="624">
        <f ca="1"/>
        <v>-2209.4511181818179</v>
      </c>
      <c r="J31" s="624">
        <f ca="1"/>
        <v>1152.2679159090922</v>
      </c>
      <c r="K31" s="624">
        <f ca="1"/>
        <v>1066.2826500000001</v>
      </c>
      <c r="L31" s="624">
        <f ca="1"/>
        <v>-919.99861818181853</v>
      </c>
      <c r="M31" s="624">
        <f ca="1"/>
        <v>1786.2326499999999</v>
      </c>
      <c r="N31" s="625">
        <f ca="1"/>
        <v>2506.1826500000002</v>
      </c>
      <c r="O31" s="626">
        <f ca="1">O29-O30</f>
        <v>6429.6983181818214</v>
      </c>
    </row>
    <row r="32" spans="1:15" s="279" customFormat="1" ht="21" customHeight="1" thickBot="1">
      <c r="A32" s="324"/>
      <c r="B32" s="289"/>
      <c r="C32" s="290"/>
      <c r="D32" s="290"/>
      <c r="E32" s="290"/>
      <c r="F32" s="290"/>
      <c r="G32" s="290"/>
      <c r="H32" s="290"/>
      <c r="I32" s="290"/>
      <c r="J32" s="290"/>
      <c r="K32" s="290"/>
      <c r="L32" s="290"/>
      <c r="M32" s="290"/>
      <c r="N32" s="627"/>
      <c r="O32" s="628"/>
    </row>
    <row r="33" spans="1:15" s="293" customFormat="1" ht="21" customHeight="1" thickBot="1">
      <c r="A33" s="1192" t="str">
        <f>'Tesorería 0'!A33</f>
        <v>Dispuesto Póliza Crédito</v>
      </c>
      <c r="B33" s="1178">
        <f ca="1">'Tesorería 0'!N33</f>
        <v>0</v>
      </c>
      <c r="C33" s="1179">
        <f ca="1">IF(B35+C31-B33&gt;tesoreriasec,0,MIN(B33-B35-C31+tesoreriasec,Financiación!$E$49))</f>
        <v>0</v>
      </c>
      <c r="D33" s="1180">
        <f ca="1">IF(C35+D31-C33&gt;tesoreriasec,0,MIN(C33-C35-D31+tesoreriasec,Financiación!$E$49))</f>
        <v>0</v>
      </c>
      <c r="E33" s="1180">
        <f ca="1">IF(D35+E31-D33&gt;tesoreriasec,0,MIN(D33-D35-E31+tesoreriasec,Financiación!$E$49))</f>
        <v>0</v>
      </c>
      <c r="F33" s="1180">
        <f ca="1">IF(E35+F31-E33&gt;tesoreriasec,0,MIN(E33-E35-F31+tesoreriasec,Financiación!$E$49))</f>
        <v>0</v>
      </c>
      <c r="G33" s="1180">
        <f ca="1">IF(F35+G31-F33&gt;tesoreriasec,0,MIN(F33-F35-G31+tesoreriasec,Financiación!$E$49))</f>
        <v>0</v>
      </c>
      <c r="H33" s="1180">
        <f ca="1">IF(G35+H31-G33&gt;tesoreriasec,0,MIN(G33-G35-H31+tesoreriasec,Financiación!$E$49))</f>
        <v>0</v>
      </c>
      <c r="I33" s="1180">
        <f ca="1">IF(H35+I31-H33&gt;tesoreriasec,0,MIN(H33-H35-I31+tesoreriasec,Financiación!$E$49))</f>
        <v>0</v>
      </c>
      <c r="J33" s="1180">
        <f ca="1">IF(I35+J31-I33&gt;tesoreriasec,0,MIN(I33-I35-J31+tesoreriasec,Financiación!$E$49))</f>
        <v>0</v>
      </c>
      <c r="K33" s="1180">
        <f ca="1">IF(J35+K31-J33&gt;tesoreriasec,0,MIN(J33-J35-K31+tesoreriasec,Financiación!$E$49))</f>
        <v>0</v>
      </c>
      <c r="L33" s="1180">
        <f ca="1">IF(K35+L31-K33&gt;tesoreriasec,0,MIN(K33-K35-L31+tesoreriasec,Financiación!$E$49))</f>
        <v>0</v>
      </c>
      <c r="M33" s="1180">
        <f ca="1">IF(L35+M31-L33&gt;tesoreriasec,0,MIN(L33-L35-M31+tesoreriasec,Financiación!$E$49))</f>
        <v>0</v>
      </c>
      <c r="N33" s="1181">
        <f ca="1">IF(M35+N31-M33&gt;tesoreriasec,0,MIN(M33-M35-N31+tesoreriasec,Financiación!$E$49))</f>
        <v>0</v>
      </c>
      <c r="O33" s="1182"/>
    </row>
    <row r="34" spans="1:15" s="293" customFormat="1" ht="21" customHeight="1" thickBot="1">
      <c r="A34" s="1193"/>
      <c r="B34" s="1183"/>
      <c r="C34" s="1184"/>
      <c r="D34" s="1184"/>
      <c r="E34" s="1184"/>
      <c r="F34" s="1184"/>
      <c r="G34" s="1184"/>
      <c r="H34" s="1184"/>
      <c r="I34" s="1184"/>
      <c r="J34" s="1184"/>
      <c r="K34" s="1184"/>
      <c r="L34" s="1184"/>
      <c r="M34" s="1184"/>
      <c r="O34" s="1191"/>
    </row>
    <row r="35" spans="1:15" s="293" customFormat="1" ht="21" customHeight="1" thickBot="1">
      <c r="A35" s="1192" t="str">
        <f>'Tesorería 0'!A35</f>
        <v>Tesorería acumulada</v>
      </c>
      <c r="B35" s="1186">
        <f ca="1">'Tesorería 0'!N35-(Financiación!E9-Financiación!E25+Financiación!E19)</f>
        <v>4853.1922159090882</v>
      </c>
      <c r="C35" s="1187">
        <f t="array" ref="C35:N35" ca="1">B35:M35+C31:N31+C33:N33-B33:M33</f>
        <v>2730.8349227272702</v>
      </c>
      <c r="D35" s="1188">
        <f ca="1"/>
        <v>4517.0675727272701</v>
      </c>
      <c r="E35" s="1188">
        <f ca="1"/>
        <v>6663.2752227272704</v>
      </c>
      <c r="F35" s="1188">
        <f ca="1"/>
        <v>5228.8466045454525</v>
      </c>
      <c r="G35" s="1188">
        <f ca="1"/>
        <v>6655.1042545454529</v>
      </c>
      <c r="H35" s="1188">
        <f ca="1"/>
        <v>7901.3744045454532</v>
      </c>
      <c r="I35" s="1188">
        <f ca="1"/>
        <v>5691.9232863636353</v>
      </c>
      <c r="J35" s="1188">
        <f ca="1"/>
        <v>6844.1912022727274</v>
      </c>
      <c r="K35" s="1188">
        <f ca="1"/>
        <v>7910.4738522727275</v>
      </c>
      <c r="L35" s="1188">
        <f ca="1"/>
        <v>6990.475234090909</v>
      </c>
      <c r="M35" s="1188">
        <f ca="1"/>
        <v>8776.7078840909089</v>
      </c>
      <c r="N35" s="1189">
        <f ca="1"/>
        <v>11282.89053409091</v>
      </c>
      <c r="O35" s="1190"/>
    </row>
    <row r="36" spans="1:15" ht="18.75" customHeight="1">
      <c r="A36" s="4"/>
      <c r="B36" s="4"/>
    </row>
    <row r="37" spans="1:15" ht="18.75" customHeight="1">
      <c r="A37" s="4"/>
      <c r="B37" s="4"/>
    </row>
    <row r="38" spans="1:15" ht="18.75" customHeight="1">
      <c r="A38" s="312"/>
      <c r="B38" s="313"/>
      <c r="C38" s="310" t="str">
        <f t="array" ref="C38:D38">'Tesorería 0'!C38:D38</f>
        <v>Importe</v>
      </c>
      <c r="D38" s="311" t="str">
        <v>mes</v>
      </c>
    </row>
    <row r="39" spans="1:15" s="292" customFormat="1" ht="21.75" customHeight="1">
      <c r="A39" s="291"/>
      <c r="B39" s="309" t="str">
        <f t="array" ref="B39:B41">'Tesorería 0'!B39:B41</f>
        <v>Máximo descubierto en el año</v>
      </c>
      <c r="C39" s="1695">
        <f ca="1">MAX(C33:N33)*0-MIN(C35:N35,0)</f>
        <v>0</v>
      </c>
      <c r="D39" s="1174" t="str">
        <f ca="1">IF(C39&lt;&gt;0,INDEX(C4:N4,1,MATCH(-C39,C35:N35,0)),"")</f>
        <v/>
      </c>
      <c r="O39" s="293"/>
    </row>
    <row r="40" spans="1:15" s="292" customFormat="1" ht="18.75" customHeight="1">
      <c r="A40" s="291"/>
      <c r="B40" s="309" t="str">
        <v>Flujo de caja del periodo  (Cash Flow)</v>
      </c>
      <c r="C40" s="1696">
        <f ca="1">N35-B35+B33-N33</f>
        <v>6429.6983181818214</v>
      </c>
      <c r="D40" s="1173"/>
      <c r="O40" s="293"/>
    </row>
    <row r="41" spans="1:15" s="292" customFormat="1" ht="21" customHeight="1">
      <c r="A41" s="291"/>
      <c r="B41" s="309" t="str">
        <v>Máxima tesorería mensual</v>
      </c>
      <c r="C41" s="1697">
        <f ca="1">MAX(C35:N35)</f>
        <v>11282.89053409091</v>
      </c>
      <c r="D41" s="1174" t="str">
        <f ca="1">INDEX(C4:N4,1,MATCH(C41,C35:N35,0))</f>
        <v>diciembre</v>
      </c>
      <c r="O41" s="293"/>
    </row>
    <row r="42" spans="1:15" ht="18" customHeight="1">
      <c r="A42" s="4"/>
      <c r="B42" s="4"/>
    </row>
    <row r="43" spans="1:15">
      <c r="A43" s="4"/>
      <c r="B43" s="4"/>
    </row>
    <row r="44" spans="1:15" ht="15">
      <c r="A44" s="35"/>
      <c r="B44" s="35"/>
    </row>
    <row r="45" spans="1:15" ht="15">
      <c r="A45" s="35"/>
      <c r="B45" s="35"/>
    </row>
    <row r="46" spans="1:15" ht="15">
      <c r="A46" s="35"/>
      <c r="B46" s="35"/>
    </row>
    <row r="47" spans="1:15" ht="15">
      <c r="A47" s="35"/>
      <c r="B47" s="35"/>
    </row>
    <row r="48" spans="1:15" ht="15">
      <c r="A48" s="35"/>
      <c r="B48" s="35"/>
    </row>
    <row r="49" spans="1:2" ht="15">
      <c r="A49" s="35"/>
      <c r="B49" s="35"/>
    </row>
    <row r="50" spans="1:2" ht="15">
      <c r="A50" s="35"/>
      <c r="B50" s="35"/>
    </row>
    <row r="51" spans="1:2" ht="15">
      <c r="A51" s="35"/>
      <c r="B51" s="35"/>
    </row>
    <row r="52" spans="1:2" ht="15">
      <c r="A52" s="35"/>
      <c r="B52" s="35"/>
    </row>
    <row r="53" spans="1:2" ht="15">
      <c r="A53" s="35"/>
      <c r="B53" s="35"/>
    </row>
    <row r="54" spans="1:2" ht="15">
      <c r="A54" s="35"/>
      <c r="B54" s="35"/>
    </row>
    <row r="55" spans="1:2" ht="15">
      <c r="A55" s="35"/>
      <c r="B55" s="35"/>
    </row>
    <row r="56" spans="1:2" ht="15">
      <c r="A56" s="35"/>
      <c r="B56" s="35"/>
    </row>
    <row r="57" spans="1:2" ht="15">
      <c r="A57" s="35"/>
      <c r="B57" s="35"/>
    </row>
    <row r="58" spans="1:2" ht="15">
      <c r="A58" s="35"/>
      <c r="B58" s="35"/>
    </row>
    <row r="59" spans="1:2" ht="15">
      <c r="A59" s="35"/>
      <c r="B59" s="35"/>
    </row>
    <row r="60" spans="1:2" ht="15">
      <c r="A60" s="35"/>
      <c r="B60" s="35"/>
    </row>
  </sheetData>
  <sheetProtection sheet="1" objects="1" scenarios="1"/>
  <phoneticPr fontId="6" type="noConversion"/>
  <printOptions horizontalCentered="1" verticalCentered="1"/>
  <pageMargins left="0.19685039370078741" right="0.19685039370078741" top="0.39370078740157483" bottom="0.39370078740157483" header="0.11811023622047245" footer="0.11811023622047245"/>
  <pageSetup paperSize="9" scale="68" orientation="landscape" horizontalDpi="300" verticalDpi="300" r:id="rId1"/>
  <headerFooter alignWithMargins="0">
    <oddFooter>&amp;C&amp;"Tahoma,Normal"&amp;10&amp;A</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32">
    <tabColor indexed="43"/>
    <pageSetUpPr fitToPage="1"/>
  </sheetPr>
  <dimension ref="A1:O60"/>
  <sheetViews>
    <sheetView workbookViewId="0"/>
  </sheetViews>
  <sheetFormatPr baseColWidth="10" defaultColWidth="11" defaultRowHeight="12.75"/>
  <cols>
    <col min="1" max="1" width="29.25" style="87" customWidth="1"/>
    <col min="2" max="2" width="12" style="87" customWidth="1"/>
    <col min="3" max="3" width="11.875" style="87" customWidth="1"/>
    <col min="4" max="4" width="13.125" style="87" customWidth="1"/>
    <col min="5" max="5" width="13.5" style="87" customWidth="1"/>
    <col min="6" max="6" width="12" style="87" bestFit="1" customWidth="1"/>
    <col min="7" max="7" width="11.75" style="87" customWidth="1"/>
    <col min="8" max="8" width="12.25" style="87" bestFit="1" customWidth="1"/>
    <col min="9" max="9" width="11.75" style="87" bestFit="1" customWidth="1"/>
    <col min="10" max="10" width="12.125" style="87" customWidth="1"/>
    <col min="11" max="11" width="12.25" style="87" bestFit="1" customWidth="1"/>
    <col min="12" max="12" width="12" style="87" bestFit="1" customWidth="1"/>
    <col min="13" max="13" width="11.625" style="87" bestFit="1" customWidth="1"/>
    <col min="14" max="14" width="12" style="87" bestFit="1" customWidth="1"/>
    <col min="15" max="15" width="12.125" style="279" bestFit="1" customWidth="1"/>
    <col min="16" max="16384" width="11" style="87"/>
  </cols>
  <sheetData>
    <row r="1" spans="1:15" ht="22.5">
      <c r="A1" s="294" t="str">
        <f>'Tesorería 0'!A1</f>
        <v>Previsiones de Cobros y Pagos: Previsiones de Tesorería</v>
      </c>
      <c r="B1" s="275"/>
      <c r="E1" s="277"/>
      <c r="F1" s="2700" t="str">
        <f>Parametros!D$77</f>
        <v>Año 2:  2028</v>
      </c>
      <c r="G1" s="296"/>
      <c r="H1" s="277"/>
      <c r="I1" s="161"/>
      <c r="J1" s="278"/>
      <c r="K1" s="161"/>
    </row>
    <row r="2" spans="1:15" ht="25.5">
      <c r="A2" s="295" t="str">
        <f>'Datos Básicos'!B9</f>
        <v>nombre empresa</v>
      </c>
      <c r="B2" s="280"/>
      <c r="D2" s="274"/>
      <c r="F2" s="277"/>
      <c r="G2" s="161"/>
      <c r="H2" s="161"/>
      <c r="I2" s="161"/>
      <c r="J2" s="161"/>
      <c r="K2" s="161"/>
    </row>
    <row r="3" spans="1:15" ht="15.75" thickBot="1">
      <c r="A3" s="35"/>
      <c r="B3" s="35"/>
    </row>
    <row r="4" spans="1:15" s="281" customFormat="1" ht="18" customHeight="1" thickBot="1">
      <c r="A4" s="314" t="s">
        <v>0</v>
      </c>
      <c r="B4" s="297"/>
      <c r="C4" s="298" t="str">
        <f t="array" ref="C4:N4">meses</f>
        <v>enero</v>
      </c>
      <c r="D4" s="298" t="str">
        <v>febrero</v>
      </c>
      <c r="E4" s="298" t="str">
        <v>marzo</v>
      </c>
      <c r="F4" s="298" t="str">
        <v>abril</v>
      </c>
      <c r="G4" s="298" t="str">
        <v>mayo</v>
      </c>
      <c r="H4" s="298" t="str">
        <v>junio</v>
      </c>
      <c r="I4" s="298" t="str">
        <v>julio</v>
      </c>
      <c r="J4" s="298" t="str">
        <v>agosto</v>
      </c>
      <c r="K4" s="298" t="str">
        <v>septiembre</v>
      </c>
      <c r="L4" s="298" t="str">
        <v>octubre</v>
      </c>
      <c r="M4" s="298" t="str">
        <v>noviembre</v>
      </c>
      <c r="N4" s="302" t="str">
        <v>diciembre</v>
      </c>
      <c r="O4" s="303" t="s">
        <v>11</v>
      </c>
    </row>
    <row r="5" spans="1:15" s="281" customFormat="1" ht="18" customHeight="1" thickBot="1">
      <c r="A5" s="301" t="str">
        <f t="array" ref="A5:A11">'Resumen Tesorerias'!A4:A10</f>
        <v>COBROS</v>
      </c>
      <c r="B5" s="282"/>
      <c r="C5" s="282"/>
      <c r="D5" s="282"/>
      <c r="E5" s="282"/>
      <c r="F5" s="282"/>
      <c r="G5" s="282"/>
      <c r="H5" s="282"/>
      <c r="I5" s="282"/>
      <c r="J5" s="282"/>
      <c r="K5" s="282"/>
      <c r="L5" s="282"/>
      <c r="M5" s="282"/>
      <c r="O5" s="304"/>
    </row>
    <row r="6" spans="1:15" ht="21" customHeight="1">
      <c r="A6" s="1177" t="str">
        <v>Cobro de ventas</v>
      </c>
      <c r="B6" s="318"/>
      <c r="C6" s="1207">
        <f t="array" aca="1" ref="C6:N6" ca="1">'Cobros y pagos 2'!B28:M28</f>
        <v>3489.64</v>
      </c>
      <c r="D6" s="1207">
        <f ca="1"/>
        <v>4362.05</v>
      </c>
      <c r="E6" s="1207">
        <f ca="1"/>
        <v>4798.2550000000001</v>
      </c>
      <c r="F6" s="1207">
        <f ca="1"/>
        <v>4580.1525000000001</v>
      </c>
      <c r="G6" s="1207">
        <f ca="1"/>
        <v>3925.8449999999998</v>
      </c>
      <c r="H6" s="1207">
        <f ca="1"/>
        <v>3707.7424999999998</v>
      </c>
      <c r="I6" s="1207">
        <f ca="1"/>
        <v>3489.64</v>
      </c>
      <c r="J6" s="1207">
        <f ca="1"/>
        <v>2617.23</v>
      </c>
      <c r="K6" s="1207">
        <f ca="1"/>
        <v>3489.64</v>
      </c>
      <c r="L6" s="1207">
        <f ca="1"/>
        <v>4143.9475000000002</v>
      </c>
      <c r="M6" s="1207">
        <f ca="1"/>
        <v>4362.05</v>
      </c>
      <c r="N6" s="1208">
        <f ca="1"/>
        <v>5234.46</v>
      </c>
      <c r="O6" s="1209">
        <f t="shared" ref="O6:O11" ca="1" si="0">SUM(C6:N6)</f>
        <v>48200.652500000004</v>
      </c>
    </row>
    <row r="7" spans="1:15" ht="21" customHeight="1">
      <c r="A7" s="1176" t="str">
        <v>Cobros pendientes / Cobros en mora</v>
      </c>
      <c r="B7" s="283"/>
      <c r="C7" s="1211">
        <f t="array" aca="1" ref="C7:N7" ca="1">+recmorosos*'Cobros y pagos 1'!$S$31/12
+Financiación!$F$19*Parametros!B55:M55</f>
        <v>0</v>
      </c>
      <c r="D7" s="1211">
        <f ca="1"/>
        <v>0</v>
      </c>
      <c r="E7" s="1211">
        <f ca="1"/>
        <v>0</v>
      </c>
      <c r="F7" s="1211">
        <f ca="1"/>
        <v>0</v>
      </c>
      <c r="G7" s="1211">
        <f ca="1"/>
        <v>0</v>
      </c>
      <c r="H7" s="1211">
        <f ca="1"/>
        <v>0</v>
      </c>
      <c r="I7" s="1211">
        <f ca="1"/>
        <v>0</v>
      </c>
      <c r="J7" s="1211">
        <f ca="1"/>
        <v>0</v>
      </c>
      <c r="K7" s="1211">
        <f ca="1"/>
        <v>0</v>
      </c>
      <c r="L7" s="1211">
        <f ca="1"/>
        <v>0</v>
      </c>
      <c r="M7" s="1211">
        <f ca="1"/>
        <v>0</v>
      </c>
      <c r="N7" s="1212">
        <f ca="1"/>
        <v>0</v>
      </c>
      <c r="O7" s="1213">
        <f t="shared" ca="1" si="0"/>
        <v>0</v>
      </c>
    </row>
    <row r="8" spans="1:15" ht="21" customHeight="1">
      <c r="A8" s="1176" t="str">
        <v>Otras entradas</v>
      </c>
      <c r="B8" s="319"/>
      <c r="C8" s="1211">
        <v>0</v>
      </c>
      <c r="D8" s="1211">
        <v>0</v>
      </c>
      <c r="E8" s="1211">
        <v>0</v>
      </c>
      <c r="F8" s="1211">
        <v>0</v>
      </c>
      <c r="G8" s="1211">
        <v>0</v>
      </c>
      <c r="H8" s="1211">
        <v>0</v>
      </c>
      <c r="I8" s="1211">
        <v>0</v>
      </c>
      <c r="J8" s="1211">
        <f ca="1">IF('IRPF Prof y Autónomos'!L25&lt;0,-'IRPF Prof y Autónomos'!L25*'IRPF Prof y Autónomos'!L19,0)</f>
        <v>0</v>
      </c>
      <c r="K8" s="1211">
        <v>0</v>
      </c>
      <c r="L8" s="1211">
        <v>0</v>
      </c>
      <c r="M8" s="1211">
        <v>0</v>
      </c>
      <c r="N8" s="1212">
        <f>IF(Imp.Sociedades!$D$23&lt;0,-Imp.Sociedades!$D$23,0)</f>
        <v>0</v>
      </c>
      <c r="O8" s="1213">
        <f t="shared" ca="1" si="0"/>
        <v>0</v>
      </c>
    </row>
    <row r="9" spans="1:15" ht="21" customHeight="1">
      <c r="A9" s="1176" t="str">
        <v>Devoluciones de IVA</v>
      </c>
      <c r="B9" s="319"/>
      <c r="C9" s="1211">
        <f t="array" ref="C9:N9">'IVA 2'!C26:N26</f>
        <v>0</v>
      </c>
      <c r="D9" s="1211">
        <v>0</v>
      </c>
      <c r="E9" s="1211">
        <v>0</v>
      </c>
      <c r="F9" s="1211">
        <v>0</v>
      </c>
      <c r="G9" s="1211">
        <v>0</v>
      </c>
      <c r="H9" s="1211">
        <f ca="1"/>
        <v>0</v>
      </c>
      <c r="I9" s="1211">
        <v>0</v>
      </c>
      <c r="J9" s="1211">
        <v>0</v>
      </c>
      <c r="K9" s="1211">
        <v>0</v>
      </c>
      <c r="L9" s="1211">
        <v>0</v>
      </c>
      <c r="M9" s="1211">
        <v>0</v>
      </c>
      <c r="N9" s="1212">
        <v>0</v>
      </c>
      <c r="O9" s="1213">
        <f t="shared" ca="1" si="0"/>
        <v>0</v>
      </c>
    </row>
    <row r="10" spans="1:15" ht="21" customHeight="1">
      <c r="A10" s="1176" t="str">
        <v>Ingresos financieros</v>
      </c>
      <c r="B10" s="319"/>
      <c r="C10" s="1211">
        <f t="array" ref="C10:N10" ca="1">'Gastos Financieros'!C97:N97</f>
        <v>0</v>
      </c>
      <c r="D10" s="1211">
        <f ca="1"/>
        <v>0</v>
      </c>
      <c r="E10" s="1211">
        <f ca="1"/>
        <v>0</v>
      </c>
      <c r="F10" s="1211">
        <f ca="1"/>
        <v>0</v>
      </c>
      <c r="G10" s="1211">
        <f ca="1"/>
        <v>0</v>
      </c>
      <c r="H10" s="1211">
        <f ca="1"/>
        <v>0</v>
      </c>
      <c r="I10" s="1211">
        <f ca="1"/>
        <v>0</v>
      </c>
      <c r="J10" s="1211">
        <f ca="1"/>
        <v>0</v>
      </c>
      <c r="K10" s="1211">
        <f ca="1"/>
        <v>0</v>
      </c>
      <c r="L10" s="1211">
        <f ca="1"/>
        <v>0</v>
      </c>
      <c r="M10" s="1211">
        <f ca="1"/>
        <v>0</v>
      </c>
      <c r="N10" s="1212">
        <f ca="1"/>
        <v>0</v>
      </c>
      <c r="O10" s="1213">
        <f t="shared" ca="1" si="0"/>
        <v>0</v>
      </c>
    </row>
    <row r="11" spans="1:15" s="279" customFormat="1" ht="21" customHeight="1" thickBot="1">
      <c r="A11" s="317" t="str">
        <v>Total COBROS</v>
      </c>
      <c r="B11" s="284"/>
      <c r="C11" s="1214">
        <f ca="1">SUM(C6:C10)</f>
        <v>3489.64</v>
      </c>
      <c r="D11" s="1214">
        <f t="shared" ref="D11:K11" ca="1" si="1">SUM(D6:D10)</f>
        <v>4362.05</v>
      </c>
      <c r="E11" s="1214">
        <f t="shared" ca="1" si="1"/>
        <v>4798.2550000000001</v>
      </c>
      <c r="F11" s="1214">
        <f t="shared" ca="1" si="1"/>
        <v>4580.1525000000001</v>
      </c>
      <c r="G11" s="1214">
        <f t="shared" ca="1" si="1"/>
        <v>3925.8449999999998</v>
      </c>
      <c r="H11" s="1214">
        <f t="shared" ca="1" si="1"/>
        <v>3707.7424999999998</v>
      </c>
      <c r="I11" s="1214">
        <f t="shared" ca="1" si="1"/>
        <v>3489.64</v>
      </c>
      <c r="J11" s="1214">
        <f t="shared" ca="1" si="1"/>
        <v>2617.23</v>
      </c>
      <c r="K11" s="1214">
        <f t="shared" ca="1" si="1"/>
        <v>3489.64</v>
      </c>
      <c r="L11" s="1214">
        <f ca="1">SUM(L6:L10)</f>
        <v>4143.9475000000002</v>
      </c>
      <c r="M11" s="1214">
        <f ca="1">SUM(M6:M10)</f>
        <v>4362.05</v>
      </c>
      <c r="N11" s="1215">
        <f ca="1">SUM(N6:N10)</f>
        <v>5234.46</v>
      </c>
      <c r="O11" s="1216">
        <f t="shared" ca="1" si="0"/>
        <v>48200.652500000004</v>
      </c>
    </row>
    <row r="12" spans="1:15" s="279" customFormat="1" ht="9.75" customHeight="1">
      <c r="A12" s="299"/>
      <c r="B12" s="285"/>
      <c r="C12" s="285"/>
      <c r="D12" s="285"/>
      <c r="E12" s="285"/>
      <c r="F12" s="285"/>
      <c r="G12" s="285"/>
      <c r="H12" s="285"/>
      <c r="I12" s="285"/>
      <c r="J12" s="285"/>
      <c r="K12" s="285"/>
      <c r="L12" s="285"/>
      <c r="M12" s="285"/>
      <c r="N12" s="285"/>
      <c r="O12" s="305"/>
    </row>
    <row r="13" spans="1:15" s="279" customFormat="1" ht="21" customHeight="1" thickBot="1">
      <c r="A13" s="301" t="s">
        <v>87</v>
      </c>
      <c r="B13" s="286"/>
      <c r="C13" s="286"/>
      <c r="D13" s="286"/>
      <c r="E13" s="286"/>
      <c r="F13" s="286"/>
      <c r="G13" s="286"/>
      <c r="H13" s="286"/>
      <c r="I13" s="286"/>
      <c r="J13" s="286"/>
      <c r="K13" s="286"/>
      <c r="L13" s="286"/>
      <c r="M13" s="286"/>
      <c r="N13" s="286"/>
      <c r="O13" s="306"/>
    </row>
    <row r="14" spans="1:15" s="293" customFormat="1" ht="21" customHeight="1">
      <c r="A14" s="1201" t="str">
        <f t="array" ref="A14:A17">'Resumen Tesorerias'!A13:A16</f>
        <v>Pagos de Gastos Fijos ( IVA incl.)</v>
      </c>
      <c r="B14" s="1195"/>
      <c r="C14" s="1217">
        <f ca="1">'G.F. 2'!B58+'G.F. 2'!B60</f>
        <v>2185.0581523333331</v>
      </c>
      <c r="D14" s="1217">
        <f ca="1">'G.F. 2'!C58+'G.F. 2'!C60</f>
        <v>2185.0581523333331</v>
      </c>
      <c r="E14" s="1217">
        <f ca="1">'G.F. 2'!D58+'G.F. 2'!D60</f>
        <v>2185.0581523333331</v>
      </c>
      <c r="F14" s="1217">
        <f ca="1">'G.F. 2'!E58+'G.F. 2'!E60</f>
        <v>2185.0581523333331</v>
      </c>
      <c r="G14" s="1217">
        <f ca="1">'G.F. 2'!F58+'G.F. 2'!F60</f>
        <v>2185.0581523333331</v>
      </c>
      <c r="H14" s="1217">
        <f ca="1">'G.F. 2'!G58+'G.F. 2'!G60</f>
        <v>3505.0581523333331</v>
      </c>
      <c r="I14" s="1217">
        <f ca="1">'G.F. 2'!H58+'G.F. 2'!H60</f>
        <v>2185.0581523333331</v>
      </c>
      <c r="J14" s="1217">
        <f ca="1">'G.F. 2'!I58+'G.F. 2'!I60</f>
        <v>2185.0581523333331</v>
      </c>
      <c r="K14" s="1217">
        <f ca="1">'G.F. 2'!J58+'G.F. 2'!J60</f>
        <v>2185.0581523333331</v>
      </c>
      <c r="L14" s="1217">
        <f ca="1">'G.F. 2'!K58+'G.F. 2'!K60</f>
        <v>2185.0581523333331</v>
      </c>
      <c r="M14" s="1217">
        <f ca="1">'G.F. 2'!L58+'G.F. 2'!L60</f>
        <v>2185.0581523333331</v>
      </c>
      <c r="N14" s="1218">
        <f ca="1">'G.F. 2'!M58+'G.F. 2'!M60</f>
        <v>2185.0581523333331</v>
      </c>
      <c r="O14" s="1219">
        <f ca="1">SUM(C14:N14)</f>
        <v>27540.697827999989</v>
      </c>
    </row>
    <row r="15" spans="1:15" s="292" customFormat="1" ht="21" customHeight="1">
      <c r="A15" s="1202" t="str">
        <v>Pago de compras y Costes Variables  ( IVA incl.)</v>
      </c>
      <c r="B15" s="1196"/>
      <c r="C15" s="1220">
        <f t="array" aca="1" ref="C15:N15" ca="1">'Cobros y pagos 2'!B55:M55</f>
        <v>348.96400000000006</v>
      </c>
      <c r="D15" s="1220">
        <f ca="1"/>
        <v>436.20500000000004</v>
      </c>
      <c r="E15" s="1220">
        <f ca="1"/>
        <v>479.82550000000003</v>
      </c>
      <c r="F15" s="1220">
        <f ca="1"/>
        <v>458.01525000000004</v>
      </c>
      <c r="G15" s="1220">
        <f ca="1"/>
        <v>392.58450000000005</v>
      </c>
      <c r="H15" s="1220">
        <f ca="1"/>
        <v>370.77424999999999</v>
      </c>
      <c r="I15" s="1220">
        <f ca="1"/>
        <v>348.96400000000006</v>
      </c>
      <c r="J15" s="1220">
        <f ca="1"/>
        <v>261.72300000000001</v>
      </c>
      <c r="K15" s="1220">
        <f ca="1"/>
        <v>348.96400000000006</v>
      </c>
      <c r="L15" s="1220">
        <f ca="1"/>
        <v>414.39475000000004</v>
      </c>
      <c r="M15" s="1220">
        <f ca="1"/>
        <v>436.20500000000004</v>
      </c>
      <c r="N15" s="1221">
        <f ca="1"/>
        <v>523.44600000000003</v>
      </c>
      <c r="O15" s="1222">
        <f ca="1">SUM(C15:N15)</f>
        <v>4820.0652499999997</v>
      </c>
    </row>
    <row r="16" spans="1:15" s="292" customFormat="1" ht="21" customHeight="1">
      <c r="A16" s="1202" t="str">
        <v>Pagos de Gastos Financieros</v>
      </c>
      <c r="B16" s="1196"/>
      <c r="C16" s="1220">
        <f t="array" ref="C16:N16" ca="1">'Gastos Financieros'!C49:N49+'Gastos Financieros'!C45:N45*Parametros!$F$33*0</f>
        <v>174.482</v>
      </c>
      <c r="D16" s="1220">
        <f ca="1"/>
        <v>218.10250000000002</v>
      </c>
      <c r="E16" s="1220">
        <f ca="1"/>
        <v>239.91275000000002</v>
      </c>
      <c r="F16" s="1220">
        <f ca="1"/>
        <v>229.00762500000002</v>
      </c>
      <c r="G16" s="1220">
        <f ca="1"/>
        <v>196.29225</v>
      </c>
      <c r="H16" s="1220">
        <f ca="1"/>
        <v>185.387125</v>
      </c>
      <c r="I16" s="1220">
        <f ca="1"/>
        <v>174.482</v>
      </c>
      <c r="J16" s="1220">
        <f ca="1"/>
        <v>130.86150000000001</v>
      </c>
      <c r="K16" s="1220">
        <f ca="1"/>
        <v>174.482</v>
      </c>
      <c r="L16" s="1220">
        <f ca="1"/>
        <v>207.19737500000002</v>
      </c>
      <c r="M16" s="1220">
        <f ca="1"/>
        <v>218.10250000000002</v>
      </c>
      <c r="N16" s="1221">
        <f ca="1"/>
        <v>261.72300000000001</v>
      </c>
      <c r="O16" s="1222">
        <f ca="1">SUM(C16:N16)</f>
        <v>2410.0326249999998</v>
      </c>
    </row>
    <row r="17" spans="1:15" s="292" customFormat="1" ht="21" customHeight="1">
      <c r="A17" s="1202" t="str">
        <v>Pagos de IVA de cuotas de Leasing / Renting</v>
      </c>
      <c r="B17" s="1196"/>
      <c r="C17" s="1220">
        <f t="array" ref="C17:N17">+Leasing!B40:M40+Renting!B38:M40</f>
        <v>0</v>
      </c>
      <c r="D17" s="1220">
        <v>0</v>
      </c>
      <c r="E17" s="1220">
        <v>0</v>
      </c>
      <c r="F17" s="1220">
        <v>0</v>
      </c>
      <c r="G17" s="1220">
        <v>0</v>
      </c>
      <c r="H17" s="1220">
        <v>0</v>
      </c>
      <c r="I17" s="1220">
        <v>0</v>
      </c>
      <c r="J17" s="1220">
        <v>0</v>
      </c>
      <c r="K17" s="1220">
        <v>0</v>
      </c>
      <c r="L17" s="1220">
        <v>0</v>
      </c>
      <c r="M17" s="1220">
        <v>0</v>
      </c>
      <c r="N17" s="1221">
        <v>0</v>
      </c>
      <c r="O17" s="1222">
        <f>SUM(C17:N17)</f>
        <v>0</v>
      </c>
    </row>
    <row r="18" spans="1:15" s="292" customFormat="1" ht="9.75" customHeight="1">
      <c r="A18" s="1203"/>
      <c r="C18" s="1751"/>
      <c r="D18" s="1752"/>
      <c r="E18" s="1753"/>
      <c r="F18" s="1752"/>
      <c r="G18" s="1752"/>
      <c r="H18" s="1752"/>
      <c r="I18" s="1752"/>
      <c r="J18" s="1752"/>
      <c r="K18" s="1752"/>
      <c r="L18" s="1752"/>
      <c r="M18" s="1752"/>
      <c r="N18" s="1754"/>
      <c r="O18" s="1755"/>
    </row>
    <row r="19" spans="1:15" s="292" customFormat="1" ht="21" customHeight="1">
      <c r="A19" s="1205" t="s">
        <v>395</v>
      </c>
      <c r="B19" s="1197"/>
      <c r="C19" s="1223"/>
      <c r="D19" s="1224"/>
      <c r="E19" s="1225"/>
      <c r="F19" s="1224"/>
      <c r="G19" s="1224"/>
      <c r="H19" s="1224"/>
      <c r="I19" s="1224"/>
      <c r="J19" s="1224"/>
      <c r="K19" s="1224"/>
      <c r="L19" s="1224"/>
      <c r="M19" s="1224"/>
      <c r="N19" s="1226"/>
      <c r="O19" s="1227"/>
    </row>
    <row r="20" spans="1:15" s="292" customFormat="1" ht="21" customHeight="1">
      <c r="A20" s="1202" t="str">
        <f t="array" ref="A20:A25">'Resumen Tesorerias'!A17:A22</f>
        <v>Devolución de principal de préstamos / Leasing</v>
      </c>
      <c r="B20" s="1196"/>
      <c r="C20" s="1220">
        <f t="array" ref="C20:N20">Préstamos!B40:M40+Leasing!B39:M39</f>
        <v>0</v>
      </c>
      <c r="D20" s="1220">
        <v>0</v>
      </c>
      <c r="E20" s="1220">
        <v>0</v>
      </c>
      <c r="F20" s="1220">
        <v>0</v>
      </c>
      <c r="G20" s="1220">
        <v>0</v>
      </c>
      <c r="H20" s="1220">
        <v>0</v>
      </c>
      <c r="I20" s="1220">
        <v>0</v>
      </c>
      <c r="J20" s="1220">
        <v>0</v>
      </c>
      <c r="K20" s="1220">
        <v>0</v>
      </c>
      <c r="L20" s="1220">
        <v>0</v>
      </c>
      <c r="M20" s="1220">
        <v>0</v>
      </c>
      <c r="N20" s="1221">
        <v>0</v>
      </c>
      <c r="O20" s="1222">
        <f>SUM(C20:N20)</f>
        <v>0</v>
      </c>
    </row>
    <row r="21" spans="1:15" s="292" customFormat="1" ht="21" customHeight="1">
      <c r="A21" s="1202" t="str">
        <v>Otras salidas de caja</v>
      </c>
      <c r="B21" s="1196"/>
      <c r="C21" s="1220">
        <v>0</v>
      </c>
      <c r="D21" s="1220">
        <v>0</v>
      </c>
      <c r="E21" s="1220">
        <v>0</v>
      </c>
      <c r="F21" s="1220">
        <v>0</v>
      </c>
      <c r="G21" s="1220">
        <v>0</v>
      </c>
      <c r="H21" s="1220">
        <v>0</v>
      </c>
      <c r="I21" s="1220">
        <v>0</v>
      </c>
      <c r="J21" s="1220">
        <v>0</v>
      </c>
      <c r="K21" s="1220">
        <v>0</v>
      </c>
      <c r="L21" s="1220">
        <v>0</v>
      </c>
      <c r="M21" s="1220">
        <v>0</v>
      </c>
      <c r="N21" s="1221">
        <v>0</v>
      </c>
      <c r="O21" s="1222">
        <f>SUM(C21:N21)</f>
        <v>0</v>
      </c>
    </row>
    <row r="22" spans="1:15" s="292" customFormat="1" ht="21" customHeight="1">
      <c r="A22" s="1202" t="str">
        <v>Liquidaciones de IVA</v>
      </c>
      <c r="B22" s="1196"/>
      <c r="C22" s="1220">
        <f t="array" ref="C22:N22" ca="1">'IVA 2'!C24:N24</f>
        <v>1996.5052227272727</v>
      </c>
      <c r="D22" s="1220">
        <v>0</v>
      </c>
      <c r="E22" s="1220">
        <v>0</v>
      </c>
      <c r="F22" s="1220">
        <f ca="1"/>
        <v>1886.0041066363638</v>
      </c>
      <c r="G22" s="1220">
        <v>0</v>
      </c>
      <c r="H22" s="1220">
        <v>0</v>
      </c>
      <c r="I22" s="1220">
        <f ca="1"/>
        <v>1817.8696066363636</v>
      </c>
      <c r="J22" s="1220">
        <v>0</v>
      </c>
      <c r="K22" s="1220">
        <v>0</v>
      </c>
      <c r="L22" s="1220">
        <f ca="1"/>
        <v>1409.0626066363639</v>
      </c>
      <c r="M22" s="1220">
        <v>0</v>
      </c>
      <c r="N22" s="1221">
        <v>0</v>
      </c>
      <c r="O22" s="1222">
        <f ca="1">SUM(C22:N22)</f>
        <v>7109.4415426363639</v>
      </c>
    </row>
    <row r="23" spans="1:15" s="292" customFormat="1" ht="21" customHeight="1">
      <c r="A23" s="1202" t="str">
        <v>Otros pagos (I.R.P.F. / I.S. )</v>
      </c>
      <c r="B23" s="1196"/>
      <c r="C23" s="1220">
        <f ca="1">'Ret IRPF'!N22</f>
        <v>1716.4310454545457</v>
      </c>
      <c r="D23" s="1220"/>
      <c r="E23" s="1220"/>
      <c r="F23" s="1220">
        <f ca="1">Imp.Sociedades!G18+'Ret IRPF'!E31</f>
        <v>1435.6949372727277</v>
      </c>
      <c r="G23" s="1220"/>
      <c r="H23" s="1220">
        <f ca="1">IF('IRPF Prof y Autónomos'!L25&lt;0,0,'IRPF Prof y Autónomos'!L25*'IRPF Prof y Autónomos'!L19)</f>
        <v>88.429040909089963</v>
      </c>
      <c r="I23" s="1220">
        <f ca="1">IF(Imp.Sociedades!D23&gt;0,Imp.Sociedades!D23,0)+'Ret IRPF'!H31
+Imp.Sociedades!$D$32/2</f>
        <v>1111.1669872727275</v>
      </c>
      <c r="J23" s="1220"/>
      <c r="K23" s="1220"/>
      <c r="L23" s="1220">
        <f ca="1">Imp.Sociedades!G19+'Ret IRPF'!K31</f>
        <v>1011.9992872727275</v>
      </c>
      <c r="M23" s="1220"/>
      <c r="N23" s="1221">
        <f>Imp.Sociedades!G20
+Imp.Sociedades!$D$32/2</f>
        <v>0</v>
      </c>
      <c r="O23" s="1222">
        <f ca="1">SUM(C23:N23)</f>
        <v>5363.7212981818175</v>
      </c>
    </row>
    <row r="24" spans="1:15" s="292" customFormat="1" ht="21" customHeight="1">
      <c r="A24" s="1202" t="str">
        <v>Otros pagos acreedores L/P</v>
      </c>
      <c r="B24" s="1196"/>
      <c r="C24" s="1220">
        <f t="array" ref="C24:N24">'Otros cobros y pagos'!B84:M84</f>
        <v>0</v>
      </c>
      <c r="D24" s="1220">
        <v>0</v>
      </c>
      <c r="E24" s="1220">
        <v>0</v>
      </c>
      <c r="F24" s="1220">
        <v>0</v>
      </c>
      <c r="G24" s="1220">
        <v>0</v>
      </c>
      <c r="H24" s="1220">
        <v>0</v>
      </c>
      <c r="I24" s="1220">
        <v>0</v>
      </c>
      <c r="J24" s="1220">
        <v>0</v>
      </c>
      <c r="K24" s="1220">
        <v>0</v>
      </c>
      <c r="L24" s="1220">
        <v>0</v>
      </c>
      <c r="M24" s="1220">
        <v>0</v>
      </c>
      <c r="N24" s="1221">
        <v>0</v>
      </c>
      <c r="O24" s="1222">
        <f>SUM(C24:N24)</f>
        <v>0</v>
      </c>
    </row>
    <row r="25" spans="1:15" s="293" customFormat="1" ht="21" customHeight="1" thickBot="1">
      <c r="A25" s="1206" t="str">
        <v>Total PAGOS</v>
      </c>
      <c r="B25" s="1200"/>
      <c r="C25" s="1228">
        <f t="shared" ref="C25:N25" ca="1" si="2">SUM(C14:C24)</f>
        <v>6421.4404205151513</v>
      </c>
      <c r="D25" s="1228">
        <f t="shared" ca="1" si="2"/>
        <v>2839.3656523333329</v>
      </c>
      <c r="E25" s="1228">
        <f t="shared" ca="1" si="2"/>
        <v>2904.7964023333329</v>
      </c>
      <c r="F25" s="1228">
        <f t="shared" ca="1" si="2"/>
        <v>6193.7800712424241</v>
      </c>
      <c r="G25" s="1228">
        <f t="shared" ca="1" si="2"/>
        <v>2773.934902333333</v>
      </c>
      <c r="H25" s="1228">
        <f t="shared" ca="1" si="2"/>
        <v>4149.6485682424227</v>
      </c>
      <c r="I25" s="1228">
        <f t="shared" ca="1" si="2"/>
        <v>5637.5407462424246</v>
      </c>
      <c r="J25" s="1228">
        <f t="shared" ca="1" si="2"/>
        <v>2577.642652333333</v>
      </c>
      <c r="K25" s="1228">
        <f t="shared" ca="1" si="2"/>
        <v>2708.504152333333</v>
      </c>
      <c r="L25" s="1228">
        <f t="shared" ca="1" si="2"/>
        <v>5227.712171242425</v>
      </c>
      <c r="M25" s="1228">
        <f t="shared" ca="1" si="2"/>
        <v>2839.3656523333329</v>
      </c>
      <c r="N25" s="1229">
        <f t="shared" ca="1" si="2"/>
        <v>2970.2271523333329</v>
      </c>
      <c r="O25" s="1230">
        <f ca="1">SUM(O14:O24)</f>
        <v>47243.958543818168</v>
      </c>
    </row>
    <row r="26" spans="1:15" s="279" customFormat="1" ht="21" customHeight="1">
      <c r="A26" s="299"/>
      <c r="B26" s="323"/>
      <c r="C26" s="288"/>
      <c r="D26" s="288"/>
      <c r="E26" s="288"/>
      <c r="F26" s="288"/>
      <c r="G26" s="288"/>
      <c r="H26" s="288"/>
      <c r="I26" s="288"/>
      <c r="J26" s="288"/>
      <c r="K26" s="288"/>
      <c r="L26" s="288"/>
      <c r="M26" s="288"/>
      <c r="O26" s="307"/>
    </row>
    <row r="27" spans="1:15" s="279" customFormat="1" ht="21" customHeight="1" thickBot="1">
      <c r="A27" s="299"/>
      <c r="B27" s="287"/>
      <c r="C27" s="288"/>
      <c r="D27" s="288"/>
      <c r="E27" s="288"/>
      <c r="F27" s="288"/>
      <c r="G27" s="288"/>
      <c r="H27" s="288"/>
      <c r="I27" s="288"/>
      <c r="J27" s="288"/>
      <c r="K27" s="288"/>
      <c r="L27" s="288"/>
      <c r="M27" s="288"/>
      <c r="O27" s="307"/>
    </row>
    <row r="28" spans="1:15" s="281" customFormat="1" ht="18" customHeight="1" thickBot="1">
      <c r="A28" s="320" t="str">
        <f t="array" ref="A28:A31">'Tesorería 0'!A28:A31</f>
        <v>Resúmen de tesorería</v>
      </c>
      <c r="B28" s="297"/>
      <c r="C28" s="298" t="str">
        <f t="array" ref="C28:N28">meses</f>
        <v>enero</v>
      </c>
      <c r="D28" s="298" t="str">
        <v>febrero</v>
      </c>
      <c r="E28" s="298" t="str">
        <v>marzo</v>
      </c>
      <c r="F28" s="298" t="str">
        <v>abril</v>
      </c>
      <c r="G28" s="298" t="str">
        <v>mayo</v>
      </c>
      <c r="H28" s="298" t="str">
        <v>junio</v>
      </c>
      <c r="I28" s="298" t="str">
        <v>julio</v>
      </c>
      <c r="J28" s="298" t="str">
        <v>agosto</v>
      </c>
      <c r="K28" s="298" t="str">
        <v>septiembre</v>
      </c>
      <c r="L28" s="298" t="str">
        <v>octubre</v>
      </c>
      <c r="M28" s="298" t="str">
        <v>noviembre</v>
      </c>
      <c r="N28" s="302" t="str">
        <v>diciembre</v>
      </c>
      <c r="O28" s="303" t="str">
        <f>O4</f>
        <v>Total</v>
      </c>
    </row>
    <row r="29" spans="1:15" s="279" customFormat="1" ht="21" customHeight="1" thickBot="1">
      <c r="A29" s="321" t="str">
        <v>Previsiones de cobros por meses</v>
      </c>
      <c r="B29" s="289"/>
      <c r="C29" s="619">
        <f t="array" ref="C29:N29" ca="1">C11:N11</f>
        <v>3489.64</v>
      </c>
      <c r="D29" s="619">
        <f ca="1"/>
        <v>4362.05</v>
      </c>
      <c r="E29" s="619">
        <f ca="1"/>
        <v>4798.2550000000001</v>
      </c>
      <c r="F29" s="619">
        <f ca="1"/>
        <v>4580.1525000000001</v>
      </c>
      <c r="G29" s="619">
        <f ca="1"/>
        <v>3925.8449999999998</v>
      </c>
      <c r="H29" s="619">
        <f ca="1"/>
        <v>3707.7424999999998</v>
      </c>
      <c r="I29" s="619">
        <f ca="1"/>
        <v>3489.64</v>
      </c>
      <c r="J29" s="619">
        <f ca="1"/>
        <v>2617.23</v>
      </c>
      <c r="K29" s="619">
        <f ca="1"/>
        <v>3489.64</v>
      </c>
      <c r="L29" s="619">
        <f ca="1"/>
        <v>4143.9475000000002</v>
      </c>
      <c r="M29" s="619">
        <f ca="1"/>
        <v>4362.05</v>
      </c>
      <c r="N29" s="620">
        <f ca="1"/>
        <v>5234.46</v>
      </c>
      <c r="O29" s="621">
        <f ca="1">SUM(C29:N29)</f>
        <v>48200.652500000004</v>
      </c>
    </row>
    <row r="30" spans="1:15" s="279" customFormat="1" ht="21" customHeight="1" thickBot="1">
      <c r="A30" s="321" t="str">
        <v>Previsiones de pagos por meses</v>
      </c>
      <c r="B30" s="284"/>
      <c r="C30" s="622">
        <f t="array" ref="C30:N30" ca="1">C25:N25</f>
        <v>6421.4404205151513</v>
      </c>
      <c r="D30" s="622">
        <f ca="1"/>
        <v>2839.3656523333329</v>
      </c>
      <c r="E30" s="622">
        <f ca="1"/>
        <v>2904.7964023333329</v>
      </c>
      <c r="F30" s="622">
        <f ca="1"/>
        <v>6193.7800712424241</v>
      </c>
      <c r="G30" s="622">
        <f ca="1"/>
        <v>2773.934902333333</v>
      </c>
      <c r="H30" s="622">
        <f ca="1"/>
        <v>4149.6485682424227</v>
      </c>
      <c r="I30" s="622">
        <f ca="1"/>
        <v>5637.5407462424246</v>
      </c>
      <c r="J30" s="622">
        <f ca="1"/>
        <v>2577.642652333333</v>
      </c>
      <c r="K30" s="622">
        <f ca="1"/>
        <v>2708.504152333333</v>
      </c>
      <c r="L30" s="622">
        <f ca="1"/>
        <v>5227.712171242425</v>
      </c>
      <c r="M30" s="622">
        <f ca="1"/>
        <v>2839.3656523333329</v>
      </c>
      <c r="N30" s="623">
        <f ca="1"/>
        <v>2970.2271523333329</v>
      </c>
      <c r="O30" s="621">
        <f ca="1">SUM(C30:N30)</f>
        <v>47243.958543818189</v>
      </c>
    </row>
    <row r="31" spans="1:15" s="279" customFormat="1" ht="21" customHeight="1" thickBot="1">
      <c r="A31" s="322" t="str">
        <v>Tesorerías mensuales previstas</v>
      </c>
      <c r="B31" s="289"/>
      <c r="C31" s="624">
        <f t="array" ref="C31:N31" ca="1">C29:N29-C30:N30</f>
        <v>-2931.8004205151515</v>
      </c>
      <c r="D31" s="624">
        <f ca="1"/>
        <v>1522.6843476666672</v>
      </c>
      <c r="E31" s="624">
        <f ca="1"/>
        <v>1893.4585976666672</v>
      </c>
      <c r="F31" s="624">
        <f ca="1"/>
        <v>-1613.627571242424</v>
      </c>
      <c r="G31" s="624">
        <f ca="1"/>
        <v>1151.9100976666668</v>
      </c>
      <c r="H31" s="624">
        <f ca="1"/>
        <v>-441.90606824242286</v>
      </c>
      <c r="I31" s="624">
        <f ca="1"/>
        <v>-2147.9007462424247</v>
      </c>
      <c r="J31" s="624">
        <f ca="1"/>
        <v>39.587347666667029</v>
      </c>
      <c r="K31" s="624">
        <f ca="1"/>
        <v>781.1358476666669</v>
      </c>
      <c r="L31" s="624">
        <f ca="1"/>
        <v>-1083.7646712424248</v>
      </c>
      <c r="M31" s="624">
        <f ca="1"/>
        <v>1522.6843476666672</v>
      </c>
      <c r="N31" s="625">
        <f ca="1"/>
        <v>2264.2328476666671</v>
      </c>
      <c r="O31" s="626">
        <f ca="1">O29-O30</f>
        <v>956.69395618181443</v>
      </c>
    </row>
    <row r="32" spans="1:15" s="279" customFormat="1" ht="21" customHeight="1" thickBot="1">
      <c r="A32" s="324"/>
      <c r="B32" s="289"/>
      <c r="C32" s="290"/>
      <c r="D32" s="290"/>
      <c r="E32" s="290"/>
      <c r="F32" s="290"/>
      <c r="G32" s="290"/>
      <c r="H32" s="290"/>
      <c r="I32" s="290"/>
      <c r="J32" s="290"/>
      <c r="K32" s="290"/>
      <c r="L32" s="290"/>
      <c r="M32" s="290"/>
      <c r="N32" s="627"/>
      <c r="O32" s="628"/>
    </row>
    <row r="33" spans="1:15" s="293" customFormat="1" ht="21" customHeight="1" thickBot="1">
      <c r="A33" s="1192" t="str">
        <f>'Tesorería 0'!A33</f>
        <v>Dispuesto Póliza Crédito</v>
      </c>
      <c r="B33" s="1178">
        <f ca="1">'Tesorería 1'!N33</f>
        <v>0</v>
      </c>
      <c r="C33" s="1179">
        <f ca="1">IF(B35+C31-B33&gt;tesoreriasec,0,MIN(B33-B35-C31+tesoreriasec,Financiación!$F$49))</f>
        <v>0</v>
      </c>
      <c r="D33" s="1180">
        <f ca="1">IF(C35+D31-C33&gt;tesoreriasec,0,MIN(C33-C35-D31+tesoreriasec,Financiación!$F$49))</f>
        <v>0</v>
      </c>
      <c r="E33" s="1180">
        <f ca="1">IF(D35+E31-D33&gt;tesoreriasec,0,MIN(D33-D35-E31+tesoreriasec,Financiación!$F$49))</f>
        <v>0</v>
      </c>
      <c r="F33" s="1180">
        <f ca="1">IF(E35+F31-E33&gt;tesoreriasec,0,MIN(E33-E35-F31+tesoreriasec,Financiación!$F$49))</f>
        <v>0</v>
      </c>
      <c r="G33" s="1180">
        <f ca="1">IF(F35+G31-F33&gt;tesoreriasec,0,MIN(F33-F35-G31+tesoreriasec,Financiación!$F$49))</f>
        <v>0</v>
      </c>
      <c r="H33" s="1180">
        <f ca="1">IF(G35+H31-G33&gt;tesoreriasec,0,MIN(G33-G35-H31+tesoreriasec,Financiación!$F$49))</f>
        <v>0</v>
      </c>
      <c r="I33" s="1180">
        <f ca="1">IF(H35+I31-H33&gt;tesoreriasec,0,MIN(H33-H35-I31+tesoreriasec,Financiación!$F$49))</f>
        <v>0</v>
      </c>
      <c r="J33" s="1180">
        <f ca="1">IF(I35+J31-I33&gt;tesoreriasec,0,MIN(I33-I35-J31+tesoreriasec,Financiación!$F$49))</f>
        <v>0</v>
      </c>
      <c r="K33" s="1180">
        <f ca="1">IF(J35+K31-J33&gt;tesoreriasec,0,MIN(J33-J35-K31+tesoreriasec,Financiación!$F$49))</f>
        <v>0</v>
      </c>
      <c r="L33" s="1180">
        <f ca="1">IF(K35+L31-K33&gt;tesoreriasec,0,MIN(K33-K35-L31+tesoreriasec,Financiación!$F$49))</f>
        <v>0</v>
      </c>
      <c r="M33" s="1180">
        <f ca="1">IF(L35+M31-L33&gt;tesoreriasec,0,MIN(L33-L35-M31+tesoreriasec,Financiación!$F$49))</f>
        <v>0</v>
      </c>
      <c r="N33" s="1181">
        <f ca="1">IF(M35+N31-M33&gt;tesoreriasec,0,MIN(M33-M35-N31+tesoreriasec,Financiación!$F$49))</f>
        <v>0</v>
      </c>
      <c r="O33" s="1182"/>
    </row>
    <row r="34" spans="1:15" s="293" customFormat="1" ht="21" customHeight="1" thickBot="1">
      <c r="A34" s="1193"/>
      <c r="B34" s="1183"/>
      <c r="C34" s="1184"/>
      <c r="D34" s="1184"/>
      <c r="E34" s="1184"/>
      <c r="F34" s="1184"/>
      <c r="G34" s="1184"/>
      <c r="H34" s="1184"/>
      <c r="I34" s="1184"/>
      <c r="J34" s="1184"/>
      <c r="K34" s="1184"/>
      <c r="L34" s="1184"/>
      <c r="M34" s="1184"/>
      <c r="O34" s="1185"/>
    </row>
    <row r="35" spans="1:15" s="293" customFormat="1" ht="21" customHeight="1" thickBot="1">
      <c r="A35" s="1192" t="str">
        <f>'Tesorería 0'!A35</f>
        <v>Tesorería acumulada</v>
      </c>
      <c r="B35" s="1186">
        <f ca="1">'Tesorería 1'!N35-(Financiación!F9-Financiación!F25+Financiación!F19)</f>
        <v>11282.89053409091</v>
      </c>
      <c r="C35" s="1187">
        <f t="array" ref="C35:N35" ca="1">B35:M35+C31:N31+C33:N33-B33:M33</f>
        <v>8351.0901135757576</v>
      </c>
      <c r="D35" s="1188">
        <f ca="1"/>
        <v>9873.7744612424249</v>
      </c>
      <c r="E35" s="1188">
        <f ca="1"/>
        <v>11767.233058909093</v>
      </c>
      <c r="F35" s="1188">
        <f ca="1"/>
        <v>10153.605487666668</v>
      </c>
      <c r="G35" s="1188">
        <f ca="1"/>
        <v>11305.515585333334</v>
      </c>
      <c r="H35" s="1188">
        <f ca="1"/>
        <v>10863.609517090912</v>
      </c>
      <c r="I35" s="1188">
        <f ca="1"/>
        <v>8715.7087708484869</v>
      </c>
      <c r="J35" s="1188">
        <f ca="1"/>
        <v>8755.2961185151544</v>
      </c>
      <c r="K35" s="1188">
        <f ca="1"/>
        <v>9536.4319661818208</v>
      </c>
      <c r="L35" s="1188">
        <f ca="1"/>
        <v>8452.667294939396</v>
      </c>
      <c r="M35" s="1188">
        <f ca="1"/>
        <v>9975.3516426060633</v>
      </c>
      <c r="N35" s="1189">
        <f ca="1"/>
        <v>12239.584490272729</v>
      </c>
      <c r="O35" s="1190"/>
    </row>
    <row r="36" spans="1:15" ht="18.75" customHeight="1">
      <c r="A36" s="4"/>
      <c r="B36" s="4"/>
    </row>
    <row r="37" spans="1:15" ht="18.75" customHeight="1">
      <c r="A37" s="4"/>
      <c r="B37" s="4"/>
    </row>
    <row r="38" spans="1:15" ht="18.75" customHeight="1">
      <c r="A38" s="312"/>
      <c r="B38" s="313"/>
      <c r="C38" s="310" t="str">
        <f t="array" ref="C38:D38">'Tesorería 0'!C38:D38</f>
        <v>Importe</v>
      </c>
      <c r="D38" s="311" t="str">
        <v>mes</v>
      </c>
    </row>
    <row r="39" spans="1:15" s="292" customFormat="1" ht="21" customHeight="1">
      <c r="A39" s="291"/>
      <c r="B39" s="309" t="str">
        <f t="array" ref="B39:B41">'Tesorería 0'!B39:B41</f>
        <v>Máximo descubierto en el año</v>
      </c>
      <c r="C39" s="1695">
        <f ca="1">MAX(C33:N33)*0-MIN(C35:N35,0)</f>
        <v>0</v>
      </c>
      <c r="D39" s="1174" t="str">
        <f ca="1">IF(C39&lt;&gt;0,INDEX(C4:N4,1,MATCH(-C39,C35:N35,0)),"")</f>
        <v/>
      </c>
      <c r="O39" s="293"/>
    </row>
    <row r="40" spans="1:15" s="292" customFormat="1" ht="18.75" customHeight="1">
      <c r="A40" s="291"/>
      <c r="B40" s="309" t="str">
        <v>Flujo de caja del periodo  (Cash Flow)</v>
      </c>
      <c r="C40" s="1696">
        <f ca="1">N35-B35+B33-N33</f>
        <v>956.69395618181989</v>
      </c>
      <c r="D40" s="1173"/>
      <c r="O40" s="293"/>
    </row>
    <row r="41" spans="1:15" s="292" customFormat="1" ht="21" customHeight="1">
      <c r="A41" s="291"/>
      <c r="B41" s="309" t="str">
        <v>Máxima tesorería mensual</v>
      </c>
      <c r="C41" s="1697">
        <f ca="1">MAX(C35:N35)</f>
        <v>12239.584490272729</v>
      </c>
      <c r="D41" s="1174" t="str">
        <f ca="1">INDEX(C4:N4,1,MATCH(C41,C35:N35,0))</f>
        <v>diciembre</v>
      </c>
      <c r="O41" s="293"/>
    </row>
    <row r="42" spans="1:15" ht="18" customHeight="1">
      <c r="A42" s="4"/>
      <c r="B42" s="4"/>
    </row>
    <row r="43" spans="1:15">
      <c r="A43" s="4"/>
      <c r="B43" s="4"/>
    </row>
    <row r="44" spans="1:15" ht="15">
      <c r="A44" s="35"/>
      <c r="B44" s="35"/>
    </row>
    <row r="45" spans="1:15" ht="15">
      <c r="A45" s="35"/>
      <c r="B45" s="35"/>
    </row>
    <row r="46" spans="1:15" ht="15">
      <c r="A46" s="35"/>
      <c r="B46" s="35"/>
    </row>
    <row r="47" spans="1:15" ht="15">
      <c r="A47" s="35"/>
      <c r="B47" s="35"/>
    </row>
    <row r="48" spans="1:15" ht="15">
      <c r="A48" s="35"/>
      <c r="B48" s="35"/>
    </row>
    <row r="49" spans="1:2" ht="15">
      <c r="A49" s="35"/>
      <c r="B49" s="35"/>
    </row>
    <row r="50" spans="1:2" ht="15">
      <c r="A50" s="35"/>
      <c r="B50" s="35"/>
    </row>
    <row r="51" spans="1:2" ht="15">
      <c r="A51" s="35"/>
      <c r="B51" s="35"/>
    </row>
    <row r="52" spans="1:2" ht="15">
      <c r="A52" s="35"/>
      <c r="B52" s="35"/>
    </row>
    <row r="53" spans="1:2" ht="15">
      <c r="A53" s="35"/>
      <c r="B53" s="35"/>
    </row>
    <row r="54" spans="1:2" ht="15">
      <c r="A54" s="35"/>
      <c r="B54" s="35"/>
    </row>
    <row r="55" spans="1:2" ht="15">
      <c r="A55" s="35"/>
      <c r="B55" s="35"/>
    </row>
    <row r="56" spans="1:2" ht="15">
      <c r="A56" s="35"/>
      <c r="B56" s="35"/>
    </row>
    <row r="57" spans="1:2" ht="15">
      <c r="A57" s="35"/>
      <c r="B57" s="35"/>
    </row>
    <row r="58" spans="1:2" ht="15">
      <c r="A58" s="35"/>
      <c r="B58" s="35"/>
    </row>
    <row r="59" spans="1:2" ht="15">
      <c r="A59" s="35"/>
      <c r="B59" s="35"/>
    </row>
    <row r="60" spans="1:2" ht="15">
      <c r="A60" s="35"/>
      <c r="B60" s="35"/>
    </row>
  </sheetData>
  <sheetProtection sheet="1" objects="1" scenarios="1"/>
  <phoneticPr fontId="6" type="noConversion"/>
  <printOptions horizontalCentered="1" verticalCentered="1"/>
  <pageMargins left="0.19685039370078741" right="0.19685039370078741" top="0.39370078740157483" bottom="0.39370078740157483" header="0.11811023622047245" footer="0.11811023622047245"/>
  <pageSetup paperSize="9" scale="64" orientation="landscape" horizontalDpi="300" verticalDpi="300" r:id="rId1"/>
  <headerFooter alignWithMargins="0">
    <oddFooter>&amp;C&amp;"Tahoma,Normal"&amp;10&amp;A</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49">
    <tabColor indexed="43"/>
    <pageSetUpPr fitToPage="1"/>
  </sheetPr>
  <dimension ref="A1:O60"/>
  <sheetViews>
    <sheetView workbookViewId="0"/>
  </sheetViews>
  <sheetFormatPr baseColWidth="10" defaultColWidth="11" defaultRowHeight="12.75"/>
  <cols>
    <col min="1" max="1" width="29.25" style="87" customWidth="1"/>
    <col min="2" max="2" width="12" style="87" customWidth="1"/>
    <col min="3" max="3" width="11.875" style="87" customWidth="1"/>
    <col min="4" max="4" width="13.125" style="87" customWidth="1"/>
    <col min="5" max="5" width="13.5" style="87" customWidth="1"/>
    <col min="6" max="6" width="12" style="87" bestFit="1" customWidth="1"/>
    <col min="7" max="7" width="11.75" style="87" customWidth="1"/>
    <col min="8" max="8" width="12.25" style="87" bestFit="1" customWidth="1"/>
    <col min="9" max="9" width="11.75" style="87" bestFit="1" customWidth="1"/>
    <col min="10" max="10" width="12.125" style="87" customWidth="1"/>
    <col min="11" max="11" width="12.25" style="87" bestFit="1" customWidth="1"/>
    <col min="12" max="12" width="12" style="87" bestFit="1" customWidth="1"/>
    <col min="13" max="13" width="11.625" style="87" bestFit="1" customWidth="1"/>
    <col min="14" max="14" width="12" style="87" bestFit="1" customWidth="1"/>
    <col min="15" max="15" width="12.125" style="279" bestFit="1" customWidth="1"/>
    <col min="16" max="16384" width="11" style="87"/>
  </cols>
  <sheetData>
    <row r="1" spans="1:15" ht="22.5">
      <c r="A1" s="294" t="str">
        <f>'Tesorería 0'!A1</f>
        <v>Previsiones de Cobros y Pagos: Previsiones de Tesorería</v>
      </c>
      <c r="B1" s="275"/>
      <c r="E1" s="277"/>
      <c r="F1" s="2700" t="str">
        <f>Parametros!E$77</f>
        <v>Año 3:  2029</v>
      </c>
      <c r="G1" s="296"/>
      <c r="H1" s="277"/>
      <c r="I1" s="161"/>
      <c r="J1" s="278"/>
      <c r="K1" s="161"/>
    </row>
    <row r="2" spans="1:15" ht="25.5">
      <c r="A2" s="295" t="str">
        <f>'Datos Básicos'!B9</f>
        <v>nombre empresa</v>
      </c>
      <c r="B2" s="280"/>
      <c r="D2" s="274"/>
      <c r="F2" s="277"/>
      <c r="G2" s="161"/>
      <c r="H2" s="161"/>
      <c r="I2" s="161"/>
      <c r="J2" s="161"/>
      <c r="K2" s="161"/>
    </row>
    <row r="3" spans="1:15" ht="15.75" thickBot="1">
      <c r="A3" s="35"/>
      <c r="B3" s="35"/>
    </row>
    <row r="4" spans="1:15" s="281" customFormat="1" ht="18" customHeight="1" thickBot="1">
      <c r="A4" s="314" t="s">
        <v>0</v>
      </c>
      <c r="B4" s="297"/>
      <c r="C4" s="298" t="str">
        <f t="array" ref="C4:N4">meses</f>
        <v>enero</v>
      </c>
      <c r="D4" s="298" t="str">
        <v>febrero</v>
      </c>
      <c r="E4" s="298" t="str">
        <v>marzo</v>
      </c>
      <c r="F4" s="298" t="str">
        <v>abril</v>
      </c>
      <c r="G4" s="298" t="str">
        <v>mayo</v>
      </c>
      <c r="H4" s="298" t="str">
        <v>junio</v>
      </c>
      <c r="I4" s="298" t="str">
        <v>julio</v>
      </c>
      <c r="J4" s="298" t="str">
        <v>agosto</v>
      </c>
      <c r="K4" s="298" t="str">
        <v>septiembre</v>
      </c>
      <c r="L4" s="298" t="str">
        <v>octubre</v>
      </c>
      <c r="M4" s="298" t="str">
        <v>noviembre</v>
      </c>
      <c r="N4" s="302" t="str">
        <v>diciembre</v>
      </c>
      <c r="O4" s="303" t="s">
        <v>11</v>
      </c>
    </row>
    <row r="5" spans="1:15" s="281" customFormat="1" ht="18" customHeight="1" thickBot="1">
      <c r="A5" s="301" t="str">
        <f t="array" ref="A5:A11">'Resumen Tesorerias'!A4:A10</f>
        <v>COBROS</v>
      </c>
      <c r="B5" s="282"/>
      <c r="C5" s="282"/>
      <c r="D5" s="282"/>
      <c r="E5" s="282"/>
      <c r="F5" s="282"/>
      <c r="G5" s="282"/>
      <c r="H5" s="282"/>
      <c r="I5" s="282"/>
      <c r="J5" s="282"/>
      <c r="K5" s="282"/>
      <c r="L5" s="282"/>
      <c r="M5" s="282"/>
      <c r="O5" s="304"/>
    </row>
    <row r="6" spans="1:15" ht="21" customHeight="1">
      <c r="A6" s="1177" t="str">
        <v>Cobro de ventas</v>
      </c>
      <c r="B6" s="318"/>
      <c r="C6" s="1207">
        <f t="array" aca="1" ref="C6:N6" ca="1">'Cobros y pagos 3'!B28:M28</f>
        <v>3594.3291999999997</v>
      </c>
      <c r="D6" s="1207">
        <f ca="1"/>
        <v>4492.9115000000002</v>
      </c>
      <c r="E6" s="1207">
        <f ca="1"/>
        <v>4942.2026500000002</v>
      </c>
      <c r="F6" s="1207">
        <f ca="1"/>
        <v>4717.5570749999997</v>
      </c>
      <c r="G6" s="1207">
        <f ca="1"/>
        <v>4043.6203500000001</v>
      </c>
      <c r="H6" s="1207">
        <f ca="1"/>
        <v>3818.9747749999997</v>
      </c>
      <c r="I6" s="1207">
        <f ca="1"/>
        <v>3594.3291999999997</v>
      </c>
      <c r="J6" s="1207">
        <f ca="1"/>
        <v>2695.7468999999996</v>
      </c>
      <c r="K6" s="1207">
        <f ca="1"/>
        <v>3594.3291999999997</v>
      </c>
      <c r="L6" s="1207">
        <f ca="1"/>
        <v>4268.2659250000006</v>
      </c>
      <c r="M6" s="1207">
        <f ca="1"/>
        <v>4492.9115000000002</v>
      </c>
      <c r="N6" s="1208">
        <f ca="1"/>
        <v>5391.4937999999993</v>
      </c>
      <c r="O6" s="1209">
        <f t="shared" ref="O6:O11" ca="1" si="0">SUM(C6:N6)</f>
        <v>49646.672074999995</v>
      </c>
    </row>
    <row r="7" spans="1:15" ht="21" customHeight="1">
      <c r="A7" s="1176" t="str">
        <v>Cobros pendientes / Cobros en mora</v>
      </c>
      <c r="B7" s="283"/>
      <c r="C7" s="1211">
        <f t="array" aca="1" ref="C7:N7" ca="1">+recmorosos*'Cobros y pagos 2'!$S$31/12
+Financiación!$G$19*Parametros!B56:M56</f>
        <v>0</v>
      </c>
      <c r="D7" s="1211">
        <f ca="1"/>
        <v>0</v>
      </c>
      <c r="E7" s="1211">
        <f ca="1"/>
        <v>0</v>
      </c>
      <c r="F7" s="1211">
        <f ca="1"/>
        <v>0</v>
      </c>
      <c r="G7" s="1211">
        <f ca="1"/>
        <v>0</v>
      </c>
      <c r="H7" s="1211">
        <f ca="1"/>
        <v>0</v>
      </c>
      <c r="I7" s="1211">
        <f ca="1"/>
        <v>0</v>
      </c>
      <c r="J7" s="1211">
        <f ca="1"/>
        <v>0</v>
      </c>
      <c r="K7" s="1211">
        <f ca="1"/>
        <v>0</v>
      </c>
      <c r="L7" s="1211">
        <f ca="1"/>
        <v>0</v>
      </c>
      <c r="M7" s="1211">
        <f ca="1"/>
        <v>0</v>
      </c>
      <c r="N7" s="1212">
        <f ca="1"/>
        <v>0</v>
      </c>
      <c r="O7" s="1213">
        <f t="shared" ca="1" si="0"/>
        <v>0</v>
      </c>
    </row>
    <row r="8" spans="1:15" ht="21" customHeight="1">
      <c r="A8" s="1176" t="str">
        <v>Otras entradas</v>
      </c>
      <c r="B8" s="319"/>
      <c r="C8" s="1211">
        <v>0</v>
      </c>
      <c r="D8" s="1211">
        <v>0</v>
      </c>
      <c r="E8" s="1211">
        <v>0</v>
      </c>
      <c r="F8" s="1211">
        <v>0</v>
      </c>
      <c r="G8" s="1211">
        <v>0</v>
      </c>
      <c r="H8" s="1211">
        <v>0</v>
      </c>
      <c r="I8" s="1211">
        <v>0</v>
      </c>
      <c r="J8" s="1211">
        <f ca="1">IF('IRPF Prof y Autónomos'!M25&lt;0,-'IRPF Prof y Autónomos'!M25*'IRPF Prof y Autónomos'!M19,0)</f>
        <v>316.06628795454708</v>
      </c>
      <c r="K8" s="1211">
        <v>0</v>
      </c>
      <c r="L8" s="1211">
        <v>0</v>
      </c>
      <c r="M8" s="1211">
        <v>0</v>
      </c>
      <c r="N8" s="1212">
        <f>IF(Imp.Sociedades!$G$23&lt;0,-Imp.Sociedades!$G$23,0)</f>
        <v>0</v>
      </c>
      <c r="O8" s="1213">
        <f t="shared" ca="1" si="0"/>
        <v>316.06628795454708</v>
      </c>
    </row>
    <row r="9" spans="1:15" ht="21" customHeight="1">
      <c r="A9" s="1176" t="str">
        <v>Devoluciones de IVA</v>
      </c>
      <c r="B9" s="319"/>
      <c r="C9" s="1211">
        <f t="array" ref="C9:N9">'IVA 3'!C26:N26</f>
        <v>0</v>
      </c>
      <c r="D9" s="1211">
        <v>0</v>
      </c>
      <c r="E9" s="1211">
        <v>0</v>
      </c>
      <c r="F9" s="1211">
        <v>0</v>
      </c>
      <c r="G9" s="1211">
        <v>0</v>
      </c>
      <c r="H9" s="1211">
        <f ca="1"/>
        <v>0</v>
      </c>
      <c r="I9" s="1211">
        <v>0</v>
      </c>
      <c r="J9" s="1211">
        <v>0</v>
      </c>
      <c r="K9" s="1211">
        <v>0</v>
      </c>
      <c r="L9" s="1211">
        <v>0</v>
      </c>
      <c r="M9" s="1211">
        <v>0</v>
      </c>
      <c r="N9" s="1212">
        <v>0</v>
      </c>
      <c r="O9" s="1213">
        <f t="shared" ca="1" si="0"/>
        <v>0</v>
      </c>
    </row>
    <row r="10" spans="1:15" ht="21" customHeight="1">
      <c r="A10" s="1176" t="str">
        <v>Ingresos financieros</v>
      </c>
      <c r="B10" s="319"/>
      <c r="C10" s="1211">
        <f t="array" ref="C10:N10" ca="1">'Gastos Financieros'!C102:N102</f>
        <v>0</v>
      </c>
      <c r="D10" s="1211">
        <f ca="1"/>
        <v>0</v>
      </c>
      <c r="E10" s="1211">
        <f ca="1"/>
        <v>0</v>
      </c>
      <c r="F10" s="1211">
        <f ca="1"/>
        <v>0</v>
      </c>
      <c r="G10" s="1211">
        <f ca="1"/>
        <v>0</v>
      </c>
      <c r="H10" s="1211">
        <f ca="1"/>
        <v>0</v>
      </c>
      <c r="I10" s="1211">
        <f ca="1"/>
        <v>0</v>
      </c>
      <c r="J10" s="1211">
        <f ca="1"/>
        <v>0</v>
      </c>
      <c r="K10" s="1211">
        <f ca="1"/>
        <v>0</v>
      </c>
      <c r="L10" s="1211">
        <f ca="1"/>
        <v>0</v>
      </c>
      <c r="M10" s="1211">
        <f ca="1"/>
        <v>0</v>
      </c>
      <c r="N10" s="1212">
        <f ca="1"/>
        <v>0</v>
      </c>
      <c r="O10" s="1213">
        <f t="shared" ca="1" si="0"/>
        <v>0</v>
      </c>
    </row>
    <row r="11" spans="1:15" s="279" customFormat="1" ht="21" customHeight="1" thickBot="1">
      <c r="A11" s="317" t="str">
        <v>Total COBROS</v>
      </c>
      <c r="B11" s="284"/>
      <c r="C11" s="1214">
        <f t="shared" ref="C11:N11" ca="1" si="1">SUM(C6:C10)</f>
        <v>3594.3291999999997</v>
      </c>
      <c r="D11" s="1214">
        <f t="shared" ca="1" si="1"/>
        <v>4492.9115000000002</v>
      </c>
      <c r="E11" s="1214">
        <f t="shared" ca="1" si="1"/>
        <v>4942.2026500000002</v>
      </c>
      <c r="F11" s="1214">
        <f t="shared" ca="1" si="1"/>
        <v>4717.5570749999997</v>
      </c>
      <c r="G11" s="1214">
        <f t="shared" ca="1" si="1"/>
        <v>4043.6203500000001</v>
      </c>
      <c r="H11" s="1214">
        <f t="shared" ca="1" si="1"/>
        <v>3818.9747749999997</v>
      </c>
      <c r="I11" s="1214">
        <f t="shared" ca="1" si="1"/>
        <v>3594.3291999999997</v>
      </c>
      <c r="J11" s="1214">
        <f t="shared" ca="1" si="1"/>
        <v>3011.8131879545467</v>
      </c>
      <c r="K11" s="1214">
        <f t="shared" ca="1" si="1"/>
        <v>3594.3291999999997</v>
      </c>
      <c r="L11" s="1214">
        <f t="shared" ca="1" si="1"/>
        <v>4268.2659250000006</v>
      </c>
      <c r="M11" s="1214">
        <f t="shared" ca="1" si="1"/>
        <v>4492.9115000000002</v>
      </c>
      <c r="N11" s="1215">
        <f t="shared" ca="1" si="1"/>
        <v>5391.4937999999993</v>
      </c>
      <c r="O11" s="1216">
        <f t="shared" ca="1" si="0"/>
        <v>49962.738362954544</v>
      </c>
    </row>
    <row r="12" spans="1:15" s="279" customFormat="1" ht="9.75" customHeight="1">
      <c r="A12" s="299"/>
      <c r="B12" s="285"/>
      <c r="C12" s="285"/>
      <c r="D12" s="285"/>
      <c r="E12" s="285"/>
      <c r="F12" s="285"/>
      <c r="G12" s="285"/>
      <c r="H12" s="285"/>
      <c r="I12" s="285"/>
      <c r="J12" s="285"/>
      <c r="K12" s="285"/>
      <c r="L12" s="285"/>
      <c r="M12" s="285"/>
      <c r="N12" s="285"/>
      <c r="O12" s="305"/>
    </row>
    <row r="13" spans="1:15" s="279" customFormat="1" ht="21" customHeight="1" thickBot="1">
      <c r="A13" s="301" t="s">
        <v>87</v>
      </c>
      <c r="B13" s="286"/>
      <c r="C13" s="286"/>
      <c r="D13" s="286"/>
      <c r="E13" s="286"/>
      <c r="F13" s="286"/>
      <c r="G13" s="286"/>
      <c r="H13" s="286"/>
      <c r="I13" s="286"/>
      <c r="J13" s="286"/>
      <c r="K13" s="286"/>
      <c r="L13" s="286"/>
      <c r="M13" s="286"/>
      <c r="N13" s="286"/>
      <c r="O13" s="306"/>
    </row>
    <row r="14" spans="1:15" s="293" customFormat="1" ht="21" customHeight="1">
      <c r="A14" s="1201" t="str">
        <f t="array" ref="A14:A17">'Resumen Tesorerias'!A13:A16</f>
        <v>Pagos de Gastos Fijos ( IVA incl.)</v>
      </c>
      <c r="B14" s="1195"/>
      <c r="C14" s="1217">
        <f ca="1">'G.F. 3'!B58+'G.F. 3'!B60</f>
        <v>2255.2537900100006</v>
      </c>
      <c r="D14" s="1217">
        <f ca="1">'G.F. 3'!C58+'G.F. 3'!C60</f>
        <v>2255.2537900100006</v>
      </c>
      <c r="E14" s="1217">
        <f ca="1">'G.F. 3'!D58+'G.F. 3'!D60</f>
        <v>2255.2537900100006</v>
      </c>
      <c r="F14" s="1217">
        <f ca="1">'G.F. 3'!E58+'G.F. 3'!E60</f>
        <v>2255.2537900100006</v>
      </c>
      <c r="G14" s="1217">
        <f ca="1">'G.F. 3'!F58+'G.F. 3'!F60</f>
        <v>2255.2537900100006</v>
      </c>
      <c r="H14" s="1217">
        <f ca="1">'G.F. 3'!G58+'G.F. 3'!G60</f>
        <v>2695.2537900100006</v>
      </c>
      <c r="I14" s="1217">
        <f ca="1">'G.F. 3'!H58+'G.F. 3'!H60</f>
        <v>2255.2537900100006</v>
      </c>
      <c r="J14" s="1217">
        <f ca="1">'G.F. 3'!I58+'G.F. 3'!I60</f>
        <v>2255.2537900100006</v>
      </c>
      <c r="K14" s="1217">
        <f ca="1">'G.F. 3'!J58+'G.F. 3'!J60</f>
        <v>2255.2537900100006</v>
      </c>
      <c r="L14" s="1217">
        <f ca="1">'G.F. 3'!K58+'G.F. 3'!K60</f>
        <v>2255.2537900100006</v>
      </c>
      <c r="M14" s="1217">
        <f ca="1">'G.F. 3'!L58+'G.F. 3'!L60</f>
        <v>2255.2537900100006</v>
      </c>
      <c r="N14" s="1218">
        <f ca="1">'G.F. 3'!M58+'G.F. 3'!M60</f>
        <v>2255.2537900100006</v>
      </c>
      <c r="O14" s="1219">
        <f ca="1">SUM(C14:N14)</f>
        <v>27503.045480119999</v>
      </c>
    </row>
    <row r="15" spans="1:15" s="292" customFormat="1" ht="21" customHeight="1">
      <c r="A15" s="1202" t="str">
        <v>Pago de compras y Costes Variables  ( IVA incl.)</v>
      </c>
      <c r="B15" s="1196"/>
      <c r="C15" s="1220">
        <f t="array" aca="1" ref="C15:N15" ca="1">'Cobros y pagos 3'!B55:M55</f>
        <v>359.43292000000002</v>
      </c>
      <c r="D15" s="1220">
        <f ca="1"/>
        <v>449.29115000000007</v>
      </c>
      <c r="E15" s="1220">
        <f ca="1"/>
        <v>494.22026500000004</v>
      </c>
      <c r="F15" s="1220">
        <f ca="1"/>
        <v>471.75570750000003</v>
      </c>
      <c r="G15" s="1220">
        <f ca="1"/>
        <v>404.36203500000005</v>
      </c>
      <c r="H15" s="1220">
        <f ca="1"/>
        <v>381.89747749999998</v>
      </c>
      <c r="I15" s="1220">
        <f ca="1"/>
        <v>359.43292000000002</v>
      </c>
      <c r="J15" s="1220">
        <f ca="1"/>
        <v>269.57469000000003</v>
      </c>
      <c r="K15" s="1220">
        <f ca="1"/>
        <v>359.43292000000002</v>
      </c>
      <c r="L15" s="1220">
        <f ca="1"/>
        <v>426.8265925</v>
      </c>
      <c r="M15" s="1220">
        <f ca="1"/>
        <v>449.29115000000007</v>
      </c>
      <c r="N15" s="1221">
        <f ca="1"/>
        <v>539.14938000000006</v>
      </c>
      <c r="O15" s="1222">
        <f ca="1">SUM(C15:N15)</f>
        <v>4964.6672075000006</v>
      </c>
    </row>
    <row r="16" spans="1:15" s="292" customFormat="1" ht="21" customHeight="1">
      <c r="A16" s="1202" t="str">
        <v>Pagos de Gastos Financieros</v>
      </c>
      <c r="B16" s="1196"/>
      <c r="C16" s="1220">
        <f t="array" ref="C16:N16" ca="1">'Gastos Financieros'!C64:N64+'Gastos Financieros'!C60:N60*Parametros!$F$33*0</f>
        <v>179.71645999999998</v>
      </c>
      <c r="D16" s="1220">
        <f ca="1"/>
        <v>224.64557500000001</v>
      </c>
      <c r="E16" s="1220">
        <f ca="1"/>
        <v>247.11013250000002</v>
      </c>
      <c r="F16" s="1220">
        <f ca="1"/>
        <v>235.87785374999999</v>
      </c>
      <c r="G16" s="1220">
        <f ca="1"/>
        <v>202.18101750000002</v>
      </c>
      <c r="H16" s="1220">
        <f ca="1"/>
        <v>190.94873874999999</v>
      </c>
      <c r="I16" s="1220">
        <f ca="1"/>
        <v>179.71645999999998</v>
      </c>
      <c r="J16" s="1220">
        <f ca="1"/>
        <v>134.78734499999999</v>
      </c>
      <c r="K16" s="1220">
        <f ca="1"/>
        <v>179.71645999999998</v>
      </c>
      <c r="L16" s="1220">
        <f ca="1"/>
        <v>213.41329625000003</v>
      </c>
      <c r="M16" s="1220">
        <f ca="1"/>
        <v>224.64557500000001</v>
      </c>
      <c r="N16" s="1221">
        <f ca="1"/>
        <v>269.57468999999998</v>
      </c>
      <c r="O16" s="1222">
        <f ca="1">SUM(C16:N16)</f>
        <v>2482.3336037499998</v>
      </c>
    </row>
    <row r="17" spans="1:15" s="292" customFormat="1" ht="21" customHeight="1">
      <c r="A17" s="1202" t="str">
        <v>Pagos de IVA de cuotas de Leasing / Renting</v>
      </c>
      <c r="B17" s="1196"/>
      <c r="C17" s="1220">
        <f t="array" ref="C17:N17">+Leasing!B48:M48+Renting!B45:M45</f>
        <v>0</v>
      </c>
      <c r="D17" s="1220">
        <v>0</v>
      </c>
      <c r="E17" s="1220">
        <v>0</v>
      </c>
      <c r="F17" s="1220">
        <v>0</v>
      </c>
      <c r="G17" s="1220">
        <v>0</v>
      </c>
      <c r="H17" s="1220">
        <v>0</v>
      </c>
      <c r="I17" s="1220">
        <v>0</v>
      </c>
      <c r="J17" s="1220">
        <v>0</v>
      </c>
      <c r="K17" s="1220">
        <v>0</v>
      </c>
      <c r="L17" s="1220">
        <v>0</v>
      </c>
      <c r="M17" s="1220">
        <v>0</v>
      </c>
      <c r="N17" s="1221">
        <v>0</v>
      </c>
      <c r="O17" s="1222">
        <f>SUM(C17:N17)</f>
        <v>0</v>
      </c>
    </row>
    <row r="18" spans="1:15" s="292" customFormat="1" ht="9.75" customHeight="1">
      <c r="A18" s="1203"/>
      <c r="C18" s="1751"/>
      <c r="D18" s="1752"/>
      <c r="E18" s="1753"/>
      <c r="F18" s="1752"/>
      <c r="G18" s="1752"/>
      <c r="H18" s="1752"/>
      <c r="I18" s="1752"/>
      <c r="J18" s="1752"/>
      <c r="K18" s="1752"/>
      <c r="L18" s="1752"/>
      <c r="M18" s="1752"/>
      <c r="N18" s="1754"/>
      <c r="O18" s="1755"/>
    </row>
    <row r="19" spans="1:15" s="292" customFormat="1" ht="21" customHeight="1">
      <c r="A19" s="1205" t="s">
        <v>395</v>
      </c>
      <c r="B19" s="1197"/>
      <c r="C19" s="1223"/>
      <c r="D19" s="1224"/>
      <c r="E19" s="1225"/>
      <c r="F19" s="1224"/>
      <c r="G19" s="1224"/>
      <c r="H19" s="1224"/>
      <c r="I19" s="1224"/>
      <c r="J19" s="1224"/>
      <c r="K19" s="1224"/>
      <c r="L19" s="1224"/>
      <c r="M19" s="1224"/>
      <c r="N19" s="1226"/>
      <c r="O19" s="1227"/>
    </row>
    <row r="20" spans="1:15" s="292" customFormat="1" ht="21" customHeight="1">
      <c r="A20" s="1202" t="str">
        <f t="array" ref="A20:A25">'Resumen Tesorerias'!A17:A22</f>
        <v>Devolución de principal de préstamos / Leasing</v>
      </c>
      <c r="B20" s="1196"/>
      <c r="C20" s="1220">
        <f t="array" ref="C20:N20">Préstamos!B48:M48+Leasing!B47:M47</f>
        <v>0</v>
      </c>
      <c r="D20" s="1220">
        <v>0</v>
      </c>
      <c r="E20" s="1220">
        <v>0</v>
      </c>
      <c r="F20" s="1220">
        <v>0</v>
      </c>
      <c r="G20" s="1220">
        <v>0</v>
      </c>
      <c r="H20" s="1220">
        <v>0</v>
      </c>
      <c r="I20" s="1220">
        <v>0</v>
      </c>
      <c r="J20" s="1220">
        <v>0</v>
      </c>
      <c r="K20" s="1220">
        <v>0</v>
      </c>
      <c r="L20" s="1220">
        <v>0</v>
      </c>
      <c r="M20" s="1220">
        <v>0</v>
      </c>
      <c r="N20" s="1221">
        <v>0</v>
      </c>
      <c r="O20" s="1222">
        <f>SUM(C20:N20)</f>
        <v>0</v>
      </c>
    </row>
    <row r="21" spans="1:15" s="292" customFormat="1" ht="21" customHeight="1">
      <c r="A21" s="1202" t="str">
        <v>Otras salidas de caja</v>
      </c>
      <c r="B21" s="1196"/>
      <c r="C21" s="1220">
        <v>0</v>
      </c>
      <c r="D21" s="1220">
        <v>0</v>
      </c>
      <c r="E21" s="1220">
        <v>0</v>
      </c>
      <c r="F21" s="1220">
        <v>0</v>
      </c>
      <c r="G21" s="1220">
        <v>0</v>
      </c>
      <c r="H21" s="1220">
        <v>0</v>
      </c>
      <c r="I21" s="1220">
        <v>0</v>
      </c>
      <c r="J21" s="1220">
        <v>0</v>
      </c>
      <c r="K21" s="1220">
        <v>0</v>
      </c>
      <c r="L21" s="1220">
        <v>0</v>
      </c>
      <c r="M21" s="1220">
        <v>0</v>
      </c>
      <c r="N21" s="1221">
        <v>0</v>
      </c>
      <c r="O21" s="1222">
        <f>SUM(C21:N21)</f>
        <v>0</v>
      </c>
    </row>
    <row r="22" spans="1:15" s="292" customFormat="1" ht="21" customHeight="1">
      <c r="A22" s="1202" t="str">
        <v>Liquidaciones de IVA</v>
      </c>
      <c r="B22" s="1196"/>
      <c r="C22" s="1220">
        <f t="array" ref="C22:N22" ca="1">'IVA 3'!C24:N24</f>
        <v>2056.3403566363631</v>
      </c>
      <c r="D22" s="1220">
        <v>0</v>
      </c>
      <c r="E22" s="1220">
        <v>0</v>
      </c>
      <c r="F22" s="1220">
        <f ca="1"/>
        <v>1942.5218061518181</v>
      </c>
      <c r="G22" s="1220">
        <v>0</v>
      </c>
      <c r="H22" s="1220">
        <v>0</v>
      </c>
      <c r="I22" s="1220">
        <f ca="1"/>
        <v>1872.343271151818</v>
      </c>
      <c r="J22" s="1220">
        <v>0</v>
      </c>
      <c r="K22" s="1220">
        <v>0</v>
      </c>
      <c r="L22" s="1220">
        <f ca="1"/>
        <v>1451.272061151818</v>
      </c>
      <c r="M22" s="1220">
        <v>0</v>
      </c>
      <c r="N22" s="1221">
        <v>0</v>
      </c>
      <c r="O22" s="1222">
        <f ca="1">SUM(C22:N22)</f>
        <v>7322.4774950918172</v>
      </c>
    </row>
    <row r="23" spans="1:15" s="292" customFormat="1" ht="21" customHeight="1">
      <c r="A23" s="1202" t="str">
        <v>Otros pagos (I.R.P.F. / I.S. )</v>
      </c>
      <c r="B23" s="1196"/>
      <c r="C23" s="1220">
        <f ca="1">'Ret IRPF'!N31</f>
        <v>1587.0148122727278</v>
      </c>
      <c r="D23" s="1220"/>
      <c r="E23" s="1220"/>
      <c r="F23" s="1220">
        <f ca="1">Imp.Sociedades!J18+'Ret IRPF'!E40</f>
        <v>1485.7263342636361</v>
      </c>
      <c r="G23" s="1220"/>
      <c r="H23" s="1220">
        <f ca="1">IF('IRPF Prof y Autónomos'!M25&lt;0,0,'IRPF Prof y Autónomos'!M25*'IRPF Prof y Autónomos'!M19)</f>
        <v>0</v>
      </c>
      <c r="I23" s="1220">
        <f ca="1">IF(Imp.Sociedades!G23&gt;0,Imp.Sociedades!G23,0)+'Ret IRPF'!H40
+Imp.Sociedades!$G$32/2</f>
        <v>1335.3825457636367</v>
      </c>
      <c r="J23" s="1220"/>
      <c r="K23" s="1220"/>
      <c r="L23" s="1220">
        <f ca="1">Imp.Sociedades!J19+'Ret IRPF'!K40</f>
        <v>1049.3198147636363</v>
      </c>
      <c r="M23" s="1220"/>
      <c r="N23" s="1221">
        <f>Imp.Sociedades!J20
+Imp.Sociedades!$G$32/2</f>
        <v>0</v>
      </c>
      <c r="O23" s="1222">
        <f ca="1">SUM(C23:N23)</f>
        <v>5457.4435070636373</v>
      </c>
    </row>
    <row r="24" spans="1:15" s="292" customFormat="1" ht="21" customHeight="1">
      <c r="A24" s="1202" t="str">
        <v>Otros pagos acreedores L/P</v>
      </c>
      <c r="B24" s="1196"/>
      <c r="C24" s="1220">
        <f t="array" ref="C24:N24">'Otros cobros y pagos'!B94:M94</f>
        <v>0</v>
      </c>
      <c r="D24" s="1220">
        <v>0</v>
      </c>
      <c r="E24" s="1220">
        <v>0</v>
      </c>
      <c r="F24" s="1220">
        <v>0</v>
      </c>
      <c r="G24" s="1220">
        <v>0</v>
      </c>
      <c r="H24" s="1220">
        <v>0</v>
      </c>
      <c r="I24" s="1220">
        <v>0</v>
      </c>
      <c r="J24" s="1220">
        <v>0</v>
      </c>
      <c r="K24" s="1220">
        <v>0</v>
      </c>
      <c r="L24" s="1220">
        <v>0</v>
      </c>
      <c r="M24" s="1220">
        <v>0</v>
      </c>
      <c r="N24" s="1221">
        <v>0</v>
      </c>
      <c r="O24" s="1222">
        <f>SUM(C24:N24)</f>
        <v>0</v>
      </c>
    </row>
    <row r="25" spans="1:15" s="293" customFormat="1" ht="21" customHeight="1" thickBot="1">
      <c r="A25" s="1206" t="str">
        <v>Total PAGOS</v>
      </c>
      <c r="B25" s="1200"/>
      <c r="C25" s="1228">
        <f t="shared" ref="C25:N25" ca="1" si="2">SUM(C14:C24)</f>
        <v>6437.7583389190913</v>
      </c>
      <c r="D25" s="1228">
        <f t="shared" ca="1" si="2"/>
        <v>2929.1905150100006</v>
      </c>
      <c r="E25" s="1228">
        <f t="shared" ca="1" si="2"/>
        <v>2996.5841875100004</v>
      </c>
      <c r="F25" s="1228">
        <f t="shared" ca="1" si="2"/>
        <v>6391.1354916754544</v>
      </c>
      <c r="G25" s="1228">
        <f t="shared" ca="1" si="2"/>
        <v>2861.7968425100007</v>
      </c>
      <c r="H25" s="1228">
        <f t="shared" ca="1" si="2"/>
        <v>3268.1000062600006</v>
      </c>
      <c r="I25" s="1228">
        <f t="shared" ca="1" si="2"/>
        <v>6002.1289869254551</v>
      </c>
      <c r="J25" s="1228">
        <f t="shared" ca="1" si="2"/>
        <v>2659.6158250100007</v>
      </c>
      <c r="K25" s="1228">
        <f t="shared" ca="1" si="2"/>
        <v>2794.4031700100008</v>
      </c>
      <c r="L25" s="1228">
        <f t="shared" ca="1" si="2"/>
        <v>5396.0855546754556</v>
      </c>
      <c r="M25" s="1228">
        <f t="shared" ca="1" si="2"/>
        <v>2929.1905150100006</v>
      </c>
      <c r="N25" s="1229">
        <f t="shared" ca="1" si="2"/>
        <v>3063.9778600100003</v>
      </c>
      <c r="O25" s="1230">
        <f ca="1">SUM(O14:O24)</f>
        <v>47729.967293525449</v>
      </c>
    </row>
    <row r="26" spans="1:15" s="279" customFormat="1" ht="21" customHeight="1">
      <c r="A26" s="299"/>
      <c r="B26" s="323"/>
      <c r="C26" s="288"/>
      <c r="D26" s="288"/>
      <c r="E26" s="288"/>
      <c r="F26" s="288"/>
      <c r="G26" s="288"/>
      <c r="H26" s="288"/>
      <c r="I26" s="288"/>
      <c r="J26" s="288"/>
      <c r="K26" s="288"/>
      <c r="L26" s="288"/>
      <c r="M26" s="288"/>
      <c r="O26" s="307"/>
    </row>
    <row r="27" spans="1:15" s="279" customFormat="1" ht="21" customHeight="1" thickBot="1">
      <c r="A27" s="299"/>
      <c r="B27" s="287"/>
      <c r="C27" s="288"/>
      <c r="D27" s="288"/>
      <c r="E27" s="288"/>
      <c r="F27" s="288"/>
      <c r="G27" s="288"/>
      <c r="H27" s="288"/>
      <c r="I27" s="288"/>
      <c r="J27" s="288"/>
      <c r="K27" s="288"/>
      <c r="L27" s="288"/>
      <c r="M27" s="288"/>
      <c r="O27" s="307"/>
    </row>
    <row r="28" spans="1:15" s="281" customFormat="1" ht="18" customHeight="1" thickBot="1">
      <c r="A28" s="320" t="str">
        <f t="array" ref="A28:A31">'Tesorería 0'!A28:A31</f>
        <v>Resúmen de tesorería</v>
      </c>
      <c r="B28" s="297"/>
      <c r="C28" s="298" t="str">
        <f t="array" ref="C28:N28">meses</f>
        <v>enero</v>
      </c>
      <c r="D28" s="298" t="str">
        <v>febrero</v>
      </c>
      <c r="E28" s="298" t="str">
        <v>marzo</v>
      </c>
      <c r="F28" s="298" t="str">
        <v>abril</v>
      </c>
      <c r="G28" s="298" t="str">
        <v>mayo</v>
      </c>
      <c r="H28" s="298" t="str">
        <v>junio</v>
      </c>
      <c r="I28" s="298" t="str">
        <v>julio</v>
      </c>
      <c r="J28" s="298" t="str">
        <v>agosto</v>
      </c>
      <c r="K28" s="298" t="str">
        <v>septiembre</v>
      </c>
      <c r="L28" s="298" t="str">
        <v>octubre</v>
      </c>
      <c r="M28" s="298" t="str">
        <v>noviembre</v>
      </c>
      <c r="N28" s="302" t="str">
        <v>diciembre</v>
      </c>
      <c r="O28" s="303" t="str">
        <f>O4</f>
        <v>Total</v>
      </c>
    </row>
    <row r="29" spans="1:15" s="279" customFormat="1" ht="21" customHeight="1" thickBot="1">
      <c r="A29" s="321" t="str">
        <v>Previsiones de cobros por meses</v>
      </c>
      <c r="B29" s="289"/>
      <c r="C29" s="619">
        <f t="array" ref="C29:N29" ca="1">C11:N11</f>
        <v>3594.3291999999997</v>
      </c>
      <c r="D29" s="619">
        <f ca="1"/>
        <v>4492.9115000000002</v>
      </c>
      <c r="E29" s="619">
        <f ca="1"/>
        <v>4942.2026500000002</v>
      </c>
      <c r="F29" s="619">
        <f ca="1"/>
        <v>4717.5570749999997</v>
      </c>
      <c r="G29" s="619">
        <f ca="1"/>
        <v>4043.6203500000001</v>
      </c>
      <c r="H29" s="619">
        <f ca="1"/>
        <v>3818.9747749999997</v>
      </c>
      <c r="I29" s="619">
        <f ca="1"/>
        <v>3594.3291999999997</v>
      </c>
      <c r="J29" s="619">
        <f ca="1"/>
        <v>3011.8131879545467</v>
      </c>
      <c r="K29" s="619">
        <f ca="1"/>
        <v>3594.3291999999997</v>
      </c>
      <c r="L29" s="619">
        <f ca="1"/>
        <v>4268.2659250000006</v>
      </c>
      <c r="M29" s="619">
        <f ca="1"/>
        <v>4492.9115000000002</v>
      </c>
      <c r="N29" s="620">
        <f ca="1"/>
        <v>5391.4937999999993</v>
      </c>
      <c r="O29" s="621">
        <f ca="1">SUM(C29:N29)</f>
        <v>49962.738362954544</v>
      </c>
    </row>
    <row r="30" spans="1:15" s="279" customFormat="1" ht="21" customHeight="1" thickBot="1">
      <c r="A30" s="321" t="str">
        <v>Previsiones de pagos por meses</v>
      </c>
      <c r="B30" s="284"/>
      <c r="C30" s="622">
        <f t="array" ref="C30:N30" ca="1">C25:N25</f>
        <v>6437.7583389190913</v>
      </c>
      <c r="D30" s="622">
        <f ca="1"/>
        <v>2929.1905150100006</v>
      </c>
      <c r="E30" s="622">
        <f ca="1"/>
        <v>2996.5841875100004</v>
      </c>
      <c r="F30" s="622">
        <f ca="1"/>
        <v>6391.1354916754544</v>
      </c>
      <c r="G30" s="622">
        <f ca="1"/>
        <v>2861.7968425100007</v>
      </c>
      <c r="H30" s="622">
        <f ca="1"/>
        <v>3268.1000062600006</v>
      </c>
      <c r="I30" s="622">
        <f ca="1"/>
        <v>6002.1289869254551</v>
      </c>
      <c r="J30" s="622">
        <f ca="1"/>
        <v>2659.6158250100007</v>
      </c>
      <c r="K30" s="622">
        <f ca="1"/>
        <v>2794.4031700100008</v>
      </c>
      <c r="L30" s="622">
        <f ca="1"/>
        <v>5396.0855546754556</v>
      </c>
      <c r="M30" s="622">
        <f ca="1"/>
        <v>2929.1905150100006</v>
      </c>
      <c r="N30" s="623">
        <f ca="1"/>
        <v>3063.9778600100003</v>
      </c>
      <c r="O30" s="621">
        <f ca="1">SUM(C30:N30)</f>
        <v>47729.967293525457</v>
      </c>
    </row>
    <row r="31" spans="1:15" s="279" customFormat="1" ht="21" customHeight="1" thickBot="1">
      <c r="A31" s="322" t="str">
        <v>Tesorerías mensuales previstas</v>
      </c>
      <c r="B31" s="289"/>
      <c r="C31" s="624">
        <f t="array" ref="C31:N31" ca="1">C29:N29-C30:N30</f>
        <v>-2843.4291389190917</v>
      </c>
      <c r="D31" s="624">
        <f ca="1"/>
        <v>1563.7209849899996</v>
      </c>
      <c r="E31" s="624">
        <f ca="1"/>
        <v>1945.6184624899997</v>
      </c>
      <c r="F31" s="624">
        <f ca="1"/>
        <v>-1673.5784166754547</v>
      </c>
      <c r="G31" s="624">
        <f ca="1"/>
        <v>1181.8235074899994</v>
      </c>
      <c r="H31" s="624">
        <f ca="1"/>
        <v>550.87476873999913</v>
      </c>
      <c r="I31" s="624">
        <f ca="1"/>
        <v>-2407.7997869254555</v>
      </c>
      <c r="J31" s="624">
        <f ca="1"/>
        <v>352.19736294454606</v>
      </c>
      <c r="K31" s="624">
        <f ca="1"/>
        <v>799.92602998999882</v>
      </c>
      <c r="L31" s="624">
        <f ca="1"/>
        <v>-1127.819629675455</v>
      </c>
      <c r="M31" s="624">
        <f ca="1"/>
        <v>1563.7209849899996</v>
      </c>
      <c r="N31" s="625">
        <f ca="1"/>
        <v>2327.515939989999</v>
      </c>
      <c r="O31" s="626">
        <f ca="1">O29-O30</f>
        <v>2232.7710694290872</v>
      </c>
    </row>
    <row r="32" spans="1:15" s="279" customFormat="1" ht="21" customHeight="1" thickBot="1">
      <c r="A32" s="324"/>
      <c r="B32" s="289"/>
      <c r="C32" s="290"/>
      <c r="D32" s="290"/>
      <c r="E32" s="290"/>
      <c r="F32" s="290"/>
      <c r="G32" s="290"/>
      <c r="H32" s="290"/>
      <c r="I32" s="290"/>
      <c r="J32" s="290"/>
      <c r="K32" s="290"/>
      <c r="L32" s="290"/>
      <c r="M32" s="290"/>
      <c r="N32" s="627"/>
      <c r="O32" s="628"/>
    </row>
    <row r="33" spans="1:15" s="293" customFormat="1" ht="21" customHeight="1" thickBot="1">
      <c r="A33" s="1192" t="str">
        <f>'Tesorería 0'!A33</f>
        <v>Dispuesto Póliza Crédito</v>
      </c>
      <c r="B33" s="1178">
        <f ca="1">'Tesorería 2'!N33</f>
        <v>0</v>
      </c>
      <c r="C33" s="1179">
        <f ca="1">IF(B35+C31-B33&gt;tesoreriasec,0,MIN(B33-B35-C31+tesoreriasec,Financiación!$G$49))</f>
        <v>0</v>
      </c>
      <c r="D33" s="1180">
        <f ca="1">IF(C35+D31-C33&gt;tesoreriasec,0,MIN(C33-C35-D31+tesoreriasec,Financiación!$G$49))</f>
        <v>0</v>
      </c>
      <c r="E33" s="1180">
        <f ca="1">IF(D35+E31-D33&gt;tesoreriasec,0,MIN(D33-D35-E31+tesoreriasec,Financiación!$G$49))</f>
        <v>0</v>
      </c>
      <c r="F33" s="1180">
        <f ca="1">IF(E35+F31-E33&gt;tesoreriasec,0,MIN(E33-E35-F31+tesoreriasec,Financiación!$G$49))</f>
        <v>0</v>
      </c>
      <c r="G33" s="1180">
        <f ca="1">IF(F35+G31-F33&gt;tesoreriasec,0,MIN(F33-F35-G31+tesoreriasec,Financiación!$G$49))</f>
        <v>0</v>
      </c>
      <c r="H33" s="1180">
        <f ca="1">IF(G35+H31-G33&gt;tesoreriasec,0,MIN(G33-G35-H31+tesoreriasec,Financiación!$G$49))</f>
        <v>0</v>
      </c>
      <c r="I33" s="1180">
        <f ca="1">IF(H35+I31-H33&gt;tesoreriasec,0,MIN(H33-H35-I31+tesoreriasec,Financiación!$G$49))</f>
        <v>0</v>
      </c>
      <c r="J33" s="1180">
        <f ca="1">IF(I35+J31-I33&gt;tesoreriasec,0,MIN(I33-I35-J31+tesoreriasec,Financiación!$G$49))</f>
        <v>0</v>
      </c>
      <c r="K33" s="1180">
        <f ca="1">IF(J35+K31-J33&gt;tesoreriasec,0,MIN(J33-J35-K31+tesoreriasec,Financiación!$G$49))</f>
        <v>0</v>
      </c>
      <c r="L33" s="1180">
        <f ca="1">IF(K35+L31-K33&gt;tesoreriasec,0,MIN(K33-K35-L31+tesoreriasec,Financiación!$G$49))</f>
        <v>0</v>
      </c>
      <c r="M33" s="1180">
        <f ca="1">IF(L35+M31-L33&gt;tesoreriasec,0,MIN(L33-L35-M31+tesoreriasec,Financiación!$G$49))</f>
        <v>0</v>
      </c>
      <c r="N33" s="1181">
        <f ca="1">IF(M35+N31-M33&gt;tesoreriasec,0,MIN(M33-M35-N31+tesoreriasec,Financiación!$G$49))</f>
        <v>0</v>
      </c>
      <c r="O33" s="1182"/>
    </row>
    <row r="34" spans="1:15" s="293" customFormat="1" ht="21" customHeight="1" thickBot="1">
      <c r="A34" s="1193"/>
      <c r="B34" s="1183"/>
      <c r="C34" s="1184"/>
      <c r="D34" s="1184"/>
      <c r="E34" s="1184"/>
      <c r="F34" s="1184"/>
      <c r="G34" s="1184"/>
      <c r="H34" s="1184"/>
      <c r="I34" s="1184"/>
      <c r="J34" s="1184"/>
      <c r="K34" s="1184"/>
      <c r="L34" s="1184"/>
      <c r="M34" s="1184"/>
      <c r="O34" s="1185"/>
    </row>
    <row r="35" spans="1:15" s="293" customFormat="1" ht="21" customHeight="1" thickBot="1">
      <c r="A35" s="1192" t="str">
        <f>'Tesorería 0'!A35</f>
        <v>Tesorería acumulada</v>
      </c>
      <c r="B35" s="1186">
        <f ca="1">'Tesorería 2'!N35-(Financiación!G9-Financiación!G25+Financiación!G19)</f>
        <v>12239.584490272729</v>
      </c>
      <c r="C35" s="1187">
        <f t="array" ref="C35:N35" ca="1">B35:M35+C31:N31+C33:N33-B33:M33</f>
        <v>9396.1553513536383</v>
      </c>
      <c r="D35" s="1188">
        <f ca="1"/>
        <v>10959.876336343637</v>
      </c>
      <c r="E35" s="1188">
        <f ca="1"/>
        <v>12905.494798833637</v>
      </c>
      <c r="F35" s="1188">
        <f ca="1"/>
        <v>11231.916382158182</v>
      </c>
      <c r="G35" s="1188">
        <f ca="1"/>
        <v>12413.739889648183</v>
      </c>
      <c r="H35" s="1188">
        <f ca="1"/>
        <v>12964.614658388182</v>
      </c>
      <c r="I35" s="1188">
        <f ca="1"/>
        <v>10556.814871462726</v>
      </c>
      <c r="J35" s="1188">
        <f ca="1"/>
        <v>10909.012234407272</v>
      </c>
      <c r="K35" s="1188">
        <f ca="1"/>
        <v>11708.938264397271</v>
      </c>
      <c r="L35" s="1188">
        <f ca="1"/>
        <v>10581.118634721817</v>
      </c>
      <c r="M35" s="1188">
        <f ca="1"/>
        <v>12144.839619711816</v>
      </c>
      <c r="N35" s="1189">
        <f ca="1"/>
        <v>14472.355559701815</v>
      </c>
      <c r="O35" s="1190"/>
    </row>
    <row r="36" spans="1:15" ht="18.75" customHeight="1">
      <c r="A36" s="4"/>
      <c r="B36" s="4"/>
    </row>
    <row r="37" spans="1:15" ht="18.75" customHeight="1">
      <c r="A37" s="4"/>
      <c r="B37" s="4"/>
    </row>
    <row r="38" spans="1:15" ht="18.75" customHeight="1">
      <c r="A38" s="312"/>
      <c r="B38" s="313"/>
      <c r="C38" s="310" t="str">
        <f t="array" ref="C38:D38">'Tesorería 0'!C38:D38</f>
        <v>Importe</v>
      </c>
      <c r="D38" s="311" t="str">
        <v>mes</v>
      </c>
    </row>
    <row r="39" spans="1:15" s="292" customFormat="1" ht="21" customHeight="1">
      <c r="A39" s="291"/>
      <c r="B39" s="309" t="str">
        <f t="array" ref="B39:B41">'Tesorería 0'!B39:B41</f>
        <v>Máximo descubierto en el año</v>
      </c>
      <c r="C39" s="1695">
        <f ca="1">MAX(C33:N33)*0-MIN(C35:N35,0)</f>
        <v>0</v>
      </c>
      <c r="D39" s="1174" t="str">
        <f ca="1">IF(C39&lt;&gt;0,INDEX(C4:N4,1,MATCH(-C39,C35:N35,0)),"")</f>
        <v/>
      </c>
      <c r="O39" s="293"/>
    </row>
    <row r="40" spans="1:15" s="292" customFormat="1" ht="18.75" customHeight="1">
      <c r="A40" s="291"/>
      <c r="B40" s="309" t="str">
        <v>Flujo de caja del periodo  (Cash Flow)</v>
      </c>
      <c r="C40" s="1696">
        <f ca="1">N35-B35+B33-N33</f>
        <v>2232.7710694290854</v>
      </c>
      <c r="D40" s="1173"/>
      <c r="O40" s="293"/>
    </row>
    <row r="41" spans="1:15" s="292" customFormat="1" ht="21" customHeight="1">
      <c r="A41" s="291"/>
      <c r="B41" s="309" t="str">
        <v>Máxima tesorería mensual</v>
      </c>
      <c r="C41" s="1697">
        <f ca="1">MAX(C35:N35)</f>
        <v>14472.355559701815</v>
      </c>
      <c r="D41" s="1174" t="str">
        <f ca="1">INDEX(C4:N4,1,MATCH(C41,C35:N35,0))</f>
        <v>diciembre</v>
      </c>
      <c r="O41" s="293"/>
    </row>
    <row r="42" spans="1:15" ht="18" customHeight="1">
      <c r="A42" s="4"/>
      <c r="B42" s="4"/>
    </row>
    <row r="43" spans="1:15">
      <c r="A43" s="4"/>
      <c r="B43" s="4"/>
    </row>
    <row r="44" spans="1:15" ht="15">
      <c r="A44" s="35"/>
      <c r="B44" s="35"/>
    </row>
    <row r="45" spans="1:15" ht="15">
      <c r="A45" s="35"/>
      <c r="B45" s="35"/>
    </row>
    <row r="46" spans="1:15" ht="15">
      <c r="A46" s="35"/>
      <c r="B46" s="35"/>
    </row>
    <row r="47" spans="1:15" ht="15">
      <c r="A47" s="35"/>
      <c r="B47" s="35"/>
    </row>
    <row r="48" spans="1:15" ht="15">
      <c r="A48" s="35"/>
      <c r="B48" s="35"/>
    </row>
    <row r="49" spans="1:2" ht="15">
      <c r="A49" s="35"/>
      <c r="B49" s="35"/>
    </row>
    <row r="50" spans="1:2" ht="15">
      <c r="A50" s="35"/>
      <c r="B50" s="35"/>
    </row>
    <row r="51" spans="1:2" ht="15">
      <c r="A51" s="35"/>
      <c r="B51" s="35"/>
    </row>
    <row r="52" spans="1:2" ht="15">
      <c r="A52" s="35"/>
      <c r="B52" s="35"/>
    </row>
    <row r="53" spans="1:2" ht="15">
      <c r="A53" s="35"/>
      <c r="B53" s="35"/>
    </row>
    <row r="54" spans="1:2" ht="15">
      <c r="A54" s="35"/>
      <c r="B54" s="35"/>
    </row>
    <row r="55" spans="1:2" ht="15">
      <c r="A55" s="35"/>
      <c r="B55" s="35"/>
    </row>
    <row r="56" spans="1:2" ht="15">
      <c r="A56" s="35"/>
      <c r="B56" s="35"/>
    </row>
    <row r="57" spans="1:2" ht="15">
      <c r="A57" s="35"/>
      <c r="B57" s="35"/>
    </row>
    <row r="58" spans="1:2" ht="15">
      <c r="A58" s="35"/>
      <c r="B58" s="35"/>
    </row>
    <row r="59" spans="1:2" ht="15">
      <c r="A59" s="35"/>
      <c r="B59" s="35"/>
    </row>
    <row r="60" spans="1:2" ht="15">
      <c r="A60" s="35"/>
      <c r="B60" s="35"/>
    </row>
  </sheetData>
  <sheetProtection sheet="1" objects="1" scenarios="1"/>
  <phoneticPr fontId="6" type="noConversion"/>
  <printOptions horizontalCentered="1" verticalCentered="1"/>
  <pageMargins left="0.19685039370078741" right="0.19685039370078741" top="0.39370078740157483" bottom="0.39370078740157483" header="0.11811023622047245" footer="0.11811023622047245"/>
  <pageSetup paperSize="9" scale="64" orientation="landscape" horizontalDpi="300" verticalDpi="300" r:id="rId1"/>
  <headerFooter alignWithMargins="0">
    <oddFooter>&amp;C&amp;"Tahoma,Normal"&amp;10&amp;A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2"/>
    <pageSetUpPr fitToPage="1"/>
  </sheetPr>
  <dimension ref="A1:G86"/>
  <sheetViews>
    <sheetView workbookViewId="0"/>
  </sheetViews>
  <sheetFormatPr baseColWidth="10" defaultRowHeight="15.75" outlineLevelRow="1"/>
  <cols>
    <col min="1" max="1" width="37.5" style="1" customWidth="1"/>
    <col min="2" max="2" width="10.375" style="1" customWidth="1"/>
    <col min="3" max="6" width="10.375" customWidth="1"/>
  </cols>
  <sheetData>
    <row r="1" spans="1:6" ht="22.5">
      <c r="A1" s="406" t="s">
        <v>577</v>
      </c>
    </row>
    <row r="2" spans="1:6" ht="22.5">
      <c r="A2" s="406" t="str">
        <f>'Datos Básicos'!B9</f>
        <v>nombre empresa</v>
      </c>
    </row>
    <row r="3" spans="1:6" ht="16.5" thickBot="1"/>
    <row r="4" spans="1:6" ht="25.5">
      <c r="A4" s="1579" t="s">
        <v>576</v>
      </c>
      <c r="B4" s="1382" t="str">
        <f t="array" ref="B4:F4">anni</f>
        <v>Año 0:  2026</v>
      </c>
      <c r="C4" s="1380" t="str">
        <v>Año 1:  2027</v>
      </c>
      <c r="D4" s="1380" t="str">
        <v>Año 2:  2028</v>
      </c>
      <c r="E4" s="1380" t="str">
        <v>Año 3:  2029</v>
      </c>
      <c r="F4" s="1380" t="str">
        <v>Año 4:  2030</v>
      </c>
    </row>
    <row r="5" spans="1:6">
      <c r="A5" s="1575" t="str">
        <f t="array" ref="A5:A10">'Inv. Iniciales ANC'!A5:B10</f>
        <v>Terrenos y Edificaciones</v>
      </c>
      <c r="B5" s="1576"/>
      <c r="C5" s="1577"/>
      <c r="D5" s="1577"/>
      <c r="E5" s="1577"/>
      <c r="F5" s="1578"/>
    </row>
    <row r="6" spans="1:6" outlineLevel="1">
      <c r="A6" s="1580" t="str">
        <v>Terrenos y solares</v>
      </c>
      <c r="B6" s="653">
        <f t="array" ref="B6:B9">'Inv. Iniciales ANC'!B6:B9</f>
        <v>0</v>
      </c>
      <c r="C6" s="15">
        <v>0</v>
      </c>
      <c r="D6" s="15">
        <v>0</v>
      </c>
      <c r="E6" s="15">
        <v>0</v>
      </c>
      <c r="F6" s="559">
        <v>0</v>
      </c>
    </row>
    <row r="7" spans="1:6" outlineLevel="1">
      <c r="A7" s="1580" t="str">
        <v>Total valor obra construida</v>
      </c>
      <c r="B7" s="653">
        <v>0</v>
      </c>
      <c r="C7" s="15">
        <v>0</v>
      </c>
      <c r="D7" s="15">
        <v>0</v>
      </c>
      <c r="E7" s="15">
        <v>0</v>
      </c>
      <c r="F7" s="559">
        <v>0</v>
      </c>
    </row>
    <row r="8" spans="1:6" outlineLevel="1">
      <c r="A8" s="1580" t="str">
        <v>Obras de Reforma / Adecuación local</v>
      </c>
      <c r="B8" s="653">
        <v>0</v>
      </c>
      <c r="C8" s="14">
        <v>0</v>
      </c>
      <c r="D8" s="14">
        <v>0</v>
      </c>
      <c r="E8" s="14">
        <v>0</v>
      </c>
      <c r="F8" s="30">
        <v>0</v>
      </c>
    </row>
    <row r="9" spans="1:6" outlineLevel="1">
      <c r="A9" s="2288" t="str">
        <v>Inversiones inmobiliarias (Bal. Previo)</v>
      </c>
      <c r="B9" s="2289">
        <v>0</v>
      </c>
      <c r="C9" s="2395"/>
      <c r="D9" s="2395"/>
      <c r="E9" s="2395"/>
      <c r="F9" s="2257"/>
    </row>
    <row r="10" spans="1:6" ht="16.5" thickBot="1">
      <c r="A10" s="1549" t="str">
        <v>Total Terrenos y Edificaciones</v>
      </c>
      <c r="B10" s="654">
        <f>SUM(B6:B9)</f>
        <v>0</v>
      </c>
      <c r="C10" s="654">
        <f>SUM(C6:C8)</f>
        <v>0</v>
      </c>
      <c r="D10" s="654">
        <f>SUM(D6:D8)</f>
        <v>0</v>
      </c>
      <c r="E10" s="654">
        <f>SUM(E6:E8)</f>
        <v>0</v>
      </c>
      <c r="F10" s="560">
        <f>SUM(F6:F8)</f>
        <v>0</v>
      </c>
    </row>
    <row r="11" spans="1:6" ht="11.25" customHeight="1" thickBot="1">
      <c r="A11" s="1550"/>
      <c r="B11" s="655"/>
      <c r="C11" s="4"/>
      <c r="D11" s="4"/>
      <c r="E11" s="4"/>
      <c r="F11" s="4"/>
    </row>
    <row r="12" spans="1:6">
      <c r="A12" s="1551" t="str">
        <f t="array" ref="A12:A20">'Inv. Iniciales ANC'!A12:B20</f>
        <v>Instalaciones</v>
      </c>
      <c r="B12" s="1803" t="str">
        <f t="array" ref="B12:F12">Parametros!D$62:H$62</f>
        <v>Año 0</v>
      </c>
      <c r="C12" s="2712">
        <v>1</v>
      </c>
      <c r="D12" s="2712">
        <v>2</v>
      </c>
      <c r="E12" s="2712">
        <v>3</v>
      </c>
      <c r="F12" s="2713">
        <v>4</v>
      </c>
    </row>
    <row r="13" spans="1:6" outlineLevel="1">
      <c r="A13" s="1552" t="str">
        <v>Instalaciones generales</v>
      </c>
      <c r="B13" s="653">
        <f t="array" ref="B13:B19">'Inv. Iniciales ANC'!B13:B19</f>
        <v>0</v>
      </c>
      <c r="C13" s="14">
        <v>0</v>
      </c>
      <c r="D13" s="14">
        <v>0</v>
      </c>
      <c r="E13" s="14">
        <v>0</v>
      </c>
      <c r="F13" s="30">
        <v>0</v>
      </c>
    </row>
    <row r="14" spans="1:6" outlineLevel="1">
      <c r="A14" s="1552" t="str">
        <v>Instalación Eléctrica e Iluminación</v>
      </c>
      <c r="B14" s="653">
        <v>0</v>
      </c>
      <c r="C14" s="14">
        <v>0</v>
      </c>
      <c r="D14" s="14">
        <v>0</v>
      </c>
      <c r="E14" s="14">
        <v>0</v>
      </c>
      <c r="F14" s="30">
        <v>0</v>
      </c>
    </row>
    <row r="15" spans="1:6" outlineLevel="1">
      <c r="A15" s="1552" t="str">
        <v>Agua y saneamiento</v>
      </c>
      <c r="B15" s="653">
        <v>0</v>
      </c>
      <c r="C15" s="14">
        <v>0</v>
      </c>
      <c r="D15" s="14">
        <v>0</v>
      </c>
      <c r="E15" s="14">
        <v>0</v>
      </c>
      <c r="F15" s="30">
        <v>0</v>
      </c>
    </row>
    <row r="16" spans="1:6" outlineLevel="1">
      <c r="A16" s="1552" t="str">
        <v>Telecomunicaciones</v>
      </c>
      <c r="B16" s="653">
        <v>0</v>
      </c>
      <c r="C16" s="14">
        <v>0</v>
      </c>
      <c r="D16" s="14">
        <v>0</v>
      </c>
      <c r="E16" s="14">
        <v>0</v>
      </c>
      <c r="F16" s="30">
        <v>0</v>
      </c>
    </row>
    <row r="17" spans="1:6" outlineLevel="1">
      <c r="A17" s="1552" t="str">
        <v>Instalación contraincendios</v>
      </c>
      <c r="B17" s="653">
        <v>0</v>
      </c>
      <c r="C17" s="14">
        <v>0</v>
      </c>
      <c r="D17" s="14">
        <v>0</v>
      </c>
      <c r="E17" s="14">
        <v>0</v>
      </c>
      <c r="F17" s="30">
        <v>0</v>
      </c>
    </row>
    <row r="18" spans="1:6" outlineLevel="1">
      <c r="A18" s="1552" t="str">
        <v>Alarmas e instalaciones de seguridad</v>
      </c>
      <c r="B18" s="653">
        <v>0</v>
      </c>
      <c r="C18" s="14">
        <v>0</v>
      </c>
      <c r="D18" s="14">
        <v>0</v>
      </c>
      <c r="E18" s="14">
        <v>0</v>
      </c>
      <c r="F18" s="30">
        <v>0</v>
      </c>
    </row>
    <row r="19" spans="1:6" outlineLevel="1">
      <c r="A19" s="2292" t="str">
        <v>Inmovilizado Material (Bal. Previo)</v>
      </c>
      <c r="B19" s="2289">
        <v>0</v>
      </c>
      <c r="C19" s="2395"/>
      <c r="D19" s="2395"/>
      <c r="E19" s="2395"/>
      <c r="F19" s="2257"/>
    </row>
    <row r="20" spans="1:6" ht="16.5" thickBot="1">
      <c r="A20" s="1553" t="str">
        <v>Total Instalaciones</v>
      </c>
      <c r="B20" s="654">
        <f>SUM(B13:B19)</f>
        <v>0</v>
      </c>
      <c r="C20" s="654">
        <f>SUM(C13:C19)</f>
        <v>0</v>
      </c>
      <c r="D20" s="654">
        <f>SUM(D13:D19)</f>
        <v>0</v>
      </c>
      <c r="E20" s="654">
        <f>SUM(E13:E19)</f>
        <v>0</v>
      </c>
      <c r="F20" s="560">
        <f>SUM(F13:F19)</f>
        <v>0</v>
      </c>
    </row>
    <row r="21" spans="1:6" ht="11.25" customHeight="1" thickBot="1">
      <c r="A21" s="1550"/>
      <c r="B21" s="655"/>
      <c r="C21" s="4"/>
      <c r="D21" s="4"/>
      <c r="E21" s="4"/>
      <c r="F21" s="4"/>
    </row>
    <row r="22" spans="1:6">
      <c r="A22" s="1551" t="str">
        <f t="array" ref="A22:A26">'Inv. Iniciales ANC'!A22:B26</f>
        <v>Maquinaria</v>
      </c>
      <c r="B22" s="1803" t="str">
        <f t="array" ref="B22:F22">Parametros!D$62:H$62</f>
        <v>Año 0</v>
      </c>
      <c r="C22" s="2712">
        <v>1</v>
      </c>
      <c r="D22" s="2712">
        <v>2</v>
      </c>
      <c r="E22" s="2712">
        <v>3</v>
      </c>
      <c r="F22" s="2713">
        <v>4</v>
      </c>
    </row>
    <row r="23" spans="1:6" outlineLevel="1">
      <c r="A23" s="1552" t="str">
        <v>máquina</v>
      </c>
      <c r="B23" s="653">
        <f t="array" ref="B23:B25">'Inv. Iniciales ANC'!B23:B25</f>
        <v>0</v>
      </c>
      <c r="C23" s="14">
        <v>0</v>
      </c>
      <c r="D23" s="14">
        <v>0</v>
      </c>
      <c r="E23" s="14">
        <v>0</v>
      </c>
      <c r="F23" s="30">
        <v>0</v>
      </c>
    </row>
    <row r="24" spans="1:6" outlineLevel="1">
      <c r="A24" s="1552" t="str">
        <v>máquina</v>
      </c>
      <c r="B24" s="653">
        <v>0</v>
      </c>
      <c r="C24" s="14">
        <v>0</v>
      </c>
      <c r="D24" s="14">
        <v>0</v>
      </c>
      <c r="E24" s="14">
        <v>0</v>
      </c>
      <c r="F24" s="30">
        <v>0</v>
      </c>
    </row>
    <row r="25" spans="1:6" outlineLevel="1">
      <c r="A25" s="1552" t="str">
        <v>Máquina</v>
      </c>
      <c r="B25" s="653">
        <v>0</v>
      </c>
      <c r="C25" s="14">
        <v>0</v>
      </c>
      <c r="D25" s="14">
        <v>0</v>
      </c>
      <c r="E25" s="14">
        <v>0</v>
      </c>
      <c r="F25" s="30">
        <v>0</v>
      </c>
    </row>
    <row r="26" spans="1:6" ht="16.5" thickBot="1">
      <c r="A26" s="1549" t="str">
        <v>Total Maquinaria</v>
      </c>
      <c r="B26" s="654">
        <f>SUM(B23:B25)</f>
        <v>0</v>
      </c>
      <c r="C26" s="558">
        <f>SUM(C23:C25)</f>
        <v>0</v>
      </c>
      <c r="D26" s="558">
        <f>SUM(D23:D25)</f>
        <v>0</v>
      </c>
      <c r="E26" s="558">
        <f>SUM(E23:E25)</f>
        <v>0</v>
      </c>
      <c r="F26" s="560">
        <f>SUM(F23:F25)</f>
        <v>0</v>
      </c>
    </row>
    <row r="27" spans="1:6" ht="12" customHeight="1" thickBot="1">
      <c r="A27" s="1550"/>
      <c r="B27" s="655"/>
      <c r="C27" s="4"/>
      <c r="D27" s="4"/>
      <c r="E27" s="4"/>
      <c r="F27" s="4"/>
    </row>
    <row r="28" spans="1:6">
      <c r="A28" s="1551" t="str">
        <f t="array" ref="A28:A31">'Inv. Iniciales ANC'!A28:B31</f>
        <v>Utillaje, Herramientas, ...</v>
      </c>
      <c r="B28" s="1803" t="str">
        <f t="array" ref="B28:F28">Parametros!D$62:H$62</f>
        <v>Año 0</v>
      </c>
      <c r="C28" s="2712">
        <v>1</v>
      </c>
      <c r="D28" s="2712">
        <v>2</v>
      </c>
      <c r="E28" s="2712">
        <v>3</v>
      </c>
      <c r="F28" s="2713">
        <v>4</v>
      </c>
    </row>
    <row r="29" spans="1:6" outlineLevel="1">
      <c r="A29" s="1552" t="str">
        <v>Herramientas de mano</v>
      </c>
      <c r="B29" s="653">
        <f t="array" ref="B29:B30">'Inv. Iniciales ANC'!B29:B30</f>
        <v>0</v>
      </c>
      <c r="C29" s="14">
        <v>0</v>
      </c>
      <c r="D29" s="14">
        <v>0</v>
      </c>
      <c r="E29" s="14">
        <v>0</v>
      </c>
      <c r="F29" s="30">
        <v>0</v>
      </c>
    </row>
    <row r="30" spans="1:6" outlineLevel="1">
      <c r="A30" s="1552" t="str">
        <v>Utiles de fabricación</v>
      </c>
      <c r="B30" s="653">
        <v>0</v>
      </c>
      <c r="C30" s="14">
        <v>0</v>
      </c>
      <c r="D30" s="14">
        <v>0</v>
      </c>
      <c r="E30" s="14">
        <v>0</v>
      </c>
      <c r="F30" s="30">
        <v>0</v>
      </c>
    </row>
    <row r="31" spans="1:6" ht="16.5" thickBot="1">
      <c r="A31" s="1553" t="str">
        <v>Total Utillaje, Herramientas, ...</v>
      </c>
      <c r="B31" s="654">
        <f>SUM(B29:B30)</f>
        <v>0</v>
      </c>
      <c r="C31" s="558">
        <f>SUM(C29:C30)</f>
        <v>0</v>
      </c>
      <c r="D31" s="558">
        <f>SUM(D29:D30)</f>
        <v>0</v>
      </c>
      <c r="E31" s="558">
        <f>SUM(E29:E30)</f>
        <v>0</v>
      </c>
      <c r="F31" s="560">
        <f>SUM(F29:F30)</f>
        <v>0</v>
      </c>
    </row>
    <row r="32" spans="1:6" ht="12" customHeight="1" thickBot="1">
      <c r="A32" s="1550"/>
      <c r="B32" s="655"/>
      <c r="C32" s="4"/>
      <c r="D32" s="4"/>
      <c r="E32" s="4"/>
      <c r="F32" s="4"/>
    </row>
    <row r="33" spans="1:6">
      <c r="A33" s="1551" t="str">
        <f t="array" ref="A33:A37">'Inv. Iniciales ANC'!A33:B37</f>
        <v>Mobiliario</v>
      </c>
      <c r="B33" s="1803" t="str">
        <f t="array" ref="B33:F33">Parametros!D$62:H$62</f>
        <v>Año 0</v>
      </c>
      <c r="C33" s="2712">
        <v>1</v>
      </c>
      <c r="D33" s="2712">
        <v>2</v>
      </c>
      <c r="E33" s="2712">
        <v>3</v>
      </c>
      <c r="F33" s="2713">
        <v>4</v>
      </c>
    </row>
    <row r="34" spans="1:6" outlineLevel="1">
      <c r="A34" s="1552" t="str">
        <v>Mobiliario oficina</v>
      </c>
      <c r="B34" s="653">
        <f t="array" ref="B34:B36">'Inv. Iniciales ANC'!B34:B36</f>
        <v>0</v>
      </c>
      <c r="C34" s="14">
        <v>0</v>
      </c>
      <c r="D34" s="14">
        <v>0</v>
      </c>
      <c r="E34" s="14">
        <v>0</v>
      </c>
      <c r="F34" s="30">
        <v>0</v>
      </c>
    </row>
    <row r="35" spans="1:6" outlineLevel="1">
      <c r="A35" s="1552" t="str">
        <v>Estanterías almacén, expositores</v>
      </c>
      <c r="B35" s="653">
        <v>0</v>
      </c>
      <c r="C35" s="14">
        <v>0</v>
      </c>
      <c r="D35" s="14">
        <v>0</v>
      </c>
      <c r="E35" s="14">
        <v>0</v>
      </c>
      <c r="F35" s="30">
        <v>0</v>
      </c>
    </row>
    <row r="36" spans="1:6" outlineLevel="1">
      <c r="A36" s="1552" t="str">
        <v>Otro mobiliario</v>
      </c>
      <c r="B36" s="653">
        <v>0</v>
      </c>
      <c r="C36" s="14">
        <v>0</v>
      </c>
      <c r="D36" s="14">
        <v>0</v>
      </c>
      <c r="E36" s="14">
        <v>0</v>
      </c>
      <c r="F36" s="30">
        <v>0</v>
      </c>
    </row>
    <row r="37" spans="1:6" ht="16.5" thickBot="1">
      <c r="A37" s="1549" t="str">
        <v>Total Mobiliario</v>
      </c>
      <c r="B37" s="654">
        <f>SUM(B34:B36)</f>
        <v>0</v>
      </c>
      <c r="C37" s="558">
        <f>SUM(C34:C36)</f>
        <v>0</v>
      </c>
      <c r="D37" s="558">
        <f>SUM(D34:D36)</f>
        <v>0</v>
      </c>
      <c r="E37" s="558">
        <f>SUM(E34:E36)</f>
        <v>0</v>
      </c>
      <c r="F37" s="560">
        <f>SUM(F34:F36)</f>
        <v>0</v>
      </c>
    </row>
    <row r="38" spans="1:6" ht="12" customHeight="1" thickBot="1">
      <c r="A38" s="1550"/>
      <c r="B38" s="655"/>
      <c r="C38" s="4"/>
      <c r="D38" s="4"/>
      <c r="E38" s="4"/>
      <c r="F38" s="4"/>
    </row>
    <row r="39" spans="1:6">
      <c r="A39" s="1551" t="str">
        <f t="array" ref="A39:A43">'Inv. Iniciales ANC'!A39:B43</f>
        <v>Elementos de Transporte</v>
      </c>
      <c r="B39" s="1803" t="str">
        <f t="array" ref="B39:F39">Parametros!D$62:H$62</f>
        <v>Año 0</v>
      </c>
      <c r="C39" s="2712">
        <v>1</v>
      </c>
      <c r="D39" s="2712">
        <v>2</v>
      </c>
      <c r="E39" s="2712">
        <v>3</v>
      </c>
      <c r="F39" s="2713">
        <v>4</v>
      </c>
    </row>
    <row r="40" spans="1:6" outlineLevel="1">
      <c r="A40" s="1552" t="str">
        <v>Vehículos</v>
      </c>
      <c r="B40" s="653">
        <f t="array" ref="B40:B42">'Inv. Iniciales ANC'!B40:B42</f>
        <v>0</v>
      </c>
      <c r="C40" s="14">
        <v>0</v>
      </c>
      <c r="D40" s="14">
        <v>0</v>
      </c>
      <c r="E40" s="14">
        <v>0</v>
      </c>
      <c r="F40" s="30">
        <v>0</v>
      </c>
    </row>
    <row r="41" spans="1:6" outlineLevel="1">
      <c r="A41" s="1552" t="str">
        <v>Vehículos industriales</v>
      </c>
      <c r="B41" s="653">
        <v>0</v>
      </c>
      <c r="C41" s="14">
        <v>0</v>
      </c>
      <c r="D41" s="14">
        <v>0</v>
      </c>
      <c r="E41" s="14">
        <v>0</v>
      </c>
      <c r="F41" s="30">
        <v>0</v>
      </c>
    </row>
    <row r="42" spans="1:6" outlineLevel="1">
      <c r="A42" s="1552" t="str">
        <v>Otros vehículos</v>
      </c>
      <c r="B42" s="653">
        <v>0</v>
      </c>
      <c r="C42" s="14">
        <v>0</v>
      </c>
      <c r="D42" s="14">
        <v>0</v>
      </c>
      <c r="E42" s="14">
        <v>0</v>
      </c>
      <c r="F42" s="30">
        <v>0</v>
      </c>
    </row>
    <row r="43" spans="1:6" ht="16.5" thickBot="1">
      <c r="A43" s="1549" t="str">
        <v>Total Elementos de Transporte</v>
      </c>
      <c r="B43" s="654">
        <f>SUM(B40:B42)</f>
        <v>0</v>
      </c>
      <c r="C43" s="558">
        <f>SUM(C40:C42)</f>
        <v>0</v>
      </c>
      <c r="D43" s="558">
        <f>SUM(D40:D42)</f>
        <v>0</v>
      </c>
      <c r="E43" s="558">
        <f>SUM(E40:E42)</f>
        <v>0</v>
      </c>
      <c r="F43" s="560">
        <f>SUM(F40:F42)</f>
        <v>0</v>
      </c>
    </row>
    <row r="44" spans="1:6" ht="9.75" customHeight="1" thickBot="1">
      <c r="A44" s="1550"/>
      <c r="B44" s="655"/>
      <c r="C44" s="4"/>
      <c r="D44" s="4"/>
      <c r="E44" s="4"/>
      <c r="F44" s="4"/>
    </row>
    <row r="45" spans="1:6">
      <c r="A45" s="1551" t="str">
        <f t="array" ref="A45:A50">'Inv. Iniciales ANC'!A45:B50</f>
        <v>Equipos informáticos</v>
      </c>
      <c r="B45" s="1803" t="str">
        <f t="array" ref="B45:F45">Parametros!D$62:H$62</f>
        <v>Año 0</v>
      </c>
      <c r="C45" s="2712">
        <v>1</v>
      </c>
      <c r="D45" s="2712">
        <v>2</v>
      </c>
      <c r="E45" s="2712">
        <v>3</v>
      </c>
      <c r="F45" s="2713">
        <v>4</v>
      </c>
    </row>
    <row r="46" spans="1:6" outlineLevel="1">
      <c r="A46" s="1552" t="str">
        <v>Ordenadores</v>
      </c>
      <c r="B46" s="653">
        <f t="array" ref="B46:B49">'Inv. Iniciales ANC'!B46:B49</f>
        <v>0</v>
      </c>
      <c r="C46" s="14">
        <v>0</v>
      </c>
      <c r="D46" s="14">
        <v>0</v>
      </c>
      <c r="E46" s="14">
        <v>0</v>
      </c>
      <c r="F46" s="30">
        <v>0</v>
      </c>
    </row>
    <row r="47" spans="1:6" outlineLevel="1">
      <c r="A47" s="1552" t="str">
        <v>Terminales Punto de Venta</v>
      </c>
      <c r="B47" s="653">
        <v>0</v>
      </c>
      <c r="C47" s="14">
        <v>0</v>
      </c>
      <c r="D47" s="14">
        <v>0</v>
      </c>
      <c r="E47" s="14">
        <v>0</v>
      </c>
      <c r="F47" s="30">
        <v>0</v>
      </c>
    </row>
    <row r="48" spans="1:6" outlineLevel="1">
      <c r="A48" s="1552" t="str">
        <v>Impresoras y fotocopiadoras</v>
      </c>
      <c r="B48" s="653">
        <v>0</v>
      </c>
      <c r="C48" s="14">
        <v>0</v>
      </c>
      <c r="D48" s="14">
        <v>0</v>
      </c>
      <c r="E48" s="14">
        <v>0</v>
      </c>
      <c r="F48" s="30">
        <v>0</v>
      </c>
    </row>
    <row r="49" spans="1:6" outlineLevel="1">
      <c r="A49" s="1552" t="str">
        <v>Centralitas, enrutadores, red local</v>
      </c>
      <c r="B49" s="653">
        <v>0</v>
      </c>
      <c r="C49" s="14">
        <v>0</v>
      </c>
      <c r="D49" s="14">
        <v>0</v>
      </c>
      <c r="E49" s="14">
        <v>0</v>
      </c>
      <c r="F49" s="30">
        <v>0</v>
      </c>
    </row>
    <row r="50" spans="1:6" ht="16.5" thickBot="1">
      <c r="A50" s="1549" t="str">
        <v>Total Equipos informáticos</v>
      </c>
      <c r="B50" s="654">
        <f>SUM(B46:B49)</f>
        <v>0</v>
      </c>
      <c r="C50" s="558">
        <f>SUM(C46:C49)</f>
        <v>0</v>
      </c>
      <c r="D50" s="558">
        <f>SUM(D46:D49)</f>
        <v>0</v>
      </c>
      <c r="E50" s="558">
        <f>SUM(E46:E49)</f>
        <v>0</v>
      </c>
      <c r="F50" s="560">
        <f>SUM(F46:F49)</f>
        <v>0</v>
      </c>
    </row>
    <row r="51" spans="1:6" ht="10.5" customHeight="1" thickBot="1">
      <c r="A51" s="1550"/>
      <c r="B51" s="655"/>
      <c r="C51" s="4"/>
      <c r="D51" s="4"/>
      <c r="E51" s="4"/>
      <c r="F51" s="4"/>
    </row>
    <row r="52" spans="1:6">
      <c r="A52" s="1551" t="str">
        <f t="array" ref="A52:A55">'Inv. Iniciales ANC'!A52:B55</f>
        <v>Otro Inmovilizado Material</v>
      </c>
      <c r="B52" s="1803" t="str">
        <f t="array" ref="B52:F52">Parametros!D$62:H$62</f>
        <v>Año 0</v>
      </c>
      <c r="C52" s="2712">
        <v>1</v>
      </c>
      <c r="D52" s="2712">
        <v>2</v>
      </c>
      <c r="E52" s="2712">
        <v>3</v>
      </c>
      <c r="F52" s="2713">
        <v>4</v>
      </c>
    </row>
    <row r="53" spans="1:6" outlineLevel="1">
      <c r="A53" s="1552" t="str">
        <v>otros activos No Corrientes necesarios</v>
      </c>
      <c r="B53" s="653">
        <f t="array" ref="B53:B54">'Inv. Iniciales ANC'!B53:B54</f>
        <v>0</v>
      </c>
      <c r="C53" s="14">
        <v>0</v>
      </c>
      <c r="D53" s="14">
        <v>0</v>
      </c>
      <c r="E53" s="14">
        <v>0</v>
      </c>
      <c r="F53" s="30">
        <v>0</v>
      </c>
    </row>
    <row r="54" spans="1:6" outlineLevel="1">
      <c r="A54" s="1552" t="str">
        <v>Derechos de traspaso</v>
      </c>
      <c r="B54" s="653">
        <v>0</v>
      </c>
      <c r="C54" s="14">
        <v>0</v>
      </c>
      <c r="D54" s="14">
        <v>0</v>
      </c>
      <c r="E54" s="14">
        <v>0</v>
      </c>
      <c r="F54" s="30">
        <v>0</v>
      </c>
    </row>
    <row r="55" spans="1:6" ht="16.5" thickBot="1">
      <c r="A55" s="1549" t="str">
        <v>Total Otro Inmovilizado Material</v>
      </c>
      <c r="B55" s="654">
        <f>SUM(B53:B54)</f>
        <v>0</v>
      </c>
      <c r="C55" s="558">
        <f>SUM(C53:C54)</f>
        <v>0</v>
      </c>
      <c r="D55" s="558">
        <f>SUM(D53:D54)</f>
        <v>0</v>
      </c>
      <c r="E55" s="558">
        <f>SUM(E53:E54)</f>
        <v>0</v>
      </c>
      <c r="F55" s="560">
        <f>SUM(F53:F54)</f>
        <v>0</v>
      </c>
    </row>
    <row r="56" spans="1:6" ht="9.75" customHeight="1" thickBot="1"/>
    <row r="57" spans="1:6">
      <c r="A57" s="1551" t="str">
        <f t="array" ref="A57:A63">'Inv. Iniciales ANC'!A57:B63</f>
        <v>Inmovilizado Intangible</v>
      </c>
      <c r="B57" s="1803" t="str">
        <f t="array" ref="B57:F57">Parametros!D$62:H$62</f>
        <v>Año 0</v>
      </c>
      <c r="C57" s="2712">
        <v>1</v>
      </c>
      <c r="D57" s="2712">
        <v>2</v>
      </c>
      <c r="E57" s="2712">
        <v>3</v>
      </c>
      <c r="F57" s="2713">
        <v>4</v>
      </c>
    </row>
    <row r="58" spans="1:6" outlineLevel="1">
      <c r="A58" s="1552" t="str">
        <v>Software y Desarrollos Web</v>
      </c>
      <c r="B58" s="653">
        <f t="array" ref="B58:B62">'Inv. Iniciales ANC'!B58:B62</f>
        <v>0</v>
      </c>
      <c r="C58" s="14">
        <v>0</v>
      </c>
      <c r="D58" s="14">
        <v>0</v>
      </c>
      <c r="E58" s="14">
        <v>0</v>
      </c>
      <c r="F58" s="30">
        <v>0</v>
      </c>
    </row>
    <row r="59" spans="1:6" outlineLevel="1">
      <c r="A59" s="1552" t="str">
        <v>Inversiones I+D+I</v>
      </c>
      <c r="B59" s="653">
        <v>0</v>
      </c>
      <c r="C59" s="14">
        <v>0</v>
      </c>
      <c r="D59" s="14">
        <v>0</v>
      </c>
      <c r="E59" s="14">
        <v>0</v>
      </c>
      <c r="F59" s="30">
        <v>0</v>
      </c>
    </row>
    <row r="60" spans="1:6" outlineLevel="1">
      <c r="A60" s="1552" t="str">
        <v>Patentes, marcas o similares</v>
      </c>
      <c r="B60" s="653">
        <v>0</v>
      </c>
      <c r="C60" s="14">
        <v>0</v>
      </c>
      <c r="D60" s="14">
        <v>0</v>
      </c>
      <c r="E60" s="14">
        <v>0</v>
      </c>
      <c r="F60" s="30">
        <v>0</v>
      </c>
    </row>
    <row r="61" spans="1:6" outlineLevel="1">
      <c r="A61" s="1552" t="str">
        <v>Certificaciones, homologac¡ones</v>
      </c>
      <c r="B61" s="653">
        <v>0</v>
      </c>
      <c r="C61" s="14">
        <v>0</v>
      </c>
      <c r="D61" s="14">
        <v>0</v>
      </c>
      <c r="E61" s="14">
        <v>0</v>
      </c>
      <c r="F61" s="30">
        <v>0</v>
      </c>
    </row>
    <row r="62" spans="1:6" outlineLevel="1">
      <c r="A62" s="2292" t="str">
        <v>Inmovilizado Inmaterial (Bal. Previo)</v>
      </c>
      <c r="B62" s="2289">
        <v>0</v>
      </c>
      <c r="C62" s="2256"/>
      <c r="D62" s="2256"/>
      <c r="E62" s="2256"/>
      <c r="F62" s="2257"/>
    </row>
    <row r="63" spans="1:6" ht="16.5" thickBot="1">
      <c r="A63" s="1549" t="str">
        <v>Total Inmovilizado Intangible</v>
      </c>
      <c r="B63" s="654">
        <f>SUM(B58:B62)</f>
        <v>0</v>
      </c>
      <c r="C63" s="2396">
        <f>SUM(C58:C62)</f>
        <v>0</v>
      </c>
      <c r="D63" s="2396">
        <f>SUM(D58:D62)</f>
        <v>0</v>
      </c>
      <c r="E63" s="2396">
        <f>SUM(E58:E62)</f>
        <v>0</v>
      </c>
      <c r="F63" s="2397">
        <f>SUM(F58:F62)</f>
        <v>0</v>
      </c>
    </row>
    <row r="64" spans="1:6" ht="12" customHeight="1"/>
    <row r="68" spans="1:7" ht="16.5" thickBot="1"/>
    <row r="69" spans="1:7" ht="23.25" thickBot="1">
      <c r="A69" s="2826" t="s">
        <v>1102</v>
      </c>
      <c r="B69" s="2827"/>
      <c r="C69" s="2828"/>
      <c r="D69" s="2828"/>
      <c r="E69" s="2828"/>
      <c r="F69" s="2829"/>
      <c r="G69" s="2829"/>
    </row>
    <row r="70" spans="1:7" ht="33" customHeight="1" thickBot="1">
      <c r="A70" s="2830" t="s">
        <v>576</v>
      </c>
      <c r="B70" s="2831" t="s">
        <v>979</v>
      </c>
      <c r="C70" s="2831" t="str">
        <f t="array" ref="C70:G70">anni</f>
        <v>Año 0:  2026</v>
      </c>
      <c r="D70" s="2832" t="str">
        <v>Año 1:  2027</v>
      </c>
      <c r="E70" s="2832" t="str">
        <v>Año 2:  2028</v>
      </c>
      <c r="F70" s="2832" t="str">
        <v>Año 3:  2029</v>
      </c>
      <c r="G70" s="2833" t="str">
        <v>Año 4:  2030</v>
      </c>
    </row>
    <row r="71" spans="1:7">
      <c r="A71" s="2834" t="str">
        <f>A5</f>
        <v>Terrenos y Edificaciones</v>
      </c>
      <c r="B71" s="653">
        <f>+'Bal. Inicial Previo'!D14</f>
        <v>0</v>
      </c>
      <c r="C71" s="653">
        <f>$B$10</f>
        <v>0</v>
      </c>
      <c r="D71" s="653">
        <f>$B$10</f>
        <v>0</v>
      </c>
      <c r="E71" s="653">
        <f>$B$10</f>
        <v>0</v>
      </c>
      <c r="F71" s="653">
        <f>$B$10</f>
        <v>0</v>
      </c>
      <c r="G71" s="2835">
        <f>$B$10</f>
        <v>0</v>
      </c>
    </row>
    <row r="72" spans="1:7">
      <c r="A72" s="2836" t="str">
        <f>A12</f>
        <v>Instalaciones</v>
      </c>
      <c r="B72" s="653">
        <v>0</v>
      </c>
      <c r="C72" s="653">
        <f>$B$20</f>
        <v>0</v>
      </c>
      <c r="D72" s="653">
        <f>$B$20</f>
        <v>0</v>
      </c>
      <c r="E72" s="653">
        <f>$B$20</f>
        <v>0</v>
      </c>
      <c r="F72" s="653">
        <f>$B$20</f>
        <v>0</v>
      </c>
      <c r="G72" s="2835">
        <f>$B$20</f>
        <v>0</v>
      </c>
    </row>
    <row r="73" spans="1:7">
      <c r="A73" s="2836" t="str">
        <f>A22</f>
        <v>Maquinaria</v>
      </c>
      <c r="B73" s="653">
        <v>0</v>
      </c>
      <c r="C73" s="653">
        <f>$B$26</f>
        <v>0</v>
      </c>
      <c r="D73" s="653">
        <f>$B$26</f>
        <v>0</v>
      </c>
      <c r="E73" s="653">
        <f>$B$26</f>
        <v>0</v>
      </c>
      <c r="F73" s="653">
        <f>$B$26</f>
        <v>0</v>
      </c>
      <c r="G73" s="2835">
        <f>$B$26</f>
        <v>0</v>
      </c>
    </row>
    <row r="74" spans="1:7">
      <c r="A74" s="2836" t="str">
        <f>A28</f>
        <v>Utillaje, Herramientas, ...</v>
      </c>
      <c r="B74" s="653">
        <v>0</v>
      </c>
      <c r="C74" s="653">
        <f>$B$31</f>
        <v>0</v>
      </c>
      <c r="D74" s="653">
        <f>$B$31</f>
        <v>0</v>
      </c>
      <c r="E74" s="653">
        <f>$B$31</f>
        <v>0</v>
      </c>
      <c r="F74" s="653">
        <f>$B$31</f>
        <v>0</v>
      </c>
      <c r="G74" s="2835">
        <f>$B$31</f>
        <v>0</v>
      </c>
    </row>
    <row r="75" spans="1:7">
      <c r="A75" s="2836" t="str">
        <f>A33</f>
        <v>Mobiliario</v>
      </c>
      <c r="B75" s="653">
        <v>0</v>
      </c>
      <c r="C75" s="653">
        <f>$B$37</f>
        <v>0</v>
      </c>
      <c r="D75" s="653">
        <f>$B$37</f>
        <v>0</v>
      </c>
      <c r="E75" s="653">
        <f>$B$37</f>
        <v>0</v>
      </c>
      <c r="F75" s="653">
        <f>$B$37</f>
        <v>0</v>
      </c>
      <c r="G75" s="2835">
        <f>$B$37</f>
        <v>0</v>
      </c>
    </row>
    <row r="76" spans="1:7">
      <c r="A76" s="2836" t="str">
        <f>A39</f>
        <v>Elementos de Transporte</v>
      </c>
      <c r="B76" s="653">
        <v>0</v>
      </c>
      <c r="C76" s="653">
        <f>$B$43</f>
        <v>0</v>
      </c>
      <c r="D76" s="653">
        <f>$B$43</f>
        <v>0</v>
      </c>
      <c r="E76" s="653">
        <f>$B$43</f>
        <v>0</v>
      </c>
      <c r="F76" s="653">
        <f>$B$43</f>
        <v>0</v>
      </c>
      <c r="G76" s="2835">
        <f>$B$43</f>
        <v>0</v>
      </c>
    </row>
    <row r="77" spans="1:7">
      <c r="A77" s="2836" t="str">
        <f>A45</f>
        <v>Equipos informáticos</v>
      </c>
      <c r="B77" s="653">
        <v>0</v>
      </c>
      <c r="C77" s="653">
        <f>$B$50</f>
        <v>0</v>
      </c>
      <c r="D77" s="653">
        <f>$B$50</f>
        <v>0</v>
      </c>
      <c r="E77" s="653">
        <f>$B$50</f>
        <v>0</v>
      </c>
      <c r="F77" s="653">
        <f>$B$50</f>
        <v>0</v>
      </c>
      <c r="G77" s="2835">
        <f>$B$50</f>
        <v>0</v>
      </c>
    </row>
    <row r="78" spans="1:7">
      <c r="A78" s="2836" t="str">
        <f>A52</f>
        <v>Otro Inmovilizado Material</v>
      </c>
      <c r="B78" s="653">
        <f>+'Bal. Inicial Previo'!D12</f>
        <v>0</v>
      </c>
      <c r="C78" s="653">
        <f>$B$55</f>
        <v>0</v>
      </c>
      <c r="D78" s="653">
        <f>$B$55</f>
        <v>0</v>
      </c>
      <c r="E78" s="653">
        <f>$B$55</f>
        <v>0</v>
      </c>
      <c r="F78" s="653">
        <f>$B$55</f>
        <v>0</v>
      </c>
      <c r="G78" s="2835">
        <f>$B$55</f>
        <v>0</v>
      </c>
    </row>
    <row r="79" spans="1:7">
      <c r="A79" s="2837" t="str">
        <f>A57</f>
        <v>Inmovilizado Intangible</v>
      </c>
      <c r="B79" s="2838">
        <f>+'Bal. Inicial Previo'!D10</f>
        <v>0</v>
      </c>
      <c r="C79" s="2838">
        <f>$B$63</f>
        <v>0</v>
      </c>
      <c r="D79" s="653">
        <f>$B$63</f>
        <v>0</v>
      </c>
      <c r="E79" s="653">
        <f>$B$63</f>
        <v>0</v>
      </c>
      <c r="F79" s="653">
        <f>$B$63</f>
        <v>0</v>
      </c>
      <c r="G79" s="2835">
        <f>$B$63</f>
        <v>0</v>
      </c>
    </row>
    <row r="80" spans="1:7" ht="16.5" thickBot="1">
      <c r="A80" s="2839" t="s">
        <v>1103</v>
      </c>
      <c r="B80" s="2840">
        <f t="shared" ref="B80:G80" si="0">SUM(B71:B79)</f>
        <v>0</v>
      </c>
      <c r="C80" s="2840">
        <f t="shared" si="0"/>
        <v>0</v>
      </c>
      <c r="D80" s="2841">
        <f t="shared" si="0"/>
        <v>0</v>
      </c>
      <c r="E80" s="2841">
        <f t="shared" si="0"/>
        <v>0</v>
      </c>
      <c r="F80" s="2841">
        <f t="shared" si="0"/>
        <v>0</v>
      </c>
      <c r="G80" s="2840">
        <f t="shared" si="0"/>
        <v>0</v>
      </c>
    </row>
    <row r="81" spans="1:7" ht="16.5" thickBot="1">
      <c r="A81" s="2842"/>
      <c r="C81" s="1"/>
      <c r="G81" s="2843"/>
    </row>
    <row r="82" spans="1:7" ht="16.5" thickBot="1">
      <c r="A82" s="1631" t="s">
        <v>1104</v>
      </c>
      <c r="B82" s="2844">
        <f>+'Bal. Inicial Previo'!D22-'Bal. Inicial Previo'!D31+'Bal. Inicial Previo'!D17</f>
        <v>0</v>
      </c>
      <c r="C82" s="2844">
        <f t="array" aca="1" ref="C82:G82" ca="1">'Inversiones AC'!B46:F46</f>
        <v>0</v>
      </c>
      <c r="D82" s="2845">
        <f ca="1"/>
        <v>0</v>
      </c>
      <c r="E82" s="2845">
        <f ca="1"/>
        <v>0</v>
      </c>
      <c r="F82" s="2845">
        <f ca="1"/>
        <v>0</v>
      </c>
      <c r="G82" s="2844">
        <f ca="1"/>
        <v>0</v>
      </c>
    </row>
    <row r="83" spans="1:7" ht="16.5" thickBot="1">
      <c r="A83" s="2842"/>
      <c r="C83" s="1"/>
      <c r="G83" s="2843"/>
    </row>
    <row r="84" spans="1:7" ht="16.5" thickBot="1">
      <c r="A84" s="1631" t="s">
        <v>1106</v>
      </c>
      <c r="B84" s="2846">
        <f>+'Bal. Inicial Previo'!D31</f>
        <v>0</v>
      </c>
      <c r="C84" s="2846">
        <f t="array" ref="C84:G84" ca="1">'Inversiones AC'!B48:F48</f>
        <v>2000</v>
      </c>
      <c r="D84" s="2847">
        <f ca="1"/>
        <v>0</v>
      </c>
      <c r="E84" s="2847">
        <f ca="1"/>
        <v>0</v>
      </c>
      <c r="F84" s="2847">
        <f ca="1"/>
        <v>0</v>
      </c>
      <c r="G84" s="2846">
        <f ca="1"/>
        <v>0</v>
      </c>
    </row>
    <row r="85" spans="1:7" ht="16.5" thickBot="1">
      <c r="A85" s="2842"/>
      <c r="C85" s="1"/>
      <c r="G85" s="2843"/>
    </row>
    <row r="86" spans="1:7" ht="16.5" thickBot="1">
      <c r="A86" s="1631" t="s">
        <v>1105</v>
      </c>
      <c r="B86" s="2846">
        <f>+B84+B82+B80</f>
        <v>0</v>
      </c>
      <c r="C86" s="2846">
        <f t="array" ref="C86:G86" ca="1">C80:G80+C82:G82+C84:G84</f>
        <v>2000</v>
      </c>
      <c r="D86" s="2847">
        <f ca="1"/>
        <v>0</v>
      </c>
      <c r="E86" s="2847">
        <f ca="1"/>
        <v>0</v>
      </c>
      <c r="F86" s="2847">
        <f ca="1"/>
        <v>0</v>
      </c>
      <c r="G86" s="2846">
        <f ca="1"/>
        <v>0</v>
      </c>
    </row>
  </sheetData>
  <sheetProtection sheet="1" objects="1" scenarios="1"/>
  <phoneticPr fontId="6" type="noConversion"/>
  <printOptions horizontalCentered="1"/>
  <pageMargins left="0.78740157480314965" right="0.56000000000000005" top="0.4" bottom="0.39" header="0" footer="0"/>
  <pageSetup paperSize="9" scale="83"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0">
    <tabColor indexed="43"/>
    <pageSetUpPr fitToPage="1"/>
  </sheetPr>
  <dimension ref="A1:O60"/>
  <sheetViews>
    <sheetView workbookViewId="0"/>
  </sheetViews>
  <sheetFormatPr baseColWidth="10" defaultColWidth="11" defaultRowHeight="12.75"/>
  <cols>
    <col min="1" max="1" width="29.25" style="87" customWidth="1"/>
    <col min="2" max="2" width="12" style="87" customWidth="1"/>
    <col min="3" max="3" width="11.875" style="87" customWidth="1"/>
    <col min="4" max="4" width="13.125" style="87" customWidth="1"/>
    <col min="5" max="5" width="13.5" style="87" customWidth="1"/>
    <col min="6" max="6" width="12" style="87" bestFit="1" customWidth="1"/>
    <col min="7" max="7" width="11.75" style="87" customWidth="1"/>
    <col min="8" max="8" width="12.25" style="87" bestFit="1" customWidth="1"/>
    <col min="9" max="9" width="11.75" style="87" bestFit="1" customWidth="1"/>
    <col min="10" max="10" width="12.125" style="87" customWidth="1"/>
    <col min="11" max="11" width="12.25" style="87" bestFit="1" customWidth="1"/>
    <col min="12" max="12" width="12" style="87" bestFit="1" customWidth="1"/>
    <col min="13" max="13" width="11.625" style="87" bestFit="1" customWidth="1"/>
    <col min="14" max="14" width="12" style="87" bestFit="1" customWidth="1"/>
    <col min="15" max="15" width="12.125" style="279" bestFit="1" customWidth="1"/>
    <col min="16" max="16384" width="11" style="87"/>
  </cols>
  <sheetData>
    <row r="1" spans="1:15" ht="22.5">
      <c r="A1" s="294" t="str">
        <f>'Tesorería 0'!A1</f>
        <v>Previsiones de Cobros y Pagos: Previsiones de Tesorería</v>
      </c>
      <c r="B1" s="275"/>
      <c r="E1" s="277"/>
      <c r="F1" s="2700" t="str">
        <f>Parametros!F$77</f>
        <v>Año 4:  2030</v>
      </c>
      <c r="G1" s="296"/>
      <c r="H1" s="277"/>
      <c r="I1" s="161"/>
      <c r="J1" s="278"/>
      <c r="K1" s="161"/>
    </row>
    <row r="2" spans="1:15" ht="25.5">
      <c r="A2" s="295" t="str">
        <f>'Datos Básicos'!B9</f>
        <v>nombre empresa</v>
      </c>
      <c r="B2" s="280"/>
      <c r="D2" s="274"/>
      <c r="F2" s="277"/>
      <c r="G2" s="161"/>
      <c r="H2" s="161"/>
      <c r="I2" s="161"/>
      <c r="J2" s="161"/>
      <c r="K2" s="161"/>
    </row>
    <row r="3" spans="1:15" ht="15.75" thickBot="1">
      <c r="A3" s="35"/>
      <c r="B3" s="35"/>
    </row>
    <row r="4" spans="1:15" s="281" customFormat="1" ht="18" customHeight="1" thickBot="1">
      <c r="A4" s="314" t="s">
        <v>0</v>
      </c>
      <c r="B4" s="297"/>
      <c r="C4" s="298" t="str">
        <f t="array" ref="C4:N4">meses</f>
        <v>enero</v>
      </c>
      <c r="D4" s="298" t="str">
        <v>febrero</v>
      </c>
      <c r="E4" s="298" t="str">
        <v>marzo</v>
      </c>
      <c r="F4" s="298" t="str">
        <v>abril</v>
      </c>
      <c r="G4" s="298" t="str">
        <v>mayo</v>
      </c>
      <c r="H4" s="298" t="str">
        <v>junio</v>
      </c>
      <c r="I4" s="298" t="str">
        <v>julio</v>
      </c>
      <c r="J4" s="298" t="str">
        <v>agosto</v>
      </c>
      <c r="K4" s="298" t="str">
        <v>septiembre</v>
      </c>
      <c r="L4" s="298" t="str">
        <v>octubre</v>
      </c>
      <c r="M4" s="298" t="str">
        <v>noviembre</v>
      </c>
      <c r="N4" s="302" t="str">
        <v>diciembre</v>
      </c>
      <c r="O4" s="303" t="s">
        <v>11</v>
      </c>
    </row>
    <row r="5" spans="1:15" s="281" customFormat="1" ht="18" customHeight="1" thickBot="1">
      <c r="A5" s="301" t="str">
        <f t="array" ref="A5:A11">'Resumen Tesorerias'!A4:A10</f>
        <v>COBROS</v>
      </c>
      <c r="B5" s="282"/>
      <c r="C5" s="282"/>
      <c r="D5" s="282"/>
      <c r="E5" s="282"/>
      <c r="F5" s="282"/>
      <c r="G5" s="282"/>
      <c r="H5" s="282"/>
      <c r="I5" s="282"/>
      <c r="J5" s="282"/>
      <c r="K5" s="282"/>
      <c r="L5" s="282"/>
      <c r="M5" s="282"/>
      <c r="O5" s="304"/>
    </row>
    <row r="6" spans="1:15" ht="21" customHeight="1">
      <c r="A6" s="1177" t="str">
        <v>Cobro de ventas</v>
      </c>
      <c r="B6" s="318"/>
      <c r="C6" s="1207">
        <f t="array" aca="1" ref="C6:N6" ca="1">'Cobros y pagos 4'!B28:M28</f>
        <v>3702.1590759999999</v>
      </c>
      <c r="D6" s="1207">
        <f ca="1"/>
        <v>4627.6988450000008</v>
      </c>
      <c r="E6" s="1207">
        <f ca="1"/>
        <v>5090.4687295000003</v>
      </c>
      <c r="F6" s="1207">
        <f ca="1"/>
        <v>4859.0837872499997</v>
      </c>
      <c r="G6" s="1207">
        <f ca="1"/>
        <v>4164.9289605000004</v>
      </c>
      <c r="H6" s="1207">
        <f ca="1"/>
        <v>3933.5440182500001</v>
      </c>
      <c r="I6" s="1207">
        <f ca="1"/>
        <v>3702.1590759999999</v>
      </c>
      <c r="J6" s="1207">
        <f ca="1"/>
        <v>2776.6193069999999</v>
      </c>
      <c r="K6" s="1207">
        <f ca="1"/>
        <v>3702.1590759999999</v>
      </c>
      <c r="L6" s="1207">
        <f ca="1"/>
        <v>4396.3139027500001</v>
      </c>
      <c r="M6" s="1207">
        <f ca="1"/>
        <v>4627.6988450000008</v>
      </c>
      <c r="N6" s="1208">
        <f ca="1"/>
        <v>5553.2386139999999</v>
      </c>
      <c r="O6" s="1209">
        <f t="shared" ref="O6:O11" ca="1" si="0">SUM(C6:N6)</f>
        <v>51136.072237249995</v>
      </c>
    </row>
    <row r="7" spans="1:15" ht="21" customHeight="1">
      <c r="A7" s="1176" t="str">
        <v>Cobros pendientes / Cobros en mora</v>
      </c>
      <c r="B7" s="283"/>
      <c r="C7" s="1211">
        <f t="array" aca="1" ref="C7:N7" ca="1">+recmorosos*'Cobros y pagos 3'!$S$31/12
+Financiación!$H$19*Parametros!B57:M57</f>
        <v>0</v>
      </c>
      <c r="D7" s="1211">
        <f ca="1"/>
        <v>0</v>
      </c>
      <c r="E7" s="1211">
        <f ca="1"/>
        <v>0</v>
      </c>
      <c r="F7" s="1211">
        <f ca="1"/>
        <v>0</v>
      </c>
      <c r="G7" s="1211">
        <f ca="1"/>
        <v>0</v>
      </c>
      <c r="H7" s="1211">
        <f ca="1"/>
        <v>0</v>
      </c>
      <c r="I7" s="1211">
        <f ca="1"/>
        <v>0</v>
      </c>
      <c r="J7" s="1211">
        <f ca="1"/>
        <v>0</v>
      </c>
      <c r="K7" s="1211">
        <f ca="1"/>
        <v>0</v>
      </c>
      <c r="L7" s="1211">
        <f ca="1"/>
        <v>0</v>
      </c>
      <c r="M7" s="1211">
        <f ca="1"/>
        <v>0</v>
      </c>
      <c r="N7" s="1212">
        <f ca="1"/>
        <v>0</v>
      </c>
      <c r="O7" s="1213">
        <f t="shared" ca="1" si="0"/>
        <v>0</v>
      </c>
    </row>
    <row r="8" spans="1:15" ht="21" customHeight="1">
      <c r="A8" s="1176" t="str">
        <v>Otras entradas</v>
      </c>
      <c r="B8" s="319"/>
      <c r="C8" s="1210">
        <v>0</v>
      </c>
      <c r="D8" s="1211">
        <v>0</v>
      </c>
      <c r="E8" s="1211">
        <v>0</v>
      </c>
      <c r="F8" s="1211">
        <v>0</v>
      </c>
      <c r="G8" s="1211">
        <v>0</v>
      </c>
      <c r="H8" s="1211">
        <v>0</v>
      </c>
      <c r="I8" s="1211">
        <v>0</v>
      </c>
      <c r="J8" s="1211">
        <f ca="1">IF('IRPF Prof y Autónomos'!N25&lt;0,-'IRPF Prof y Autónomos'!N25*'IRPF Prof y Autónomos'!N19,0)</f>
        <v>132.99704984772688</v>
      </c>
      <c r="K8" s="1211">
        <v>0</v>
      </c>
      <c r="L8" s="1211">
        <v>0</v>
      </c>
      <c r="M8" s="1211">
        <v>0</v>
      </c>
      <c r="N8" s="1212">
        <f>IF(Imp.Sociedades!$J$23&lt;0,-Imp.Sociedades!$J$23,0)</f>
        <v>0</v>
      </c>
      <c r="O8" s="1213">
        <f t="shared" ca="1" si="0"/>
        <v>132.99704984772688</v>
      </c>
    </row>
    <row r="9" spans="1:15" ht="21" customHeight="1">
      <c r="A9" s="1176" t="str">
        <v>Devoluciones de IVA</v>
      </c>
      <c r="B9" s="319"/>
      <c r="C9" s="1211">
        <f t="array" ref="C9:N9">'IVA 4'!C26:N26</f>
        <v>0</v>
      </c>
      <c r="D9" s="1211">
        <v>0</v>
      </c>
      <c r="E9" s="1211">
        <v>0</v>
      </c>
      <c r="F9" s="1211">
        <v>0</v>
      </c>
      <c r="G9" s="1211">
        <v>0</v>
      </c>
      <c r="H9" s="1211">
        <f ca="1"/>
        <v>0</v>
      </c>
      <c r="I9" s="1211">
        <v>0</v>
      </c>
      <c r="J9" s="1211">
        <v>0</v>
      </c>
      <c r="K9" s="1211">
        <v>0</v>
      </c>
      <c r="L9" s="1211">
        <v>0</v>
      </c>
      <c r="M9" s="1211">
        <v>0</v>
      </c>
      <c r="N9" s="1212">
        <v>0</v>
      </c>
      <c r="O9" s="1213">
        <f t="shared" ca="1" si="0"/>
        <v>0</v>
      </c>
    </row>
    <row r="10" spans="1:15" ht="21" customHeight="1">
      <c r="A10" s="1176" t="str">
        <v>Ingresos financieros</v>
      </c>
      <c r="B10" s="319"/>
      <c r="C10" s="1211">
        <f t="array" ref="C10:N10" ca="1">'Gastos Financieros'!C107:N107</f>
        <v>0</v>
      </c>
      <c r="D10" s="1211">
        <f ca="1"/>
        <v>0</v>
      </c>
      <c r="E10" s="1211">
        <f ca="1"/>
        <v>0</v>
      </c>
      <c r="F10" s="1211">
        <f ca="1"/>
        <v>0</v>
      </c>
      <c r="G10" s="1211">
        <f ca="1"/>
        <v>0</v>
      </c>
      <c r="H10" s="1211">
        <f ca="1"/>
        <v>0</v>
      </c>
      <c r="I10" s="1211">
        <f ca="1"/>
        <v>0</v>
      </c>
      <c r="J10" s="1211">
        <f ca="1"/>
        <v>0</v>
      </c>
      <c r="K10" s="1211">
        <f ca="1"/>
        <v>0</v>
      </c>
      <c r="L10" s="1211">
        <f ca="1"/>
        <v>0</v>
      </c>
      <c r="M10" s="1211">
        <f ca="1"/>
        <v>0</v>
      </c>
      <c r="N10" s="1212">
        <f ca="1"/>
        <v>0</v>
      </c>
      <c r="O10" s="1213">
        <f t="shared" ca="1" si="0"/>
        <v>0</v>
      </c>
    </row>
    <row r="11" spans="1:15" s="279" customFormat="1" ht="21" customHeight="1" thickBot="1">
      <c r="A11" s="317" t="str">
        <v>Total COBROS</v>
      </c>
      <c r="B11" s="284"/>
      <c r="C11" s="1214">
        <f t="shared" ref="C11:N11" ca="1" si="1">SUM(C6:C10)</f>
        <v>3702.1590759999999</v>
      </c>
      <c r="D11" s="1214">
        <f t="shared" ca="1" si="1"/>
        <v>4627.6988450000008</v>
      </c>
      <c r="E11" s="1214">
        <f t="shared" ca="1" si="1"/>
        <v>5090.4687295000003</v>
      </c>
      <c r="F11" s="1214">
        <f t="shared" ca="1" si="1"/>
        <v>4859.0837872499997</v>
      </c>
      <c r="G11" s="1214">
        <f t="shared" ca="1" si="1"/>
        <v>4164.9289605000004</v>
      </c>
      <c r="H11" s="1214">
        <f t="shared" ca="1" si="1"/>
        <v>3933.5440182500001</v>
      </c>
      <c r="I11" s="1214">
        <f t="shared" ca="1" si="1"/>
        <v>3702.1590759999999</v>
      </c>
      <c r="J11" s="1214">
        <f t="shared" ca="1" si="1"/>
        <v>2909.6163568477268</v>
      </c>
      <c r="K11" s="1214">
        <f t="shared" ca="1" si="1"/>
        <v>3702.1590759999999</v>
      </c>
      <c r="L11" s="1214">
        <f t="shared" ca="1" si="1"/>
        <v>4396.3139027500001</v>
      </c>
      <c r="M11" s="1214">
        <f t="shared" ca="1" si="1"/>
        <v>4627.6988450000008</v>
      </c>
      <c r="N11" s="1215">
        <f t="shared" ca="1" si="1"/>
        <v>5553.2386139999999</v>
      </c>
      <c r="O11" s="1216">
        <f t="shared" ca="1" si="0"/>
        <v>51269.069287097729</v>
      </c>
    </row>
    <row r="12" spans="1:15" s="279" customFormat="1" ht="9.75" customHeight="1">
      <c r="A12" s="299"/>
      <c r="B12" s="285"/>
      <c r="C12" s="285"/>
      <c r="D12" s="285"/>
      <c r="E12" s="285"/>
      <c r="F12" s="285"/>
      <c r="G12" s="285"/>
      <c r="H12" s="285"/>
      <c r="I12" s="285"/>
      <c r="J12" s="285"/>
      <c r="K12" s="285"/>
      <c r="L12" s="285"/>
      <c r="M12" s="285"/>
      <c r="N12" s="285"/>
      <c r="O12" s="305"/>
    </row>
    <row r="13" spans="1:15" s="279" customFormat="1" ht="21" customHeight="1" thickBot="1">
      <c r="A13" s="301" t="s">
        <v>87</v>
      </c>
      <c r="B13" s="286"/>
      <c r="C13" s="286"/>
      <c r="D13" s="286"/>
      <c r="E13" s="286"/>
      <c r="F13" s="286"/>
      <c r="G13" s="286"/>
      <c r="H13" s="286"/>
      <c r="I13" s="286"/>
      <c r="J13" s="286"/>
      <c r="K13" s="286"/>
      <c r="L13" s="286"/>
      <c r="M13" s="286"/>
      <c r="N13" s="286"/>
      <c r="O13" s="306"/>
    </row>
    <row r="14" spans="1:15" s="293" customFormat="1" ht="21" customHeight="1">
      <c r="A14" s="1201" t="str">
        <f t="array" ref="A14:A17">'Resumen Tesorerias'!A13:A16</f>
        <v>Pagos de Gastos Fijos ( IVA incl.)</v>
      </c>
      <c r="B14" s="1195"/>
      <c r="C14" s="1217">
        <f ca="1">'G.F. 4'!B58+'G.F. 4'!B60</f>
        <v>2328.2090525412332</v>
      </c>
      <c r="D14" s="1217">
        <f ca="1">'G.F. 4'!C58+'G.F. 4'!C60</f>
        <v>2328.2090525412332</v>
      </c>
      <c r="E14" s="1217">
        <f ca="1">'G.F. 4'!D58+'G.F. 4'!D60</f>
        <v>2328.2090525412332</v>
      </c>
      <c r="F14" s="1217">
        <f ca="1">'G.F. 4'!E58+'G.F. 4'!E60</f>
        <v>2328.2090525412332</v>
      </c>
      <c r="G14" s="1217">
        <f ca="1">'G.F. 4'!F58+'G.F. 4'!F60</f>
        <v>2328.2090525412332</v>
      </c>
      <c r="H14" s="1217">
        <f ca="1">'G.F. 4'!G58+'G.F. 4'!G60</f>
        <v>2328.2090525412332</v>
      </c>
      <c r="I14" s="1217">
        <f ca="1">'G.F. 4'!H58+'G.F. 4'!H60</f>
        <v>2328.2090525412332</v>
      </c>
      <c r="J14" s="1217">
        <f ca="1">'G.F. 4'!I58+'G.F. 4'!I60</f>
        <v>2328.2090525412332</v>
      </c>
      <c r="K14" s="1217">
        <f ca="1">'G.F. 4'!J58+'G.F. 4'!J60</f>
        <v>2328.2090525412332</v>
      </c>
      <c r="L14" s="1217">
        <f ca="1">'G.F. 4'!K58+'G.F. 4'!K60</f>
        <v>2328.2090525412332</v>
      </c>
      <c r="M14" s="1217">
        <f ca="1">'G.F. 4'!L58+'G.F. 4'!L60</f>
        <v>2328.2090525412332</v>
      </c>
      <c r="N14" s="1218">
        <f ca="1">'G.F. 4'!M58+'G.F. 4'!M60</f>
        <v>2328.2090525412332</v>
      </c>
      <c r="O14" s="1219">
        <f ca="1">SUM(C14:N14)</f>
        <v>27938.508630494805</v>
      </c>
    </row>
    <row r="15" spans="1:15" s="292" customFormat="1" ht="21" customHeight="1">
      <c r="A15" s="1202" t="str">
        <v>Pago de compras y Costes Variables  ( IVA incl.)</v>
      </c>
      <c r="B15" s="1196"/>
      <c r="C15" s="1220">
        <f t="array" aca="1" ref="C15:N15" ca="1">'Cobros y pagos 4'!B55:M55</f>
        <v>370.21590760000004</v>
      </c>
      <c r="D15" s="1220">
        <f ca="1"/>
        <v>462.7698845000001</v>
      </c>
      <c r="E15" s="1220">
        <f ca="1"/>
        <v>509.04687295000008</v>
      </c>
      <c r="F15" s="1220">
        <f ca="1"/>
        <v>485.90837872499992</v>
      </c>
      <c r="G15" s="1220">
        <f ca="1"/>
        <v>416.49289605000007</v>
      </c>
      <c r="H15" s="1220">
        <f ca="1"/>
        <v>393.35440182500002</v>
      </c>
      <c r="I15" s="1220">
        <f ca="1"/>
        <v>370.21590760000004</v>
      </c>
      <c r="J15" s="1220">
        <f ca="1"/>
        <v>277.66193070000003</v>
      </c>
      <c r="K15" s="1220">
        <f ca="1"/>
        <v>370.21590760000004</v>
      </c>
      <c r="L15" s="1220">
        <f ca="1"/>
        <v>439.63139027500006</v>
      </c>
      <c r="M15" s="1220">
        <f ca="1"/>
        <v>462.7698845000001</v>
      </c>
      <c r="N15" s="1221">
        <f ca="1"/>
        <v>555.32386140000006</v>
      </c>
      <c r="O15" s="1222">
        <f ca="1">SUM(C15:N15)</f>
        <v>5113.607223725</v>
      </c>
    </row>
    <row r="16" spans="1:15" s="292" customFormat="1" ht="21" customHeight="1">
      <c r="A16" s="1202" t="str">
        <v>Pagos de Gastos Financieros</v>
      </c>
      <c r="B16" s="1196"/>
      <c r="C16" s="1220">
        <f t="array" ref="C16:N16" ca="1">'Gastos Financieros'!C79:N79+'Gastos Financieros'!C75:N75*Parametros!$F$33*0</f>
        <v>185.10795380000002</v>
      </c>
      <c r="D16" s="1220">
        <f ca="1"/>
        <v>231.38494225000005</v>
      </c>
      <c r="E16" s="1220">
        <f ca="1"/>
        <v>254.52343647500004</v>
      </c>
      <c r="F16" s="1220">
        <f ca="1"/>
        <v>242.95418936249999</v>
      </c>
      <c r="G16" s="1220">
        <f ca="1"/>
        <v>208.24644802500003</v>
      </c>
      <c r="H16" s="1220">
        <f ca="1"/>
        <v>196.67720091250001</v>
      </c>
      <c r="I16" s="1220">
        <f ca="1"/>
        <v>185.10795380000002</v>
      </c>
      <c r="J16" s="1220">
        <f ca="1"/>
        <v>138.83096535000001</v>
      </c>
      <c r="K16" s="1220">
        <f ca="1"/>
        <v>185.10795380000002</v>
      </c>
      <c r="L16" s="1220">
        <f ca="1"/>
        <v>219.81569513750003</v>
      </c>
      <c r="M16" s="1220">
        <f ca="1"/>
        <v>231.38494225000005</v>
      </c>
      <c r="N16" s="1221">
        <f ca="1"/>
        <v>277.66193070000003</v>
      </c>
      <c r="O16" s="1222">
        <f ca="1">SUM(C16:N16)</f>
        <v>2556.8036118625</v>
      </c>
    </row>
    <row r="17" spans="1:15" s="292" customFormat="1" ht="21" customHeight="1">
      <c r="A17" s="1202" t="str">
        <v>Pagos de IVA de cuotas de Leasing / Renting</v>
      </c>
      <c r="B17" s="1196"/>
      <c r="C17" s="1220">
        <f t="array" ref="C17:N17">+Leasing!B56:M56+Renting!B52:M56</f>
        <v>0</v>
      </c>
      <c r="D17" s="1220">
        <v>0</v>
      </c>
      <c r="E17" s="1220">
        <v>0</v>
      </c>
      <c r="F17" s="1220">
        <v>0</v>
      </c>
      <c r="G17" s="1220">
        <v>0</v>
      </c>
      <c r="H17" s="1220">
        <v>0</v>
      </c>
      <c r="I17" s="1220">
        <v>0</v>
      </c>
      <c r="J17" s="1220">
        <v>0</v>
      </c>
      <c r="K17" s="1220">
        <v>0</v>
      </c>
      <c r="L17" s="1220">
        <v>0</v>
      </c>
      <c r="M17" s="1220">
        <v>0</v>
      </c>
      <c r="N17" s="1221">
        <v>0</v>
      </c>
      <c r="O17" s="1222">
        <f>SUM(C17:N17)</f>
        <v>0</v>
      </c>
    </row>
    <row r="18" spans="1:15" s="292" customFormat="1" ht="9.75" customHeight="1">
      <c r="A18" s="1203"/>
      <c r="C18" s="1751"/>
      <c r="D18" s="1752"/>
      <c r="E18" s="1753"/>
      <c r="F18" s="1752"/>
      <c r="G18" s="1752"/>
      <c r="H18" s="1752"/>
      <c r="I18" s="1752"/>
      <c r="J18" s="1752"/>
      <c r="K18" s="1752"/>
      <c r="L18" s="1752"/>
      <c r="M18" s="1752"/>
      <c r="N18" s="1754"/>
      <c r="O18" s="1755"/>
    </row>
    <row r="19" spans="1:15" s="292" customFormat="1" ht="21" customHeight="1">
      <c r="A19" s="1205" t="s">
        <v>395</v>
      </c>
      <c r="B19" s="1197"/>
      <c r="C19" s="1223"/>
      <c r="D19" s="1224"/>
      <c r="E19" s="1225"/>
      <c r="F19" s="1224"/>
      <c r="G19" s="1224"/>
      <c r="H19" s="1224"/>
      <c r="I19" s="1224"/>
      <c r="J19" s="1224"/>
      <c r="K19" s="1224"/>
      <c r="L19" s="1224"/>
      <c r="M19" s="1224"/>
      <c r="N19" s="1226"/>
      <c r="O19" s="1227"/>
    </row>
    <row r="20" spans="1:15" s="292" customFormat="1" ht="21" customHeight="1">
      <c r="A20" s="1202" t="str">
        <f t="array" ref="A20:A25">'Resumen Tesorerias'!A17:A22</f>
        <v>Devolución de principal de préstamos / Leasing</v>
      </c>
      <c r="B20" s="1196"/>
      <c r="C20" s="1220">
        <f t="array" ref="C20:N20">Préstamos!B56:M56+Leasing!B55:M55</f>
        <v>0</v>
      </c>
      <c r="D20" s="1220">
        <v>0</v>
      </c>
      <c r="E20" s="1220">
        <v>0</v>
      </c>
      <c r="F20" s="1220">
        <v>0</v>
      </c>
      <c r="G20" s="1220">
        <v>0</v>
      </c>
      <c r="H20" s="1220">
        <v>0</v>
      </c>
      <c r="I20" s="1220">
        <v>0</v>
      </c>
      <c r="J20" s="1220">
        <v>0</v>
      </c>
      <c r="K20" s="1220">
        <v>0</v>
      </c>
      <c r="L20" s="1220">
        <v>0</v>
      </c>
      <c r="M20" s="1220">
        <v>0</v>
      </c>
      <c r="N20" s="1221">
        <v>0</v>
      </c>
      <c r="O20" s="1222">
        <f>SUM(C20:N20)</f>
        <v>0</v>
      </c>
    </row>
    <row r="21" spans="1:15" s="292" customFormat="1" ht="21" customHeight="1">
      <c r="A21" s="1202" t="str">
        <v>Otras salidas de caja</v>
      </c>
      <c r="B21" s="1196"/>
      <c r="C21" s="1220">
        <v>0</v>
      </c>
      <c r="D21" s="1220">
        <v>0</v>
      </c>
      <c r="E21" s="1220">
        <v>0</v>
      </c>
      <c r="F21" s="1220">
        <v>0</v>
      </c>
      <c r="G21" s="1220">
        <v>0</v>
      </c>
      <c r="H21" s="1220">
        <v>0</v>
      </c>
      <c r="I21" s="1220">
        <v>0</v>
      </c>
      <c r="J21" s="1220">
        <v>0</v>
      </c>
      <c r="K21" s="1220">
        <v>0</v>
      </c>
      <c r="L21" s="1220">
        <v>0</v>
      </c>
      <c r="M21" s="1220">
        <v>0</v>
      </c>
      <c r="N21" s="1221">
        <v>0</v>
      </c>
      <c r="O21" s="1222">
        <f>SUM(C21:N21)</f>
        <v>0</v>
      </c>
    </row>
    <row r="22" spans="1:15" s="292" customFormat="1" ht="21" customHeight="1">
      <c r="A22" s="1202" t="str">
        <v>Liquidaciones de IVA</v>
      </c>
      <c r="B22" s="1196"/>
      <c r="C22" s="1220">
        <f t="array" ref="C22:N22" ca="1">'IVA 4'!C24:N24</f>
        <v>2117.9681436518181</v>
      </c>
      <c r="D22" s="1220">
        <v>0</v>
      </c>
      <c r="E22" s="1220">
        <v>0</v>
      </c>
      <c r="F22" s="1220">
        <f ca="1"/>
        <v>2000.7325397053905</v>
      </c>
      <c r="G22" s="1220">
        <v>0</v>
      </c>
      <c r="H22" s="1220">
        <v>0</v>
      </c>
      <c r="I22" s="1220">
        <f ca="1"/>
        <v>1928.4486486553908</v>
      </c>
      <c r="J22" s="1220">
        <v>0</v>
      </c>
      <c r="K22" s="1220">
        <v>0</v>
      </c>
      <c r="L22" s="1220">
        <f ca="1"/>
        <v>1494.7453023553908</v>
      </c>
      <c r="M22" s="1220">
        <v>0</v>
      </c>
      <c r="N22" s="1221">
        <v>0</v>
      </c>
      <c r="O22" s="1222">
        <f ca="1">SUM(C22:N22)</f>
        <v>7541.89463436799</v>
      </c>
    </row>
    <row r="23" spans="1:15" s="292" customFormat="1" ht="21" customHeight="1">
      <c r="A23" s="1202" t="str">
        <v>Otros pagos (I.R.P.F. / I.S. )</v>
      </c>
      <c r="B23" s="1196"/>
      <c r="C23" s="1220">
        <f ca="1">'Ret IRPF'!N40</f>
        <v>1641.5858055136364</v>
      </c>
      <c r="D23" s="1220"/>
      <c r="E23" s="1220"/>
      <c r="F23" s="1220">
        <f ca="1">Imp.Sociedades!M18+'Ret IRPF'!E49</f>
        <v>1537.2562951191821</v>
      </c>
      <c r="G23" s="1220"/>
      <c r="H23" s="1220">
        <f ca="1">IF('IRPF Prof y Autónomos'!N25&lt;0,0,'IRPF Prof y Autónomos'!N25*'IRPF Prof y Autónomos'!N19)</f>
        <v>0</v>
      </c>
      <c r="I23" s="1220">
        <f ca="1">IF(Imp.Sociedades!J23&gt;0,Imp.Sociedades!J23,0)+'Ret IRPF'!H49
+Imp.Sociedades!$J$32/2</f>
        <v>1473.0421929641816</v>
      </c>
      <c r="J23" s="1220"/>
      <c r="K23" s="1220"/>
      <c r="L23" s="1220">
        <f ca="1">Imp.Sociedades!M19+'Ret IRPF'!K49</f>
        <v>1087.757580034182</v>
      </c>
      <c r="M23" s="1220"/>
      <c r="N23" s="1221">
        <f>Imp.Sociedades!M20
+Imp.Sociedades!$J$32/2</f>
        <v>0</v>
      </c>
      <c r="O23" s="1222">
        <f ca="1">SUM(C23:N23)</f>
        <v>5739.6418736311825</v>
      </c>
    </row>
    <row r="24" spans="1:15" s="292" customFormat="1" ht="21" customHeight="1">
      <c r="A24" s="1202" t="str">
        <v>Otros pagos acreedores L/P</v>
      </c>
      <c r="B24" s="1196"/>
      <c r="C24" s="1220">
        <f t="array" ref="C24:N24">'Otros cobros y pagos'!B104:M104</f>
        <v>0</v>
      </c>
      <c r="D24" s="1220">
        <v>0</v>
      </c>
      <c r="E24" s="1220">
        <v>0</v>
      </c>
      <c r="F24" s="1220">
        <v>0</v>
      </c>
      <c r="G24" s="1220">
        <v>0</v>
      </c>
      <c r="H24" s="1220">
        <v>0</v>
      </c>
      <c r="I24" s="1220">
        <v>0</v>
      </c>
      <c r="J24" s="1220">
        <v>0</v>
      </c>
      <c r="K24" s="1220">
        <v>0</v>
      </c>
      <c r="L24" s="1220">
        <v>0</v>
      </c>
      <c r="M24" s="1220">
        <v>0</v>
      </c>
      <c r="N24" s="1221">
        <v>0</v>
      </c>
      <c r="O24" s="1222">
        <f>SUM(C24:N24)</f>
        <v>0</v>
      </c>
    </row>
    <row r="25" spans="1:15" s="293" customFormat="1" ht="21" customHeight="1" thickBot="1">
      <c r="A25" s="1206" t="str">
        <v>Total PAGOS</v>
      </c>
      <c r="B25" s="1200"/>
      <c r="C25" s="1228">
        <f t="shared" ref="C25:N25" ca="1" si="2">SUM(C14:C24)</f>
        <v>6643.0868631066878</v>
      </c>
      <c r="D25" s="1228">
        <f t="shared" ca="1" si="2"/>
        <v>3022.3638792912334</v>
      </c>
      <c r="E25" s="1228">
        <f t="shared" ca="1" si="2"/>
        <v>3091.779361966233</v>
      </c>
      <c r="F25" s="1228">
        <f t="shared" ca="1" si="2"/>
        <v>6595.0604554533065</v>
      </c>
      <c r="G25" s="1228">
        <f t="shared" ca="1" si="2"/>
        <v>2952.9483966162334</v>
      </c>
      <c r="H25" s="1228">
        <f t="shared" ca="1" si="2"/>
        <v>2918.2406552787334</v>
      </c>
      <c r="I25" s="1228">
        <f t="shared" ca="1" si="2"/>
        <v>6285.0237555608055</v>
      </c>
      <c r="J25" s="1228">
        <f t="shared" ca="1" si="2"/>
        <v>2744.7019485912333</v>
      </c>
      <c r="K25" s="1228">
        <f t="shared" ca="1" si="2"/>
        <v>2883.5329139412329</v>
      </c>
      <c r="L25" s="1228">
        <f t="shared" ca="1" si="2"/>
        <v>5570.1590203433061</v>
      </c>
      <c r="M25" s="1228">
        <f t="shared" ca="1" si="2"/>
        <v>3022.3638792912334</v>
      </c>
      <c r="N25" s="1229">
        <f t="shared" ca="1" si="2"/>
        <v>3161.1948446412334</v>
      </c>
      <c r="O25" s="1230">
        <f ca="1">SUM(O14:O24)</f>
        <v>48890.45597408148</v>
      </c>
    </row>
    <row r="26" spans="1:15" s="279" customFormat="1" ht="21" customHeight="1">
      <c r="A26" s="299"/>
      <c r="B26" s="323"/>
      <c r="C26" s="288"/>
      <c r="D26" s="288"/>
      <c r="E26" s="288"/>
      <c r="F26" s="288"/>
      <c r="G26" s="288"/>
      <c r="H26" s="288"/>
      <c r="I26" s="288"/>
      <c r="J26" s="288"/>
      <c r="K26" s="288"/>
      <c r="L26" s="288"/>
      <c r="M26" s="288"/>
      <c r="O26" s="307"/>
    </row>
    <row r="27" spans="1:15" s="279" customFormat="1" ht="21" customHeight="1" thickBot="1">
      <c r="A27" s="299"/>
      <c r="B27" s="287"/>
      <c r="C27" s="288"/>
      <c r="D27" s="288"/>
      <c r="E27" s="288"/>
      <c r="F27" s="288"/>
      <c r="G27" s="288"/>
      <c r="H27" s="288"/>
      <c r="I27" s="288"/>
      <c r="J27" s="288"/>
      <c r="K27" s="288"/>
      <c r="L27" s="288"/>
      <c r="M27" s="288"/>
      <c r="O27" s="307"/>
    </row>
    <row r="28" spans="1:15" s="281" customFormat="1" ht="18" customHeight="1" thickBot="1">
      <c r="A28" s="320" t="str">
        <f t="array" ref="A28:A31">'Tesorería 0'!A28:A31</f>
        <v>Resúmen de tesorería</v>
      </c>
      <c r="B28" s="297"/>
      <c r="C28" s="298" t="str">
        <f t="array" ref="C28:N28">meses</f>
        <v>enero</v>
      </c>
      <c r="D28" s="298" t="str">
        <v>febrero</v>
      </c>
      <c r="E28" s="298" t="str">
        <v>marzo</v>
      </c>
      <c r="F28" s="298" t="str">
        <v>abril</v>
      </c>
      <c r="G28" s="298" t="str">
        <v>mayo</v>
      </c>
      <c r="H28" s="298" t="str">
        <v>junio</v>
      </c>
      <c r="I28" s="298" t="str">
        <v>julio</v>
      </c>
      <c r="J28" s="298" t="str">
        <v>agosto</v>
      </c>
      <c r="K28" s="298" t="str">
        <v>septiembre</v>
      </c>
      <c r="L28" s="298" t="str">
        <v>octubre</v>
      </c>
      <c r="M28" s="298" t="str">
        <v>noviembre</v>
      </c>
      <c r="N28" s="302" t="str">
        <v>diciembre</v>
      </c>
      <c r="O28" s="303" t="str">
        <f>O4</f>
        <v>Total</v>
      </c>
    </row>
    <row r="29" spans="1:15" s="279" customFormat="1" ht="21" customHeight="1" thickBot="1">
      <c r="A29" s="321" t="str">
        <v>Previsiones de cobros por meses</v>
      </c>
      <c r="B29" s="289"/>
      <c r="C29" s="619">
        <f t="array" ref="C29:N29" ca="1">C11:N11</f>
        <v>3702.1590759999999</v>
      </c>
      <c r="D29" s="619">
        <f ca="1"/>
        <v>4627.6988450000008</v>
      </c>
      <c r="E29" s="619">
        <f ca="1"/>
        <v>5090.4687295000003</v>
      </c>
      <c r="F29" s="619">
        <f ca="1"/>
        <v>4859.0837872499997</v>
      </c>
      <c r="G29" s="619">
        <f ca="1"/>
        <v>4164.9289605000004</v>
      </c>
      <c r="H29" s="619">
        <f ca="1"/>
        <v>3933.5440182500001</v>
      </c>
      <c r="I29" s="619">
        <f ca="1"/>
        <v>3702.1590759999999</v>
      </c>
      <c r="J29" s="619">
        <f ca="1"/>
        <v>2909.6163568477268</v>
      </c>
      <c r="K29" s="619">
        <f ca="1"/>
        <v>3702.1590759999999</v>
      </c>
      <c r="L29" s="619">
        <f ca="1"/>
        <v>4396.3139027500001</v>
      </c>
      <c r="M29" s="619">
        <f ca="1"/>
        <v>4627.6988450000008</v>
      </c>
      <c r="N29" s="620">
        <f ca="1"/>
        <v>5553.2386139999999</v>
      </c>
      <c r="O29" s="621">
        <f ca="1">SUM(C29:N29)</f>
        <v>51269.069287097729</v>
      </c>
    </row>
    <row r="30" spans="1:15" s="279" customFormat="1" ht="21" customHeight="1" thickBot="1">
      <c r="A30" s="321" t="str">
        <v>Previsiones de pagos por meses</v>
      </c>
      <c r="B30" s="284"/>
      <c r="C30" s="622">
        <f t="array" ref="C30:N30" ca="1">C25:N25</f>
        <v>6643.0868631066878</v>
      </c>
      <c r="D30" s="622">
        <f ca="1"/>
        <v>3022.3638792912334</v>
      </c>
      <c r="E30" s="622">
        <f ca="1"/>
        <v>3091.779361966233</v>
      </c>
      <c r="F30" s="622">
        <f ca="1"/>
        <v>6595.0604554533065</v>
      </c>
      <c r="G30" s="622">
        <f ca="1"/>
        <v>2952.9483966162334</v>
      </c>
      <c r="H30" s="622">
        <f ca="1"/>
        <v>2918.2406552787334</v>
      </c>
      <c r="I30" s="622">
        <f ca="1"/>
        <v>6285.0237555608055</v>
      </c>
      <c r="J30" s="622">
        <f ca="1"/>
        <v>2744.7019485912333</v>
      </c>
      <c r="K30" s="622">
        <f ca="1"/>
        <v>2883.5329139412329</v>
      </c>
      <c r="L30" s="622">
        <f ca="1"/>
        <v>5570.1590203433061</v>
      </c>
      <c r="M30" s="622">
        <f ca="1"/>
        <v>3022.3638792912334</v>
      </c>
      <c r="N30" s="623">
        <f ca="1"/>
        <v>3161.1948446412334</v>
      </c>
      <c r="O30" s="621">
        <f ca="1">SUM(C30:N30)</f>
        <v>48890.455974081473</v>
      </c>
    </row>
    <row r="31" spans="1:15" s="279" customFormat="1" ht="21" customHeight="1" thickBot="1">
      <c r="A31" s="322" t="str">
        <v>Tesorerías mensuales previstas</v>
      </c>
      <c r="B31" s="289"/>
      <c r="C31" s="624">
        <f t="array" ref="C31:N31" ca="1">C29:N29-C30:N30</f>
        <v>-2940.9277871066879</v>
      </c>
      <c r="D31" s="624">
        <f ca="1"/>
        <v>1605.3349657087674</v>
      </c>
      <c r="E31" s="624">
        <f ca="1"/>
        <v>1998.6893675337674</v>
      </c>
      <c r="F31" s="624">
        <f ca="1"/>
        <v>-1735.9766682033069</v>
      </c>
      <c r="G31" s="624">
        <f ca="1"/>
        <v>1211.980563883767</v>
      </c>
      <c r="H31" s="624">
        <f ca="1"/>
        <v>1015.3033629712668</v>
      </c>
      <c r="I31" s="624">
        <f ca="1"/>
        <v>-2582.8646795608056</v>
      </c>
      <c r="J31" s="624">
        <f ca="1"/>
        <v>164.91440825649352</v>
      </c>
      <c r="K31" s="624">
        <f ca="1"/>
        <v>818.62616205876702</v>
      </c>
      <c r="L31" s="624">
        <f ca="1"/>
        <v>-1173.845117593306</v>
      </c>
      <c r="M31" s="624">
        <f ca="1"/>
        <v>1605.3349657087674</v>
      </c>
      <c r="N31" s="625">
        <f ca="1"/>
        <v>2392.0437693587664</v>
      </c>
      <c r="O31" s="626">
        <f ca="1">O29-O30</f>
        <v>2378.6133130162561</v>
      </c>
    </row>
    <row r="32" spans="1:15" s="279" customFormat="1" ht="21" customHeight="1" thickBot="1">
      <c r="A32" s="324"/>
      <c r="B32" s="289"/>
      <c r="C32" s="290"/>
      <c r="D32" s="290"/>
      <c r="E32" s="290"/>
      <c r="F32" s="290"/>
      <c r="G32" s="290"/>
      <c r="H32" s="290"/>
      <c r="I32" s="290"/>
      <c r="J32" s="290"/>
      <c r="K32" s="290"/>
      <c r="L32" s="290"/>
      <c r="M32" s="290"/>
      <c r="N32" s="627"/>
      <c r="O32" s="628"/>
    </row>
    <row r="33" spans="1:15" s="293" customFormat="1" ht="21" customHeight="1" thickBot="1">
      <c r="A33" s="1192" t="str">
        <f>'Tesorería 0'!A33</f>
        <v>Dispuesto Póliza Crédito</v>
      </c>
      <c r="B33" s="1178">
        <f ca="1">'Tesorería 3'!N33</f>
        <v>0</v>
      </c>
      <c r="C33" s="1179">
        <f ca="1">IF(B35+C31-B33&gt;tesoreriasec,0,MIN(B33-B35-C31+tesoreriasec,Financiación!$H$49))</f>
        <v>0</v>
      </c>
      <c r="D33" s="1180">
        <f ca="1">IF(C35+D31-C33&gt;tesoreriasec,0,MIN(C33-C35-D31+tesoreriasec,Financiación!$H$49))</f>
        <v>0</v>
      </c>
      <c r="E33" s="1180">
        <f ca="1">IF(D35+E31-D33&gt;tesoreriasec,0,MIN(D33-D35-E31+tesoreriasec,Financiación!$H$49))</f>
        <v>0</v>
      </c>
      <c r="F33" s="1180">
        <f ca="1">IF(E35+F31-E33&gt;tesoreriasec,0,MIN(E33-E35-F31+tesoreriasec,Financiación!$H$49))</f>
        <v>0</v>
      </c>
      <c r="G33" s="1180">
        <f ca="1">IF(F35+G31-F33&gt;tesoreriasec,0,MIN(F33-F35-G31+tesoreriasec,Financiación!$H$49))</f>
        <v>0</v>
      </c>
      <c r="H33" s="1180">
        <f ca="1">IF(G35+H31-G33&gt;tesoreriasec,0,MIN(G33-G35-H31+tesoreriasec,Financiación!$H$49))</f>
        <v>0</v>
      </c>
      <c r="I33" s="1180">
        <f ca="1">IF(H35+I31-H33&gt;tesoreriasec,0,MIN(H33-H35-I31+tesoreriasec,Financiación!$H$49))</f>
        <v>0</v>
      </c>
      <c r="J33" s="1180">
        <f ca="1">IF(I35+J31-I33&gt;tesoreriasec,0,MIN(I33-I35-J31+tesoreriasec,Financiación!$H$49))</f>
        <v>0</v>
      </c>
      <c r="K33" s="1180">
        <f ca="1">IF(J35+K31-J33&gt;tesoreriasec,0,MIN(J33-J35-K31+tesoreriasec,Financiación!$H$49))</f>
        <v>0</v>
      </c>
      <c r="L33" s="1180">
        <f ca="1">IF(K35+L31-K33&gt;tesoreriasec,0,MIN(K33-K35-L31+tesoreriasec,Financiación!$H$49))</f>
        <v>0</v>
      </c>
      <c r="M33" s="1180">
        <f ca="1">IF(L35+M31-L33&gt;tesoreriasec,0,MIN(L33-L35-M31+tesoreriasec,Financiación!$H$49))</f>
        <v>0</v>
      </c>
      <c r="N33" s="1181">
        <f ca="1">IF(M35+N31-M33&gt;tesoreriasec,0,MIN(M33-M35-N31+tesoreriasec,Financiación!$H$49))</f>
        <v>0</v>
      </c>
      <c r="O33" s="1182"/>
    </row>
    <row r="34" spans="1:15" s="293" customFormat="1" ht="21" customHeight="1" thickBot="1">
      <c r="A34" s="1193"/>
      <c r="B34" s="1183"/>
      <c r="C34" s="1184"/>
      <c r="D34" s="1184"/>
      <c r="E34" s="1184"/>
      <c r="F34" s="1184"/>
      <c r="G34" s="1184"/>
      <c r="H34" s="1184"/>
      <c r="I34" s="1184"/>
      <c r="J34" s="1184"/>
      <c r="K34" s="1184"/>
      <c r="L34" s="1184"/>
      <c r="M34" s="1184"/>
      <c r="O34" s="1185"/>
    </row>
    <row r="35" spans="1:15" s="293" customFormat="1" ht="21" customHeight="1" thickBot="1">
      <c r="A35" s="1192" t="str">
        <f>'Tesorería 0'!A35</f>
        <v>Tesorería acumulada</v>
      </c>
      <c r="B35" s="1186">
        <f ca="1">'Tesorería 3'!N35-(Financiación!H9-Financiación!H25+Financiación!H19)</f>
        <v>14472.355559701815</v>
      </c>
      <c r="C35" s="1187">
        <f t="array" ref="C35:N35" ca="1">B35:M35+C31:N31+C33:N33-B33:M33</f>
        <v>11531.427772595127</v>
      </c>
      <c r="D35" s="1188">
        <f ca="1"/>
        <v>13136.762738303894</v>
      </c>
      <c r="E35" s="1188">
        <f ca="1"/>
        <v>15135.452105837661</v>
      </c>
      <c r="F35" s="1188">
        <f ca="1"/>
        <v>13399.475437634355</v>
      </c>
      <c r="G35" s="1188">
        <f ca="1"/>
        <v>14611.456001518123</v>
      </c>
      <c r="H35" s="1188">
        <f ca="1"/>
        <v>15626.75936448939</v>
      </c>
      <c r="I35" s="1188">
        <f ca="1"/>
        <v>13043.894684928584</v>
      </c>
      <c r="J35" s="1188">
        <f ca="1"/>
        <v>13208.809093185078</v>
      </c>
      <c r="K35" s="1188">
        <f ca="1"/>
        <v>14027.435255243845</v>
      </c>
      <c r="L35" s="1188">
        <f ca="1"/>
        <v>12853.590137650539</v>
      </c>
      <c r="M35" s="1188">
        <f ca="1"/>
        <v>14458.925103359306</v>
      </c>
      <c r="N35" s="1189">
        <f ca="1"/>
        <v>16850.968872718073</v>
      </c>
      <c r="O35" s="1190"/>
    </row>
    <row r="36" spans="1:15" ht="18.75" customHeight="1">
      <c r="A36" s="4"/>
      <c r="B36" s="4"/>
    </row>
    <row r="37" spans="1:15" ht="18.75" customHeight="1">
      <c r="A37" s="4"/>
      <c r="B37" s="4"/>
    </row>
    <row r="38" spans="1:15" ht="18.75" customHeight="1">
      <c r="A38" s="312"/>
      <c r="B38" s="313"/>
      <c r="C38" s="310" t="str">
        <f t="array" ref="C38:D38">'Tesorería 0'!C38:D38</f>
        <v>Importe</v>
      </c>
      <c r="D38" s="311" t="str">
        <v>mes</v>
      </c>
    </row>
    <row r="39" spans="1:15" s="292" customFormat="1" ht="21" customHeight="1">
      <c r="A39" s="291"/>
      <c r="B39" s="309" t="str">
        <f t="array" ref="B39:B41">'Tesorería 0'!B39:B41</f>
        <v>Máximo descubierto en el año</v>
      </c>
      <c r="C39" s="1695">
        <f ca="1">MAX(C33:N33)*0-MIN(C35:N35,0)</f>
        <v>0</v>
      </c>
      <c r="D39" s="1174" t="str">
        <f ca="1">IF(C39&lt;&gt;0,INDEX(C4:N4,1,MATCH(-C39,C35:N35,0)),"")</f>
        <v/>
      </c>
      <c r="O39" s="293"/>
    </row>
    <row r="40" spans="1:15" s="292" customFormat="1" ht="18.75" customHeight="1">
      <c r="A40" s="291"/>
      <c r="B40" s="309" t="str">
        <v>Flujo de caja del periodo  (Cash Flow)</v>
      </c>
      <c r="C40" s="1696">
        <f ca="1">N35-B35+B33-N33</f>
        <v>2378.613313016258</v>
      </c>
      <c r="D40" s="1173"/>
      <c r="O40" s="293"/>
    </row>
    <row r="41" spans="1:15" s="292" customFormat="1" ht="21" customHeight="1">
      <c r="A41" s="291"/>
      <c r="B41" s="309" t="str">
        <v>Máxima tesorería mensual</v>
      </c>
      <c r="C41" s="1697">
        <f ca="1">MAX(C35:N35)</f>
        <v>16850.968872718073</v>
      </c>
      <c r="D41" s="1174" t="str">
        <f ca="1">INDEX(C4:N4,1,MATCH(C41,C35:N35,0))</f>
        <v>diciembre</v>
      </c>
      <c r="O41" s="293"/>
    </row>
    <row r="42" spans="1:15" ht="18" customHeight="1">
      <c r="A42" s="4"/>
      <c r="B42" s="4"/>
    </row>
    <row r="43" spans="1:15">
      <c r="A43" s="4"/>
      <c r="B43" s="4"/>
    </row>
    <row r="44" spans="1:15" ht="15">
      <c r="A44" s="35"/>
      <c r="B44" s="35"/>
    </row>
    <row r="45" spans="1:15" ht="15">
      <c r="A45" s="35"/>
      <c r="B45" s="35"/>
    </row>
    <row r="46" spans="1:15" ht="15">
      <c r="A46" s="35"/>
      <c r="B46" s="35"/>
    </row>
    <row r="47" spans="1:15" ht="15">
      <c r="A47" s="35"/>
      <c r="B47" s="35"/>
    </row>
    <row r="48" spans="1:15" ht="15">
      <c r="A48" s="35"/>
      <c r="B48" s="35"/>
    </row>
    <row r="49" spans="1:2" ht="15">
      <c r="A49" s="35"/>
      <c r="B49" s="35"/>
    </row>
    <row r="50" spans="1:2" ht="15">
      <c r="A50" s="35"/>
      <c r="B50" s="35"/>
    </row>
    <row r="51" spans="1:2" ht="15">
      <c r="A51" s="35"/>
      <c r="B51" s="35"/>
    </row>
    <row r="52" spans="1:2" ht="15">
      <c r="A52" s="35"/>
      <c r="B52" s="35"/>
    </row>
    <row r="53" spans="1:2" ht="15">
      <c r="A53" s="35"/>
      <c r="B53" s="35"/>
    </row>
    <row r="54" spans="1:2" ht="15">
      <c r="A54" s="35"/>
      <c r="B54" s="35"/>
    </row>
    <row r="55" spans="1:2" ht="15">
      <c r="A55" s="35"/>
      <c r="B55" s="35"/>
    </row>
    <row r="56" spans="1:2" ht="15">
      <c r="A56" s="35"/>
      <c r="B56" s="35"/>
    </row>
    <row r="57" spans="1:2" ht="15">
      <c r="A57" s="35"/>
      <c r="B57" s="35"/>
    </row>
    <row r="58" spans="1:2" ht="15">
      <c r="A58" s="35"/>
      <c r="B58" s="35"/>
    </row>
    <row r="59" spans="1:2" ht="15">
      <c r="A59" s="35"/>
      <c r="B59" s="35"/>
    </row>
    <row r="60" spans="1:2" ht="15">
      <c r="A60" s="35"/>
      <c r="B60" s="35"/>
    </row>
  </sheetData>
  <sheetProtection sheet="1" objects="1" scenarios="1"/>
  <phoneticPr fontId="6" type="noConversion"/>
  <printOptions horizontalCentered="1" verticalCentered="1"/>
  <pageMargins left="0.19685039370078741" right="0.19685039370078741" top="0.39370078740157483" bottom="0.39370078740157483" header="0.11811023622047245" footer="0.11811023622047245"/>
  <pageSetup paperSize="9" scale="64" orientation="landscape" horizontalDpi="300" verticalDpi="300" r:id="rId1"/>
  <headerFooter alignWithMargins="0">
    <oddFooter>&amp;C&amp;"Tahoma,Normal"&amp;10&amp;A</oddFooter>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6">
    <tabColor indexed="45"/>
    <pageSetUpPr fitToPage="1"/>
  </sheetPr>
  <dimension ref="A1:P106"/>
  <sheetViews>
    <sheetView workbookViewId="0"/>
  </sheetViews>
  <sheetFormatPr baseColWidth="10" defaultColWidth="11" defaultRowHeight="12.75"/>
  <cols>
    <col min="1" max="1" width="27.625" style="279" customWidth="1"/>
    <col min="2" max="2" width="11.5" style="281" customWidth="1"/>
    <col min="3" max="3" width="10.5" style="87" customWidth="1"/>
    <col min="4" max="4" width="9.75" style="87" customWidth="1"/>
    <col min="5" max="5" width="9.875" style="87" customWidth="1"/>
    <col min="6" max="6" width="9.625" style="87" customWidth="1"/>
    <col min="7" max="7" width="10.25" style="87" customWidth="1"/>
    <col min="8" max="9" width="8.75" style="87" customWidth="1"/>
    <col min="10" max="10" width="10.625" style="87" customWidth="1"/>
    <col min="11" max="11" width="10.125" style="87" customWidth="1"/>
    <col min="12" max="12" width="10.5" style="87" customWidth="1"/>
    <col min="13" max="13" width="9.75" style="87" customWidth="1"/>
    <col min="14" max="14" width="9.375" style="87" customWidth="1"/>
    <col min="15" max="15" width="9.5" style="279" customWidth="1"/>
    <col min="16" max="16384" width="11" style="87"/>
  </cols>
  <sheetData>
    <row r="1" spans="1:15" ht="25.5">
      <c r="A1" s="956" t="s">
        <v>641</v>
      </c>
      <c r="B1" s="546"/>
      <c r="F1" s="279"/>
      <c r="G1" s="279"/>
      <c r="H1" s="548"/>
      <c r="M1" s="1337"/>
    </row>
    <row r="2" spans="1:15" s="543" customFormat="1" ht="32.25">
      <c r="A2" s="164" t="str">
        <f>'Datos Básicos'!B9</f>
        <v>nombre empresa</v>
      </c>
      <c r="B2" s="546"/>
      <c r="D2" s="547"/>
      <c r="E2" s="277"/>
      <c r="G2" s="1776" t="s">
        <v>676</v>
      </c>
      <c r="O2" s="550"/>
    </row>
    <row r="4" spans="1:15" s="550" customFormat="1" ht="16.149999999999999" customHeight="1">
      <c r="A4" s="24"/>
    </row>
    <row r="5" spans="1:15" ht="19.5">
      <c r="A5" s="1344" t="s">
        <v>486</v>
      </c>
      <c r="C5" s="2701" t="str">
        <f>Parametros!B$77</f>
        <v>Año 0:  2026</v>
      </c>
      <c r="E5" s="550"/>
      <c r="F5" s="550"/>
      <c r="H5" s="550"/>
      <c r="I5" s="550"/>
      <c r="J5" s="550"/>
      <c r="K5" s="550"/>
      <c r="L5" s="550"/>
      <c r="M5" s="550"/>
      <c r="N5" s="550"/>
    </row>
    <row r="6" spans="1:15" ht="13.5" thickBot="1">
      <c r="A6" s="87"/>
      <c r="B6" s="87"/>
      <c r="O6" s="87"/>
    </row>
    <row r="7" spans="1:15" s="1054" customFormat="1" ht="26.25" customHeight="1" thickBot="1">
      <c r="A7" s="167" t="str">
        <f>CONCATENATE("Otros cobros  ",C5)</f>
        <v>Otros cobros  Año 0:  2026</v>
      </c>
      <c r="B7" s="1339" t="str">
        <f t="array" ref="B7:N7">'Estimaciones Ventas'!B5:N5</f>
        <v>enero 
2026</v>
      </c>
      <c r="C7" s="1339" t="str">
        <v>febrero 
2026</v>
      </c>
      <c r="D7" s="1339" t="str">
        <v>marzo 
2026</v>
      </c>
      <c r="E7" s="1339" t="str">
        <v>abril 
2026</v>
      </c>
      <c r="F7" s="1339" t="str">
        <v>mayo 
2026</v>
      </c>
      <c r="G7" s="1339" t="str">
        <v>junio 
2026</v>
      </c>
      <c r="H7" s="1339" t="str">
        <v>julio 
2026</v>
      </c>
      <c r="I7" s="1339" t="str">
        <v>agosto 
2026</v>
      </c>
      <c r="J7" s="1339" t="str">
        <v>septiembre 
2026</v>
      </c>
      <c r="K7" s="1339" t="str">
        <v>octubre 
2026</v>
      </c>
      <c r="L7" s="1339" t="str">
        <v>noviembre 
2026</v>
      </c>
      <c r="M7" s="1339" t="str">
        <v>diciembre 
2026</v>
      </c>
      <c r="N7" s="1339" t="str">
        <v>Totales  
2026</v>
      </c>
    </row>
    <row r="8" spans="1:15" s="543" customFormat="1" ht="16.149999999999999" customHeight="1">
      <c r="A8" s="1340" t="s">
        <v>132</v>
      </c>
      <c r="B8" s="1345">
        <v>0</v>
      </c>
      <c r="C8" s="1345">
        <v>0</v>
      </c>
      <c r="D8" s="1345">
        <v>0</v>
      </c>
      <c r="E8" s="1345">
        <v>0</v>
      </c>
      <c r="F8" s="1345">
        <v>0</v>
      </c>
      <c r="G8" s="1345">
        <v>0</v>
      </c>
      <c r="H8" s="1345">
        <v>0</v>
      </c>
      <c r="I8" s="1345">
        <v>0</v>
      </c>
      <c r="J8" s="1345">
        <v>0</v>
      </c>
      <c r="K8" s="1345">
        <v>0</v>
      </c>
      <c r="L8" s="1345">
        <v>0</v>
      </c>
      <c r="M8" s="1345">
        <v>0</v>
      </c>
      <c r="N8" s="1345">
        <f>SUM(B8:M8)</f>
        <v>0</v>
      </c>
    </row>
    <row r="9" spans="1:15" s="543" customFormat="1" ht="16.149999999999999" customHeight="1">
      <c r="A9" s="1341" t="s">
        <v>8</v>
      </c>
      <c r="B9" s="1346"/>
      <c r="C9" s="1346"/>
      <c r="D9" s="1346"/>
      <c r="E9" s="1346"/>
      <c r="F9" s="1346"/>
      <c r="G9" s="1346"/>
      <c r="H9" s="1346"/>
      <c r="I9" s="1346"/>
      <c r="J9" s="1346"/>
      <c r="K9" s="1346"/>
      <c r="L9" s="1346"/>
      <c r="M9" s="1346"/>
      <c r="N9" s="1346">
        <f>SUM(B9:M9)</f>
        <v>0</v>
      </c>
    </row>
    <row r="10" spans="1:15" s="543" customFormat="1" ht="16.149999999999999" customHeight="1">
      <c r="A10" s="1341" t="s">
        <v>217</v>
      </c>
      <c r="B10" s="1346"/>
      <c r="C10" s="1346"/>
      <c r="D10" s="1346"/>
      <c r="E10" s="1346"/>
      <c r="F10" s="1346"/>
      <c r="G10" s="1346"/>
      <c r="H10" s="1346"/>
      <c r="I10" s="1346"/>
      <c r="J10" s="1346"/>
      <c r="K10" s="1346"/>
      <c r="L10" s="1346"/>
      <c r="M10" s="1769">
        <f>IF(AND(Isoc&lt;&gt;0,'Inversiones AC'!G22&gt;'Financiación Inicial'!B29),'Inversiones AC'!G22-'Financiación Inicial'!B29,0)*0</f>
        <v>0</v>
      </c>
      <c r="N10" s="1346">
        <f>SUM(B10:M10)</f>
        <v>0</v>
      </c>
    </row>
    <row r="11" spans="1:15" s="543" customFormat="1" ht="16.149999999999999" customHeight="1">
      <c r="A11" s="1341" t="s">
        <v>128</v>
      </c>
      <c r="B11" s="1775">
        <f>'Inversiones AC'!$G$24*IF(OR(mes0&gt;COLUMN(B11)-1,COLUMN(B11)-mes0&gt;6),0,INDEX('Politicas Cobros y Pagos'!$C$19:$H$19,1,COLUMN(B11)-mes0))*0</f>
        <v>0</v>
      </c>
      <c r="C11" s="1775">
        <f>'Inversiones AC'!$G$24*IF(OR(mes0&gt;COLUMN(C11)-1,COLUMN(C11)-mes0&gt;6),0,INDEX('Politicas Cobros y Pagos'!$C$19:$H$19,1,COLUMN(C11)-mes0))*0</f>
        <v>0</v>
      </c>
      <c r="D11" s="1775">
        <f>'Inversiones AC'!$G$24*IF(OR(mes0&gt;COLUMN(D11)-1,COLUMN(D11)-mes0&gt;6),0,INDEX('Politicas Cobros y Pagos'!$C$19:$H$19,1,COLUMN(D11)-mes0))*0</f>
        <v>0</v>
      </c>
      <c r="E11" s="1775">
        <f>'Inversiones AC'!$G$24*IF(OR(mes0&gt;COLUMN(E11)-1,COLUMN(E11)-mes0&gt;6),0,INDEX('Politicas Cobros y Pagos'!$C$19:$H$19,1,COLUMN(E11)-mes0))*0</f>
        <v>0</v>
      </c>
      <c r="F11" s="1775">
        <f>'Inversiones AC'!$G$24*IF(OR(mes0&gt;COLUMN(F11)-1,COLUMN(F11)-mes0&gt;6),0,INDEX('Politicas Cobros y Pagos'!$C$19:$H$19,1,COLUMN(F11)-mes0))*0</f>
        <v>0</v>
      </c>
      <c r="G11" s="1775">
        <f>'Inversiones AC'!$G$24*IF(OR(mes0&gt;COLUMN(G11)-1,COLUMN(G11)-mes0&gt;6),0,INDEX('Politicas Cobros y Pagos'!$C$19:$H$19,1,COLUMN(G11)-mes0))*0</f>
        <v>0</v>
      </c>
      <c r="H11" s="1775">
        <f>'Inversiones AC'!$G$24*IF(OR(mes0&gt;COLUMN(H11)-1,COLUMN(H11)-mes0&gt;6),0,INDEX('Politicas Cobros y Pagos'!$C$19:$H$19,1,COLUMN(H11)-mes0))*0</f>
        <v>0</v>
      </c>
      <c r="I11" s="1775">
        <f>'Inversiones AC'!$G$24*IF(OR(mes0&gt;COLUMN(I11)-1,COLUMN(I11)-mes0&gt;6),0,INDEX('Politicas Cobros y Pagos'!$C$19:$H$19,1,COLUMN(I11)-mes0))*0</f>
        <v>0</v>
      </c>
      <c r="J11" s="1775">
        <f>'Inversiones AC'!$G$24*IF(OR(mes0&gt;COLUMN(J11)-1,COLUMN(J11)-mes0&gt;6),0,INDEX('Politicas Cobros y Pagos'!$C$19:$H$19,1,COLUMN(J11)-mes0))*0</f>
        <v>0</v>
      </c>
      <c r="K11" s="1775">
        <f>'Inversiones AC'!$G$24*IF(OR(mes0&gt;COLUMN(K11)-1,COLUMN(K11)-mes0&gt;6),0,INDEX('Politicas Cobros y Pagos'!$C$19:$H$19,1,COLUMN(K11)-mes0))*0</f>
        <v>0</v>
      </c>
      <c r="L11" s="1775">
        <f>'Inversiones AC'!$G$24*IF(OR(mes0&gt;COLUMN(L11)-1,COLUMN(L11)-mes0&gt;6),0,INDEX('Politicas Cobros y Pagos'!$C$19:$H$19,1,COLUMN(L11)-mes0))*0</f>
        <v>0</v>
      </c>
      <c r="M11" s="1775">
        <f>'Inversiones AC'!$G$24*IF(OR(mes0&gt;COLUMN(M11)-1,COLUMN(M11)-mes0&gt;6),0,INDEX('Politicas Cobros y Pagos'!$C$19:$H$19,1,COLUMN(M11)-mes0))*0</f>
        <v>0</v>
      </c>
      <c r="N11" s="1770">
        <f>SUM(B11:M11)</f>
        <v>0</v>
      </c>
    </row>
    <row r="12" spans="1:15" s="550" customFormat="1" ht="16.149999999999999" customHeight="1" thickBot="1">
      <c r="A12" s="1342" t="s">
        <v>11</v>
      </c>
      <c r="B12" s="1773">
        <f t="shared" ref="B12:M12" si="0">SUM(B8:B11)</f>
        <v>0</v>
      </c>
      <c r="C12" s="1773">
        <f t="shared" si="0"/>
        <v>0</v>
      </c>
      <c r="D12" s="1773">
        <f t="shared" si="0"/>
        <v>0</v>
      </c>
      <c r="E12" s="1773">
        <f t="shared" si="0"/>
        <v>0</v>
      </c>
      <c r="F12" s="1773">
        <f t="shared" si="0"/>
        <v>0</v>
      </c>
      <c r="G12" s="1773">
        <f t="shared" si="0"/>
        <v>0</v>
      </c>
      <c r="H12" s="1773">
        <f t="shared" si="0"/>
        <v>0</v>
      </c>
      <c r="I12" s="1773">
        <f t="shared" si="0"/>
        <v>0</v>
      </c>
      <c r="J12" s="1773">
        <f t="shared" si="0"/>
        <v>0</v>
      </c>
      <c r="K12" s="1773">
        <f t="shared" si="0"/>
        <v>0</v>
      </c>
      <c r="L12" s="1773">
        <f t="shared" si="0"/>
        <v>0</v>
      </c>
      <c r="M12" s="1773">
        <f t="shared" si="0"/>
        <v>0</v>
      </c>
      <c r="N12" s="1343">
        <f>SUM(B12:M12)</f>
        <v>0</v>
      </c>
    </row>
    <row r="13" spans="1:15" s="550" customFormat="1" ht="13.5" customHeight="1">
      <c r="B13" s="1062"/>
    </row>
    <row r="14" spans="1:15" s="550" customFormat="1" ht="13.5" customHeight="1">
      <c r="B14" s="1062"/>
    </row>
    <row r="15" spans="1:15" ht="19.5">
      <c r="A15" s="1344" t="str">
        <f>A5</f>
        <v>Otros Cobros de la empresa</v>
      </c>
      <c r="C15" s="2701" t="str">
        <f>Parametros!C$77</f>
        <v>Año 1:  2027</v>
      </c>
      <c r="E15" s="550"/>
      <c r="F15" s="550"/>
      <c r="H15" s="550"/>
      <c r="I15" s="550"/>
      <c r="J15" s="550"/>
      <c r="K15" s="550"/>
      <c r="L15" s="550"/>
      <c r="M15" s="550"/>
      <c r="N15" s="550"/>
    </row>
    <row r="16" spans="1:15" s="543" customFormat="1" ht="13.5" customHeight="1" thickBot="1">
      <c r="A16" s="550"/>
      <c r="B16" s="1054"/>
      <c r="O16" s="550"/>
    </row>
    <row r="17" spans="1:16" ht="26.25" customHeight="1" thickBot="1">
      <c r="A17" s="167" t="str">
        <f>CONCATENATE("Otros cobros  ",C15)</f>
        <v>Otros cobros  Año 1:  2027</v>
      </c>
      <c r="B17" s="1339" t="str">
        <f t="array" ref="B17:N17">'Estimaciones Ventas'!B18:N18</f>
        <v>enero 
2027</v>
      </c>
      <c r="C17" s="1339" t="str">
        <v>febrero 
2027</v>
      </c>
      <c r="D17" s="1339" t="str">
        <v>marzo 
2027</v>
      </c>
      <c r="E17" s="1339" t="str">
        <v>abril 
2027</v>
      </c>
      <c r="F17" s="1339" t="str">
        <v>mayo 
2027</v>
      </c>
      <c r="G17" s="1339" t="str">
        <v>junio 
2027</v>
      </c>
      <c r="H17" s="1339" t="str">
        <v>julio 
2027</v>
      </c>
      <c r="I17" s="1339" t="str">
        <v>agosto 
2027</v>
      </c>
      <c r="J17" s="1339" t="str">
        <v>septiembre 
2027</v>
      </c>
      <c r="K17" s="1339" t="str">
        <v>octubre 
2027</v>
      </c>
      <c r="L17" s="1339" t="str">
        <v>noviembre 
2027</v>
      </c>
      <c r="M17" s="1339" t="str">
        <v>diciembre 
2027</v>
      </c>
      <c r="N17" s="1339" t="str">
        <v>Totales  
2027</v>
      </c>
      <c r="O17" s="550"/>
    </row>
    <row r="18" spans="1:16">
      <c r="A18" s="1340" t="str">
        <f t="array" ref="A18:A21">$A$8:$A$11</f>
        <v>Capital desembolsado</v>
      </c>
      <c r="B18" s="1345">
        <v>0</v>
      </c>
      <c r="C18" s="1345">
        <v>0</v>
      </c>
      <c r="D18" s="1345">
        <v>0</v>
      </c>
      <c r="E18" s="1345">
        <v>0</v>
      </c>
      <c r="F18" s="1345">
        <v>0</v>
      </c>
      <c r="G18" s="1345">
        <v>0</v>
      </c>
      <c r="H18" s="1345">
        <v>0</v>
      </c>
      <c r="I18" s="1345">
        <v>0</v>
      </c>
      <c r="J18" s="1345">
        <v>0</v>
      </c>
      <c r="K18" s="1345">
        <v>0</v>
      </c>
      <c r="L18" s="1345">
        <v>0</v>
      </c>
      <c r="M18" s="1345">
        <v>0</v>
      </c>
      <c r="N18" s="1345">
        <f>SUM(B18:M18)</f>
        <v>0</v>
      </c>
      <c r="O18" s="550"/>
    </row>
    <row r="19" spans="1:16">
      <c r="A19" s="1341" t="str">
        <v>Subvenciones</v>
      </c>
      <c r="B19" s="1346"/>
      <c r="C19" s="1346"/>
      <c r="D19" s="1346"/>
      <c r="E19" s="1346"/>
      <c r="F19" s="1346"/>
      <c r="G19" s="1346"/>
      <c r="H19" s="1346"/>
      <c r="I19" s="1346"/>
      <c r="J19" s="1346"/>
      <c r="K19" s="1346"/>
      <c r="L19" s="1346"/>
      <c r="M19" s="1346"/>
      <c r="N19" s="1346">
        <f>SUM(B19:M19)</f>
        <v>0</v>
      </c>
      <c r="O19" s="550"/>
    </row>
    <row r="20" spans="1:16">
      <c r="A20" s="1341" t="str">
        <v>Otros cobros atípicos</v>
      </c>
      <c r="B20" s="1346"/>
      <c r="C20" s="1346"/>
      <c r="D20" s="1346"/>
      <c r="E20" s="1346"/>
      <c r="F20" s="1346"/>
      <c r="G20" s="1346"/>
      <c r="H20" s="1346"/>
      <c r="I20" s="1346"/>
      <c r="J20" s="1346"/>
      <c r="K20" s="1346"/>
      <c r="L20" s="1346"/>
      <c r="M20" s="1769">
        <f>IF(Imp.Sociedades!$B$23&lt;0,-Imp.Sociedades!$B$23,0)*0</f>
        <v>0</v>
      </c>
      <c r="N20" s="1346">
        <f>SUM(B20:M20)</f>
        <v>0</v>
      </c>
      <c r="O20" s="550"/>
    </row>
    <row r="21" spans="1:16">
      <c r="A21" s="1341" t="str">
        <v>Cobros de clientes</v>
      </c>
      <c r="B21" s="1775">
        <f ca="1">'Inversiones AC'!$G$24*IF(OR(mes0&lt;=7,COLUMN(B11)&gt;mes0-6),0,INDEX('Politicas Cobros y Pagos'!$C$19:$H$19,1,COLUMN(B11)-mes0+12))*0
+recmorosos*'Cobros y pagos 0'!$S$31/12*0</f>
        <v>0</v>
      </c>
      <c r="C21" s="1775">
        <f ca="1">'Inversiones AC'!$G$24*IF(OR(mes0&lt;=7,COLUMN(C11)&gt;mes0-6),0,INDEX('Politicas Cobros y Pagos'!$C$19:$H$19,1,COLUMN(C11)-mes0+12))*0
+recmorosos*'Cobros y pagos 0'!$S$31/12*0</f>
        <v>0</v>
      </c>
      <c r="D21" s="1775">
        <f ca="1">'Inversiones AC'!$G$24*IF(OR(mes0&lt;=7,COLUMN(D11)&gt;mes0-6),0,INDEX('Politicas Cobros y Pagos'!$C$19:$H$19,1,COLUMN(D11)-mes0+12))*0
+recmorosos*'Cobros y pagos 0'!$S$31/12*0</f>
        <v>0</v>
      </c>
      <c r="E21" s="1775">
        <f ca="1">'Inversiones AC'!$G$24*IF(OR(mes0&lt;=7,COLUMN(E11)&gt;mes0-6),0,INDEX('Politicas Cobros y Pagos'!$C$19:$H$19,1,COLUMN(E11)-mes0+12))*0
+recmorosos*'Cobros y pagos 0'!$S$31/12*0</f>
        <v>0</v>
      </c>
      <c r="F21" s="1775">
        <f ca="1">'Inversiones AC'!$G$24*IF(OR(mes0&lt;=7,COLUMN(F11)&gt;mes0-6),0,INDEX('Politicas Cobros y Pagos'!$C$19:$H$19,1,COLUMN(F11)-mes0+12))*0
+recmorosos*'Cobros y pagos 0'!$S$31/12*0</f>
        <v>0</v>
      </c>
      <c r="G21" s="1775">
        <f ca="1">'Inversiones AC'!$G$24*IF(OR(mes0&lt;=7,COLUMN(G11)&gt;mes0-6),0,INDEX('Politicas Cobros y Pagos'!$C$19:$H$19,1,COLUMN(G11)-mes0+12))*0
+recmorosos*'Cobros y pagos 0'!$S$31/12*0</f>
        <v>0</v>
      </c>
      <c r="H21" s="1775">
        <f ca="1">'Inversiones AC'!$G$24*IF(OR(mes0&lt;=7,COLUMN(H11)&gt;mes0-6),0,INDEX('Politicas Cobros y Pagos'!$C$19:$H$19,1,COLUMN(H11)-mes0+12))*0
+recmorosos*'Cobros y pagos 0'!$S$31/12*0</f>
        <v>0</v>
      </c>
      <c r="I21" s="1775">
        <f ca="1">'Inversiones AC'!$G$24*IF(OR(mes0&lt;=7,COLUMN(I11)&gt;mes0-6),0,INDEX('Politicas Cobros y Pagos'!$C$19:$H$19,1,COLUMN(I11)-mes0+12))*0
+recmorosos*'Cobros y pagos 0'!$S$31/12*0</f>
        <v>0</v>
      </c>
      <c r="J21" s="1775">
        <f ca="1">'Inversiones AC'!$G$24*IF(OR(mes0&lt;=7,COLUMN(J11)&gt;mes0-6),0,INDEX('Politicas Cobros y Pagos'!$C$19:$H$19,1,COLUMN(J11)-mes0+12))*0
+recmorosos*'Cobros y pagos 0'!$S$31/12*0</f>
        <v>0</v>
      </c>
      <c r="K21" s="1775">
        <f ca="1">'Inversiones AC'!$G$24*IF(OR(mes0&lt;=7,COLUMN(K11)&gt;mes0-6),0,INDEX('Politicas Cobros y Pagos'!$C$19:$H$19,1,COLUMN(K11)-mes0+12))*0
+recmorosos*'Cobros y pagos 0'!$S$31/12*0</f>
        <v>0</v>
      </c>
      <c r="L21" s="1775">
        <f ca="1">'Inversiones AC'!$G$24*IF(OR(mes0&lt;=7,COLUMN(L11)&gt;mes0-6),0,INDEX('Politicas Cobros y Pagos'!$C$19:$H$19,1,COLUMN(L11)-mes0+12))*0
+recmorosos*'Cobros y pagos 0'!$S$31/12*0</f>
        <v>0</v>
      </c>
      <c r="M21" s="1775">
        <f ca="1">'Inversiones AC'!$G$24*IF(OR(mes0&lt;=7,COLUMN(M11)&gt;mes0-6),0,INDEX('Politicas Cobros y Pagos'!$C$19:$H$19,1,COLUMN(M11)-mes0+12))*0
+recmorosos*'Cobros y pagos 0'!$S$31/12*0</f>
        <v>0</v>
      </c>
      <c r="N21" s="1346">
        <f ca="1">SUM(B21:M21)</f>
        <v>0</v>
      </c>
      <c r="O21" s="550"/>
    </row>
    <row r="22" spans="1:16" ht="13.5" thickBot="1">
      <c r="A22" s="1342" t="s">
        <v>11</v>
      </c>
      <c r="B22" s="1343">
        <f t="shared" ref="B22:M22" ca="1" si="1">SUM(B18:B21)</f>
        <v>0</v>
      </c>
      <c r="C22" s="1343">
        <f t="shared" ca="1" si="1"/>
        <v>0</v>
      </c>
      <c r="D22" s="1343">
        <f t="shared" ca="1" si="1"/>
        <v>0</v>
      </c>
      <c r="E22" s="1343">
        <f t="shared" ca="1" si="1"/>
        <v>0</v>
      </c>
      <c r="F22" s="1343">
        <f t="shared" ca="1" si="1"/>
        <v>0</v>
      </c>
      <c r="G22" s="1343">
        <f t="shared" ca="1" si="1"/>
        <v>0</v>
      </c>
      <c r="H22" s="1343">
        <f t="shared" ca="1" si="1"/>
        <v>0</v>
      </c>
      <c r="I22" s="1343">
        <f t="shared" ca="1" si="1"/>
        <v>0</v>
      </c>
      <c r="J22" s="1343">
        <f t="shared" ca="1" si="1"/>
        <v>0</v>
      </c>
      <c r="K22" s="1343">
        <f t="shared" ca="1" si="1"/>
        <v>0</v>
      </c>
      <c r="L22" s="1343">
        <f t="shared" ca="1" si="1"/>
        <v>0</v>
      </c>
      <c r="M22" s="1343">
        <f t="shared" ca="1" si="1"/>
        <v>0</v>
      </c>
      <c r="N22" s="1343">
        <f ca="1">SUM(B22:M22)</f>
        <v>0</v>
      </c>
      <c r="O22" s="550"/>
    </row>
    <row r="23" spans="1:16">
      <c r="C23" s="1338"/>
      <c r="D23" s="550"/>
      <c r="E23" s="550"/>
      <c r="F23" s="550"/>
      <c r="G23" s="550"/>
      <c r="H23" s="550"/>
      <c r="I23" s="550"/>
      <c r="J23" s="550"/>
      <c r="K23" s="550"/>
      <c r="L23" s="550"/>
      <c r="M23" s="550"/>
      <c r="N23" s="550"/>
      <c r="O23" s="550"/>
      <c r="P23" s="550"/>
    </row>
    <row r="24" spans="1:16">
      <c r="C24" s="1338"/>
      <c r="D24" s="550"/>
      <c r="E24" s="550"/>
      <c r="F24" s="550"/>
      <c r="G24" s="550"/>
      <c r="H24" s="550"/>
      <c r="I24" s="550"/>
      <c r="J24" s="550"/>
      <c r="K24" s="550"/>
      <c r="L24" s="550"/>
      <c r="M24" s="550"/>
      <c r="N24" s="550"/>
      <c r="O24" s="550"/>
      <c r="P24" s="550"/>
    </row>
    <row r="25" spans="1:16" ht="19.5">
      <c r="A25" s="1344" t="str">
        <f>A5</f>
        <v>Otros Cobros de la empresa</v>
      </c>
      <c r="C25" s="2701" t="str">
        <f>Parametros!D$77</f>
        <v>Año 2:  2028</v>
      </c>
      <c r="E25" s="550"/>
      <c r="F25" s="550"/>
      <c r="H25" s="550"/>
      <c r="I25" s="550"/>
      <c r="J25" s="550"/>
      <c r="K25" s="550"/>
      <c r="L25" s="550"/>
      <c r="M25" s="550"/>
      <c r="N25" s="550"/>
    </row>
    <row r="26" spans="1:16" ht="13.5" thickBot="1">
      <c r="C26" s="1338"/>
      <c r="D26" s="550"/>
      <c r="E26" s="550"/>
      <c r="F26" s="550"/>
      <c r="G26" s="550"/>
      <c r="H26" s="550"/>
      <c r="I26" s="550"/>
      <c r="J26" s="550"/>
      <c r="K26" s="550"/>
      <c r="L26" s="550"/>
      <c r="M26" s="550"/>
      <c r="N26" s="550"/>
      <c r="O26" s="550"/>
      <c r="P26" s="550"/>
    </row>
    <row r="27" spans="1:16" ht="27" customHeight="1" thickBot="1">
      <c r="A27" s="167" t="str">
        <f>CONCATENATE("Otros cobros  ",C25)</f>
        <v>Otros cobros  Año 2:  2028</v>
      </c>
      <c r="B27" s="1339" t="str">
        <f t="array" ref="B27:N27">'Estimaciones Ventas'!B31:N31</f>
        <v>enero 
2028</v>
      </c>
      <c r="C27" s="1339" t="str">
        <v>febrero 
2028</v>
      </c>
      <c r="D27" s="1339" t="str">
        <v>marzo 
2028</v>
      </c>
      <c r="E27" s="1339" t="str">
        <v>abril 
2028</v>
      </c>
      <c r="F27" s="1339" t="str">
        <v>mayo 
2028</v>
      </c>
      <c r="G27" s="1339" t="str">
        <v>junio 
2028</v>
      </c>
      <c r="H27" s="1339" t="str">
        <v>julio 
2028</v>
      </c>
      <c r="I27" s="1339" t="str">
        <v>agosto 
2028</v>
      </c>
      <c r="J27" s="1339" t="str">
        <v>septiembre 
2028</v>
      </c>
      <c r="K27" s="1339" t="str">
        <v>octubre 
2028</v>
      </c>
      <c r="L27" s="1339" t="str">
        <v>noviembre 
2028</v>
      </c>
      <c r="M27" s="1339" t="str">
        <v>diciembre 
2028</v>
      </c>
      <c r="N27" s="1339" t="str">
        <v>Totales  
2028</v>
      </c>
      <c r="O27" s="550"/>
    </row>
    <row r="28" spans="1:16">
      <c r="A28" s="1340" t="str">
        <f t="array" ref="A28:A31">$A$8:$A$11</f>
        <v>Capital desembolsado</v>
      </c>
      <c r="B28" s="1345"/>
      <c r="C28" s="1345"/>
      <c r="D28" s="1345"/>
      <c r="E28" s="1345"/>
      <c r="F28" s="1345"/>
      <c r="G28" s="1345"/>
      <c r="H28" s="1345"/>
      <c r="I28" s="1345"/>
      <c r="J28" s="1345"/>
      <c r="K28" s="1345"/>
      <c r="L28" s="1345"/>
      <c r="M28" s="1345"/>
      <c r="N28" s="1345">
        <f>SUM(B28:M28)</f>
        <v>0</v>
      </c>
      <c r="O28" s="550"/>
    </row>
    <row r="29" spans="1:16">
      <c r="A29" s="1341" t="str">
        <v>Subvenciones</v>
      </c>
      <c r="B29" s="1346"/>
      <c r="C29" s="1346"/>
      <c r="D29" s="1346"/>
      <c r="E29" s="1346"/>
      <c r="F29" s="1346"/>
      <c r="G29" s="1346"/>
      <c r="H29" s="1346"/>
      <c r="I29" s="1346"/>
      <c r="J29" s="1346"/>
      <c r="K29" s="1346"/>
      <c r="L29" s="1346"/>
      <c r="M29" s="1346"/>
      <c r="N29" s="1346">
        <f>SUM(B29:M29)</f>
        <v>0</v>
      </c>
      <c r="O29" s="550"/>
    </row>
    <row r="30" spans="1:16">
      <c r="A30" s="1341" t="str">
        <v>Otros cobros atípicos</v>
      </c>
      <c r="B30" s="1346"/>
      <c r="C30" s="1346"/>
      <c r="D30" s="1346"/>
      <c r="E30" s="1346"/>
      <c r="F30" s="1346"/>
      <c r="G30" s="1346"/>
      <c r="H30" s="1346"/>
      <c r="I30" s="1346"/>
      <c r="J30" s="1346"/>
      <c r="K30" s="1346"/>
      <c r="L30" s="1346"/>
      <c r="M30" s="1772">
        <f>IF(Imp.Sociedades!$D$23&lt;0,-Imp.Sociedades!$D$23,0)*0</f>
        <v>0</v>
      </c>
      <c r="N30" s="1346">
        <f>SUM(B30:M30)</f>
        <v>0</v>
      </c>
      <c r="O30" s="550"/>
    </row>
    <row r="31" spans="1:16">
      <c r="A31" s="1341" t="str">
        <v>Cobros de clientes</v>
      </c>
      <c r="B31" s="1775">
        <f ca="1">+recmorosos*'Cobros y pagos 1'!$S$31/12*0</f>
        <v>0</v>
      </c>
      <c r="C31" s="1775">
        <f ca="1">+recmorosos*'Cobros y pagos 1'!$S$31/12*0</f>
        <v>0</v>
      </c>
      <c r="D31" s="1775">
        <f ca="1">+recmorosos*'Cobros y pagos 1'!$S$31/12*0</f>
        <v>0</v>
      </c>
      <c r="E31" s="1775">
        <f ca="1">+recmorosos*'Cobros y pagos 1'!$S$31/12*0</f>
        <v>0</v>
      </c>
      <c r="F31" s="1775">
        <f ca="1">+recmorosos*'Cobros y pagos 1'!$S$31/12*0</f>
        <v>0</v>
      </c>
      <c r="G31" s="1775">
        <f ca="1">+recmorosos*'Cobros y pagos 1'!$S$31/12*0</f>
        <v>0</v>
      </c>
      <c r="H31" s="1775">
        <f ca="1">+recmorosos*'Cobros y pagos 1'!$S$31/12*0</f>
        <v>0</v>
      </c>
      <c r="I31" s="1775">
        <f ca="1">+recmorosos*'Cobros y pagos 1'!$S$31/12*0</f>
        <v>0</v>
      </c>
      <c r="J31" s="1775">
        <f ca="1">+recmorosos*'Cobros y pagos 1'!$S$31/12*0</f>
        <v>0</v>
      </c>
      <c r="K31" s="1775">
        <f ca="1">+recmorosos*'Cobros y pagos 1'!$S$31/12*0</f>
        <v>0</v>
      </c>
      <c r="L31" s="1775">
        <f ca="1">+recmorosos*'Cobros y pagos 1'!$S$31/12*0</f>
        <v>0</v>
      </c>
      <c r="M31" s="1775">
        <f ca="1">+recmorosos*'Cobros y pagos 1'!$S$31/12*0</f>
        <v>0</v>
      </c>
      <c r="N31" s="1346">
        <f ca="1">SUM(B31:M31)</f>
        <v>0</v>
      </c>
      <c r="O31" s="550"/>
    </row>
    <row r="32" spans="1:16" ht="13.5" thickBot="1">
      <c r="A32" s="1342" t="s">
        <v>11</v>
      </c>
      <c r="B32" s="1343">
        <f t="shared" ref="B32:M32" ca="1" si="2">SUM(B28:B31)</f>
        <v>0</v>
      </c>
      <c r="C32" s="1343">
        <f t="shared" ca="1" si="2"/>
        <v>0</v>
      </c>
      <c r="D32" s="1343">
        <f t="shared" ca="1" si="2"/>
        <v>0</v>
      </c>
      <c r="E32" s="1343">
        <f t="shared" ca="1" si="2"/>
        <v>0</v>
      </c>
      <c r="F32" s="1343">
        <f t="shared" ca="1" si="2"/>
        <v>0</v>
      </c>
      <c r="G32" s="1343">
        <f t="shared" ca="1" si="2"/>
        <v>0</v>
      </c>
      <c r="H32" s="1343">
        <f t="shared" ca="1" si="2"/>
        <v>0</v>
      </c>
      <c r="I32" s="1343">
        <f t="shared" ca="1" si="2"/>
        <v>0</v>
      </c>
      <c r="J32" s="1343">
        <f t="shared" ca="1" si="2"/>
        <v>0</v>
      </c>
      <c r="K32" s="1343">
        <f t="shared" ca="1" si="2"/>
        <v>0</v>
      </c>
      <c r="L32" s="1343">
        <f t="shared" ca="1" si="2"/>
        <v>0</v>
      </c>
      <c r="M32" s="1343">
        <f t="shared" ca="1" si="2"/>
        <v>0</v>
      </c>
      <c r="N32" s="1343">
        <f ca="1">SUM(B32:M32)</f>
        <v>0</v>
      </c>
      <c r="O32" s="550"/>
    </row>
    <row r="33" spans="1:16">
      <c r="C33" s="1338"/>
      <c r="D33" s="550"/>
      <c r="E33" s="550"/>
      <c r="F33" s="550"/>
      <c r="G33" s="550"/>
      <c r="H33" s="550"/>
      <c r="I33" s="550"/>
      <c r="J33" s="550"/>
      <c r="K33" s="550"/>
      <c r="L33" s="550"/>
      <c r="M33" s="550"/>
      <c r="N33" s="550"/>
      <c r="O33" s="550"/>
      <c r="P33" s="550"/>
    </row>
    <row r="34" spans="1:16">
      <c r="C34" s="1338"/>
      <c r="D34" s="550"/>
      <c r="E34" s="550"/>
      <c r="F34" s="550"/>
      <c r="G34" s="550"/>
      <c r="H34" s="550"/>
      <c r="I34" s="550"/>
      <c r="J34" s="550"/>
      <c r="K34" s="550"/>
      <c r="L34" s="550"/>
      <c r="M34" s="550"/>
      <c r="N34" s="550"/>
      <c r="O34" s="550"/>
      <c r="P34" s="550"/>
    </row>
    <row r="35" spans="1:16" ht="19.5">
      <c r="A35" s="1344" t="str">
        <f>A15</f>
        <v>Otros Cobros de la empresa</v>
      </c>
      <c r="C35" s="2701" t="str">
        <f>Parametros!E$77</f>
        <v>Año 3:  2029</v>
      </c>
      <c r="E35" s="550"/>
      <c r="F35" s="550"/>
      <c r="H35" s="550"/>
      <c r="I35" s="550"/>
      <c r="J35" s="550"/>
      <c r="K35" s="550"/>
      <c r="L35" s="550"/>
      <c r="M35" s="550"/>
      <c r="N35" s="550"/>
    </row>
    <row r="36" spans="1:16" ht="13.5" thickBot="1">
      <c r="C36" s="1338"/>
      <c r="D36" s="550"/>
      <c r="E36" s="550"/>
      <c r="F36" s="550"/>
      <c r="G36" s="550"/>
      <c r="H36" s="550"/>
      <c r="I36" s="550"/>
      <c r="J36" s="550"/>
      <c r="K36" s="550"/>
      <c r="L36" s="550"/>
      <c r="M36" s="550"/>
      <c r="N36" s="550"/>
      <c r="O36" s="550"/>
      <c r="P36" s="550"/>
    </row>
    <row r="37" spans="1:16" ht="27" customHeight="1" thickBot="1">
      <c r="A37" s="167" t="str">
        <f>CONCATENATE("Otros cobros  ",C35)</f>
        <v>Otros cobros  Año 3:  2029</v>
      </c>
      <c r="B37" s="1339" t="str">
        <f t="array" ref="B37:N37">'Estimaciones Ventas'!B44:N44</f>
        <v>enero 
2029</v>
      </c>
      <c r="C37" s="1339" t="str">
        <v>febrero 
2029</v>
      </c>
      <c r="D37" s="1339" t="str">
        <v>marzo 
2029</v>
      </c>
      <c r="E37" s="1339" t="str">
        <v>abril 
2029</v>
      </c>
      <c r="F37" s="1339" t="str">
        <v>mayo 
2029</v>
      </c>
      <c r="G37" s="1339" t="str">
        <v>junio 
2029</v>
      </c>
      <c r="H37" s="1339" t="str">
        <v>julio 
2029</v>
      </c>
      <c r="I37" s="1339" t="str">
        <v>agosto 
2029</v>
      </c>
      <c r="J37" s="1339" t="str">
        <v>septiembre 
2029</v>
      </c>
      <c r="K37" s="1339" t="str">
        <v>octubre 
2029</v>
      </c>
      <c r="L37" s="1339" t="str">
        <v>noviembre 
2029</v>
      </c>
      <c r="M37" s="1339" t="str">
        <v>diciembre 
2029</v>
      </c>
      <c r="N37" s="1339" t="str">
        <v>Totales  
2029</v>
      </c>
      <c r="O37" s="550"/>
    </row>
    <row r="38" spans="1:16">
      <c r="A38" s="1340" t="str">
        <f>A28</f>
        <v>Capital desembolsado</v>
      </c>
      <c r="B38" s="1345"/>
      <c r="C38" s="1345"/>
      <c r="D38" s="1345"/>
      <c r="E38" s="1345"/>
      <c r="F38" s="1345"/>
      <c r="G38" s="1345"/>
      <c r="H38" s="1345"/>
      <c r="I38" s="1345"/>
      <c r="J38" s="1345"/>
      <c r="K38" s="1345"/>
      <c r="L38" s="1345"/>
      <c r="M38" s="1345"/>
      <c r="N38" s="1345">
        <f t="shared" ref="N38:N43" si="3">SUM(B38:M38)</f>
        <v>0</v>
      </c>
      <c r="O38" s="550"/>
    </row>
    <row r="39" spans="1:16">
      <c r="A39" s="1341" t="s">
        <v>124</v>
      </c>
      <c r="B39" s="1774">
        <f>+Financiación!G17*0</f>
        <v>0</v>
      </c>
      <c r="C39" s="1346"/>
      <c r="D39" s="1346"/>
      <c r="E39" s="1346"/>
      <c r="F39" s="1346"/>
      <c r="G39" s="1346"/>
      <c r="H39" s="1346"/>
      <c r="I39" s="1346"/>
      <c r="J39" s="1346"/>
      <c r="K39" s="1346"/>
      <c r="L39" s="1346"/>
      <c r="M39" s="1346"/>
      <c r="N39" s="1346">
        <f t="shared" si="3"/>
        <v>0</v>
      </c>
      <c r="O39" s="550"/>
    </row>
    <row r="40" spans="1:16">
      <c r="A40" s="1341" t="str">
        <f t="array" ref="A40:A42">A29:A31</f>
        <v>Subvenciones</v>
      </c>
      <c r="B40" s="1346"/>
      <c r="C40" s="1346"/>
      <c r="D40" s="1346"/>
      <c r="E40" s="1346"/>
      <c r="F40" s="1346"/>
      <c r="G40" s="1346"/>
      <c r="H40" s="1346"/>
      <c r="I40" s="1346"/>
      <c r="J40" s="1346"/>
      <c r="K40" s="1346"/>
      <c r="L40" s="1346"/>
      <c r="M40" s="1346"/>
      <c r="N40" s="1346">
        <f t="shared" si="3"/>
        <v>0</v>
      </c>
      <c r="O40" s="550"/>
    </row>
    <row r="41" spans="1:16">
      <c r="A41" s="1341" t="str">
        <v>Otros cobros atípicos</v>
      </c>
      <c r="B41" s="1346"/>
      <c r="C41" s="1346"/>
      <c r="D41" s="1346"/>
      <c r="E41" s="1346"/>
      <c r="F41" s="1346"/>
      <c r="G41" s="1346"/>
      <c r="H41" s="1346"/>
      <c r="I41" s="1346"/>
      <c r="J41" s="1346"/>
      <c r="K41" s="1346"/>
      <c r="L41" s="1346"/>
      <c r="M41" s="1772">
        <f>IF(Imp.Sociedades!$G$23&lt;0,-Imp.Sociedades!$G$23,0)*0</f>
        <v>0</v>
      </c>
      <c r="N41" s="1346">
        <f t="shared" si="3"/>
        <v>0</v>
      </c>
      <c r="O41" s="550"/>
    </row>
    <row r="42" spans="1:16">
      <c r="A42" s="1341" t="str">
        <v>Cobros de clientes</v>
      </c>
      <c r="B42" s="1775">
        <f ca="1">+recmorosos*'Cobros y pagos 2'!$S$31/12*0</f>
        <v>0</v>
      </c>
      <c r="C42" s="1775">
        <f ca="1">+recmorosos*'Cobros y pagos 2'!$S$31/12*0</f>
        <v>0</v>
      </c>
      <c r="D42" s="1775">
        <f ca="1">+recmorosos*'Cobros y pagos 2'!$S$31/12*0</f>
        <v>0</v>
      </c>
      <c r="E42" s="1775">
        <f ca="1">+recmorosos*'Cobros y pagos 2'!$S$31/12*0</f>
        <v>0</v>
      </c>
      <c r="F42" s="1775">
        <f ca="1">+recmorosos*'Cobros y pagos 2'!$S$31/12*0</f>
        <v>0</v>
      </c>
      <c r="G42" s="1775">
        <f ca="1">+recmorosos*'Cobros y pagos 2'!$S$31/12*0</f>
        <v>0</v>
      </c>
      <c r="H42" s="1775">
        <f ca="1">+recmorosos*'Cobros y pagos 2'!$S$31/12*0</f>
        <v>0</v>
      </c>
      <c r="I42" s="1775">
        <f ca="1">+recmorosos*'Cobros y pagos 2'!$S$31/12*0</f>
        <v>0</v>
      </c>
      <c r="J42" s="1775">
        <f ca="1">+recmorosos*'Cobros y pagos 2'!$S$31/12*0</f>
        <v>0</v>
      </c>
      <c r="K42" s="1775">
        <f ca="1">+recmorosos*'Cobros y pagos 2'!$S$31/12*0</f>
        <v>0</v>
      </c>
      <c r="L42" s="1775">
        <f ca="1">+recmorosos*'Cobros y pagos 2'!$S$31/12*0</f>
        <v>0</v>
      </c>
      <c r="M42" s="1775">
        <f ca="1">+recmorosos*'Cobros y pagos 2'!$S$31/12*0</f>
        <v>0</v>
      </c>
      <c r="N42" s="1346">
        <f t="shared" ca="1" si="3"/>
        <v>0</v>
      </c>
      <c r="O42" s="550"/>
    </row>
    <row r="43" spans="1:16" ht="13.5" thickBot="1">
      <c r="A43" s="1342" t="s">
        <v>11</v>
      </c>
      <c r="B43" s="1343">
        <f t="shared" ref="B43:M43" ca="1" si="4">SUM(B38:B42)</f>
        <v>0</v>
      </c>
      <c r="C43" s="1343">
        <f t="shared" ca="1" si="4"/>
        <v>0</v>
      </c>
      <c r="D43" s="1343">
        <f t="shared" ca="1" si="4"/>
        <v>0</v>
      </c>
      <c r="E43" s="1343">
        <f t="shared" ca="1" si="4"/>
        <v>0</v>
      </c>
      <c r="F43" s="1343">
        <f t="shared" ca="1" si="4"/>
        <v>0</v>
      </c>
      <c r="G43" s="1343">
        <f t="shared" ca="1" si="4"/>
        <v>0</v>
      </c>
      <c r="H43" s="1343">
        <f t="shared" ca="1" si="4"/>
        <v>0</v>
      </c>
      <c r="I43" s="1343">
        <f t="shared" ca="1" si="4"/>
        <v>0</v>
      </c>
      <c r="J43" s="1343">
        <f t="shared" ca="1" si="4"/>
        <v>0</v>
      </c>
      <c r="K43" s="1343">
        <f t="shared" ca="1" si="4"/>
        <v>0</v>
      </c>
      <c r="L43" s="1343">
        <f t="shared" ca="1" si="4"/>
        <v>0</v>
      </c>
      <c r="M43" s="1343">
        <f t="shared" ca="1" si="4"/>
        <v>0</v>
      </c>
      <c r="N43" s="1343">
        <f t="shared" ca="1" si="3"/>
        <v>0</v>
      </c>
      <c r="O43" s="550"/>
    </row>
    <row r="44" spans="1:16">
      <c r="C44" s="1338"/>
      <c r="D44" s="550"/>
      <c r="E44" s="550"/>
      <c r="F44" s="550"/>
      <c r="G44" s="550"/>
      <c r="H44" s="550"/>
      <c r="I44" s="550"/>
      <c r="J44" s="550"/>
      <c r="K44" s="550"/>
      <c r="L44" s="550"/>
      <c r="M44" s="550"/>
      <c r="N44" s="550"/>
      <c r="O44" s="550"/>
      <c r="P44" s="550"/>
    </row>
    <row r="45" spans="1:16">
      <c r="C45" s="1338"/>
      <c r="D45" s="550"/>
      <c r="E45" s="550"/>
      <c r="F45" s="550"/>
      <c r="G45" s="550"/>
      <c r="H45" s="550"/>
      <c r="I45" s="550"/>
      <c r="J45" s="550"/>
      <c r="K45" s="550"/>
      <c r="L45" s="550"/>
      <c r="M45" s="550"/>
      <c r="N45" s="550"/>
      <c r="O45" s="550"/>
      <c r="P45" s="550"/>
    </row>
    <row r="46" spans="1:16" ht="19.5">
      <c r="A46" s="1344" t="str">
        <f>A25</f>
        <v>Otros Cobros de la empresa</v>
      </c>
      <c r="C46" s="2701" t="str">
        <f>Parametros!F$77</f>
        <v>Año 4:  2030</v>
      </c>
      <c r="E46" s="550"/>
      <c r="F46" s="550"/>
      <c r="H46" s="550"/>
      <c r="I46" s="550"/>
      <c r="J46" s="550"/>
      <c r="K46" s="550"/>
      <c r="L46" s="550"/>
      <c r="M46" s="550"/>
      <c r="N46" s="550"/>
    </row>
    <row r="47" spans="1:16" ht="13.5" thickBot="1">
      <c r="C47" s="1338"/>
      <c r="D47" s="550"/>
      <c r="E47" s="550"/>
      <c r="F47" s="550"/>
      <c r="G47" s="550"/>
      <c r="H47" s="550"/>
      <c r="I47" s="550"/>
      <c r="J47" s="550"/>
      <c r="K47" s="550"/>
      <c r="L47" s="550"/>
      <c r="M47" s="550"/>
      <c r="N47" s="550"/>
      <c r="O47" s="550"/>
      <c r="P47" s="550"/>
    </row>
    <row r="48" spans="1:16" ht="27" customHeight="1" thickBot="1">
      <c r="A48" s="167" t="str">
        <f>CONCATENATE("Otros cobros  ",C46)</f>
        <v>Otros cobros  Año 4:  2030</v>
      </c>
      <c r="B48" s="1339" t="str">
        <f t="array" ref="B48:N48">'Estimaciones Ventas'!B57:N57</f>
        <v>enero 
2030</v>
      </c>
      <c r="C48" s="1339" t="str">
        <v>febrero 
2030</v>
      </c>
      <c r="D48" s="1339" t="str">
        <v>marzo 
2030</v>
      </c>
      <c r="E48" s="1339" t="str">
        <v>abril 
2030</v>
      </c>
      <c r="F48" s="1339" t="str">
        <v>mayo 
2030</v>
      </c>
      <c r="G48" s="1339" t="str">
        <v>junio 
2030</v>
      </c>
      <c r="H48" s="1339" t="str">
        <v>julio 
2030</v>
      </c>
      <c r="I48" s="1339" t="str">
        <v>agosto 
2030</v>
      </c>
      <c r="J48" s="1339" t="str">
        <v>septiembre 
2030</v>
      </c>
      <c r="K48" s="1339" t="str">
        <v>octubre 
2030</v>
      </c>
      <c r="L48" s="1339" t="str">
        <v>noviembre 
2030</v>
      </c>
      <c r="M48" s="1339" t="str">
        <v>diciembre 
2030</v>
      </c>
      <c r="N48" s="1339" t="str">
        <v>Totales  
2030</v>
      </c>
      <c r="O48" s="550"/>
    </row>
    <row r="49" spans="1:16">
      <c r="A49" s="1340" t="str">
        <f t="array" ref="A49:A53">A38:A42</f>
        <v>Capital desembolsado</v>
      </c>
      <c r="B49" s="1345"/>
      <c r="C49" s="1345"/>
      <c r="D49" s="1345"/>
      <c r="E49" s="1345"/>
      <c r="F49" s="1345"/>
      <c r="G49" s="1345"/>
      <c r="H49" s="1345"/>
      <c r="I49" s="1345"/>
      <c r="J49" s="1345"/>
      <c r="K49" s="1345"/>
      <c r="L49" s="1345"/>
      <c r="M49" s="1345"/>
      <c r="N49" s="1345">
        <f t="shared" ref="N49:N54" si="5">SUM(B49:M49)</f>
        <v>0</v>
      </c>
      <c r="O49" s="550"/>
    </row>
    <row r="50" spans="1:16">
      <c r="A50" s="1341" t="str">
        <v>Créditos de los socios</v>
      </c>
      <c r="B50" s="1774">
        <f>+Financiación!H17*0</f>
        <v>0</v>
      </c>
      <c r="C50" s="1346"/>
      <c r="D50" s="1346"/>
      <c r="E50" s="1346"/>
      <c r="F50" s="1346"/>
      <c r="G50" s="1346"/>
      <c r="H50" s="1346"/>
      <c r="I50" s="1346"/>
      <c r="J50" s="1346"/>
      <c r="K50" s="1346"/>
      <c r="L50" s="1346"/>
      <c r="M50" s="1346"/>
      <c r="N50" s="1346">
        <f t="shared" si="5"/>
        <v>0</v>
      </c>
      <c r="O50" s="550"/>
    </row>
    <row r="51" spans="1:16">
      <c r="A51" s="1341" t="str">
        <v>Subvenciones</v>
      </c>
      <c r="B51" s="1346"/>
      <c r="C51" s="1346"/>
      <c r="D51" s="1346"/>
      <c r="E51" s="1346"/>
      <c r="F51" s="1346"/>
      <c r="G51" s="1346"/>
      <c r="H51" s="1346"/>
      <c r="I51" s="1346"/>
      <c r="J51" s="1346"/>
      <c r="K51" s="1346"/>
      <c r="L51" s="1346"/>
      <c r="M51" s="1346"/>
      <c r="N51" s="1346">
        <f t="shared" si="5"/>
        <v>0</v>
      </c>
      <c r="O51" s="550"/>
    </row>
    <row r="52" spans="1:16">
      <c r="A52" s="1341" t="str">
        <v>Otros cobros atípicos</v>
      </c>
      <c r="B52" s="1346"/>
      <c r="C52" s="1346"/>
      <c r="D52" s="1346"/>
      <c r="E52" s="1346"/>
      <c r="F52" s="1346"/>
      <c r="G52" s="1346"/>
      <c r="H52" s="1346"/>
      <c r="I52" s="1346"/>
      <c r="J52" s="1346"/>
      <c r="K52" s="1346"/>
      <c r="L52" s="1346"/>
      <c r="M52" s="1772">
        <f>IF(Imp.Sociedades!$J$23&lt;0,-Imp.Sociedades!$J$23,0)*0</f>
        <v>0</v>
      </c>
      <c r="N52" s="1346">
        <f t="shared" si="5"/>
        <v>0</v>
      </c>
      <c r="O52" s="550"/>
    </row>
    <row r="53" spans="1:16">
      <c r="A53" s="1341" t="str">
        <v>Cobros de clientes</v>
      </c>
      <c r="B53" s="1775">
        <f ca="1">+recmorosos*'Cobros y pagos 3'!$S$31/12*0</f>
        <v>0</v>
      </c>
      <c r="C53" s="1775">
        <f ca="1">+recmorosos*'Cobros y pagos 3'!$S$31/12*0</f>
        <v>0</v>
      </c>
      <c r="D53" s="1775">
        <f ca="1">+recmorosos*'Cobros y pagos 3'!$S$31/12*0</f>
        <v>0</v>
      </c>
      <c r="E53" s="1775">
        <f ca="1">+recmorosos*'Cobros y pagos 3'!$S$31/12*0</f>
        <v>0</v>
      </c>
      <c r="F53" s="1775">
        <f ca="1">+recmorosos*'Cobros y pagos 3'!$S$31/12*0</f>
        <v>0</v>
      </c>
      <c r="G53" s="1775">
        <f ca="1">+recmorosos*'Cobros y pagos 3'!$S$31/12*0</f>
        <v>0</v>
      </c>
      <c r="H53" s="1775">
        <f ca="1">+recmorosos*'Cobros y pagos 3'!$S$31/12*0</f>
        <v>0</v>
      </c>
      <c r="I53" s="1775">
        <f ca="1">+recmorosos*'Cobros y pagos 3'!$S$31/12*0</f>
        <v>0</v>
      </c>
      <c r="J53" s="1775">
        <f ca="1">+recmorosos*'Cobros y pagos 3'!$S$31/12*0</f>
        <v>0</v>
      </c>
      <c r="K53" s="1775">
        <f ca="1">+recmorosos*'Cobros y pagos 3'!$S$31/12*0</f>
        <v>0</v>
      </c>
      <c r="L53" s="1775">
        <f ca="1">+recmorosos*'Cobros y pagos 3'!$S$31/12*0</f>
        <v>0</v>
      </c>
      <c r="M53" s="1775">
        <f ca="1">+recmorosos*'Cobros y pagos 3'!$S$31/12*0</f>
        <v>0</v>
      </c>
      <c r="N53" s="1346">
        <f t="shared" ca="1" si="5"/>
        <v>0</v>
      </c>
      <c r="O53" s="550"/>
    </row>
    <row r="54" spans="1:16" ht="13.5" thickBot="1">
      <c r="A54" s="1342" t="s">
        <v>11</v>
      </c>
      <c r="B54" s="1343">
        <f t="shared" ref="B54:M54" ca="1" si="6">SUM(B49:B53)</f>
        <v>0</v>
      </c>
      <c r="C54" s="1343">
        <f t="shared" ca="1" si="6"/>
        <v>0</v>
      </c>
      <c r="D54" s="1343">
        <f t="shared" ca="1" si="6"/>
        <v>0</v>
      </c>
      <c r="E54" s="1343">
        <f t="shared" ca="1" si="6"/>
        <v>0</v>
      </c>
      <c r="F54" s="1343">
        <f t="shared" ca="1" si="6"/>
        <v>0</v>
      </c>
      <c r="G54" s="1343">
        <f t="shared" ca="1" si="6"/>
        <v>0</v>
      </c>
      <c r="H54" s="1343">
        <f t="shared" ca="1" si="6"/>
        <v>0</v>
      </c>
      <c r="I54" s="1343">
        <f t="shared" ca="1" si="6"/>
        <v>0</v>
      </c>
      <c r="J54" s="1343">
        <f t="shared" ca="1" si="6"/>
        <v>0</v>
      </c>
      <c r="K54" s="1343">
        <f t="shared" ca="1" si="6"/>
        <v>0</v>
      </c>
      <c r="L54" s="1343">
        <f t="shared" ca="1" si="6"/>
        <v>0</v>
      </c>
      <c r="M54" s="1343">
        <f t="shared" ca="1" si="6"/>
        <v>0</v>
      </c>
      <c r="N54" s="1343">
        <f t="shared" ca="1" si="5"/>
        <v>0</v>
      </c>
      <c r="O54" s="550"/>
    </row>
    <row r="55" spans="1:16">
      <c r="C55" s="1338"/>
      <c r="D55" s="550"/>
      <c r="E55" s="550"/>
      <c r="F55" s="550"/>
      <c r="G55" s="550"/>
      <c r="H55" s="550"/>
      <c r="I55" s="550"/>
      <c r="J55" s="550"/>
      <c r="K55" s="550"/>
      <c r="L55" s="550"/>
      <c r="M55" s="550"/>
      <c r="N55" s="550"/>
      <c r="O55" s="550"/>
      <c r="P55" s="550"/>
    </row>
    <row r="56" spans="1:16">
      <c r="C56" s="1338"/>
      <c r="D56" s="550"/>
      <c r="E56" s="550"/>
      <c r="F56" s="550"/>
      <c r="G56" s="550"/>
      <c r="H56" s="550"/>
      <c r="I56" s="550"/>
      <c r="J56" s="550"/>
      <c r="K56" s="550"/>
      <c r="L56" s="550"/>
      <c r="M56" s="550"/>
      <c r="N56" s="550"/>
      <c r="O56" s="550"/>
      <c r="P56" s="550"/>
    </row>
    <row r="57" spans="1:16">
      <c r="C57" s="1338"/>
      <c r="D57" s="550"/>
      <c r="E57" s="550"/>
      <c r="F57" s="550"/>
      <c r="G57" s="550"/>
      <c r="H57" s="550"/>
      <c r="I57" s="550"/>
      <c r="J57" s="550"/>
      <c r="K57" s="550"/>
      <c r="L57" s="550"/>
      <c r="M57" s="550"/>
      <c r="N57" s="550"/>
      <c r="O57" s="550"/>
      <c r="P57" s="550"/>
    </row>
    <row r="58" spans="1:16">
      <c r="C58" s="1338"/>
      <c r="D58" s="550"/>
      <c r="E58" s="550"/>
      <c r="F58" s="550"/>
      <c r="G58" s="550"/>
      <c r="H58" s="550"/>
      <c r="I58" s="550"/>
      <c r="J58" s="550"/>
      <c r="K58" s="550"/>
      <c r="L58" s="550"/>
      <c r="M58" s="550"/>
      <c r="N58" s="550"/>
      <c r="O58" s="550"/>
      <c r="P58" s="550"/>
    </row>
    <row r="59" spans="1:16" ht="19.5">
      <c r="A59" s="1344" t="s">
        <v>487</v>
      </c>
      <c r="C59" s="2701" t="str">
        <f>C5</f>
        <v>Año 0:  2026</v>
      </c>
      <c r="E59" s="550"/>
      <c r="F59" s="550"/>
      <c r="H59" s="550"/>
      <c r="I59" s="550"/>
      <c r="J59" s="550"/>
      <c r="K59" s="550"/>
      <c r="L59" s="550"/>
      <c r="M59" s="550"/>
      <c r="N59" s="550"/>
    </row>
    <row r="60" spans="1:16" ht="13.5" thickBot="1">
      <c r="A60" s="550"/>
      <c r="B60" s="1054"/>
      <c r="C60" s="550"/>
      <c r="D60" s="550"/>
      <c r="E60" s="550"/>
      <c r="F60" s="550"/>
      <c r="G60" s="550"/>
      <c r="H60" s="550"/>
      <c r="I60" s="550"/>
      <c r="J60" s="550"/>
      <c r="K60" s="550"/>
      <c r="L60" s="550"/>
      <c r="M60" s="550"/>
      <c r="N60" s="550"/>
      <c r="O60" s="550"/>
      <c r="P60" s="550"/>
    </row>
    <row r="61" spans="1:16" ht="27.75" customHeight="1" thickBot="1">
      <c r="A61" s="167" t="str">
        <f>CONCATENATE("Otros pagos  ",C59)</f>
        <v>Otros pagos  Año 0:  2026</v>
      </c>
      <c r="B61" s="1339" t="str">
        <f t="array" ref="B61:N61">B7:N7</f>
        <v>enero 
2026</v>
      </c>
      <c r="C61" s="1339" t="str">
        <v>febrero 
2026</v>
      </c>
      <c r="D61" s="1339" t="str">
        <v>marzo 
2026</v>
      </c>
      <c r="E61" s="1339" t="str">
        <v>abril 
2026</v>
      </c>
      <c r="F61" s="1339" t="str">
        <v>mayo 
2026</v>
      </c>
      <c r="G61" s="1339" t="str">
        <v>junio 
2026</v>
      </c>
      <c r="H61" s="1339" t="str">
        <v>julio 
2026</v>
      </c>
      <c r="I61" s="1339" t="str">
        <v>agosto 
2026</v>
      </c>
      <c r="J61" s="1339" t="str">
        <v>septiembre 
2026</v>
      </c>
      <c r="K61" s="1339" t="str">
        <v>octubre 
2026</v>
      </c>
      <c r="L61" s="1339" t="str">
        <v>noviembre 
2026</v>
      </c>
      <c r="M61" s="1339" t="str">
        <v>diciembre 
2026</v>
      </c>
      <c r="N61" s="1339" t="str">
        <v>Totales  
2026</v>
      </c>
      <c r="O61" s="87"/>
    </row>
    <row r="62" spans="1:16">
      <c r="A62" s="1340" t="s">
        <v>108</v>
      </c>
      <c r="B62" s="1345"/>
      <c r="C62" s="1345"/>
      <c r="D62" s="1345"/>
      <c r="E62" s="1345"/>
      <c r="F62" s="1345"/>
      <c r="G62" s="1345"/>
      <c r="H62" s="1345"/>
      <c r="I62" s="1345"/>
      <c r="J62" s="1345"/>
      <c r="K62" s="1345"/>
      <c r="L62" s="1345"/>
      <c r="M62" s="1345"/>
      <c r="N62" s="1345">
        <f>SUM(B62:M62)</f>
        <v>0</v>
      </c>
      <c r="O62" s="87"/>
    </row>
    <row r="63" spans="1:16">
      <c r="A63" s="1341" t="s">
        <v>109</v>
      </c>
      <c r="B63" s="1346"/>
      <c r="C63" s="1346"/>
      <c r="D63" s="1346"/>
      <c r="E63" s="1346"/>
      <c r="F63" s="1346"/>
      <c r="G63" s="1346"/>
      <c r="H63" s="1346"/>
      <c r="I63" s="1346"/>
      <c r="J63" s="1346"/>
      <c r="K63" s="1346"/>
      <c r="L63" s="1346"/>
      <c r="M63" s="1346"/>
      <c r="N63" s="1346">
        <f>SUM(B63:M63)</f>
        <v>0</v>
      </c>
      <c r="O63" s="87"/>
    </row>
    <row r="64" spans="1:16">
      <c r="A64" s="1341" t="s">
        <v>250</v>
      </c>
      <c r="B64" s="1959">
        <v>0</v>
      </c>
      <c r="C64" s="1959"/>
      <c r="D64" s="1959"/>
      <c r="E64" s="1959"/>
      <c r="F64" s="1959"/>
      <c r="G64" s="1959"/>
      <c r="H64" s="1959"/>
      <c r="I64" s="1959"/>
      <c r="J64" s="1959"/>
      <c r="K64" s="1959"/>
      <c r="L64" s="1959"/>
      <c r="M64" s="1959"/>
      <c r="N64" s="1770">
        <f>SUM(B64:M64)</f>
        <v>0</v>
      </c>
      <c r="O64" s="87"/>
    </row>
    <row r="65" spans="1:15">
      <c r="A65" s="1341" t="s">
        <v>129</v>
      </c>
      <c r="B65" s="1769">
        <f>'Financiación Inicial'!$B$27*IF(OR(mes0&gt;COLUMN(B11)-1,COLUMN(B11)-mes0&gt;6),0,INDEX('Politicas Cobros y Pagos'!$C$67:$H$67,1,COLUMN(B11)-mes0))*0</f>
        <v>0</v>
      </c>
      <c r="C65" s="1769">
        <f>'Financiación Inicial'!$B$27*IF(OR(mes0&gt;COLUMN(C11)-1,COLUMN(C11)-mes0&gt;6),0,INDEX('Politicas Cobros y Pagos'!$C$67:$H$67,1,COLUMN(C11)-mes0))*0</f>
        <v>0</v>
      </c>
      <c r="D65" s="1769">
        <f>'Financiación Inicial'!$B$27*IF(OR(mes0&gt;COLUMN(D11)-1,COLUMN(D11)-mes0&gt;6),0,INDEX('Politicas Cobros y Pagos'!$C$67:$H$67,1,COLUMN(D11)-mes0))*0</f>
        <v>0</v>
      </c>
      <c r="E65" s="1769">
        <f>'Financiación Inicial'!$B$27*IF(OR(mes0&gt;COLUMN(E11)-1,COLUMN(E11)-mes0&gt;6),0,INDEX('Politicas Cobros y Pagos'!$C$67:$H$67,1,COLUMN(E11)-mes0))*0</f>
        <v>0</v>
      </c>
      <c r="F65" s="1769">
        <f>'Financiación Inicial'!$B$27*IF(OR(mes0&gt;COLUMN(F11)-1,COLUMN(F11)-mes0&gt;6),0,INDEX('Politicas Cobros y Pagos'!$C$67:$H$67,1,COLUMN(F11)-mes0))*0</f>
        <v>0</v>
      </c>
      <c r="G65" s="1769">
        <f>'Financiación Inicial'!$B$27*IF(OR(mes0&gt;COLUMN(G11)-1,COLUMN(G11)-mes0&gt;6),0,INDEX('Politicas Cobros y Pagos'!$C$67:$H$67,1,COLUMN(G11)-mes0))*0</f>
        <v>0</v>
      </c>
      <c r="H65" s="1769">
        <f>'Financiación Inicial'!$B$27*IF(OR(mes0&gt;COLUMN(H11)-1,COLUMN(H11)-mes0&gt;6),0,INDEX('Politicas Cobros y Pagos'!$C$67:$H$67,1,COLUMN(H11)-mes0))*0</f>
        <v>0</v>
      </c>
      <c r="I65" s="1769">
        <f>'Financiación Inicial'!$B$27*IF(OR(mes0&gt;COLUMN(I11)-1,COLUMN(I11)-mes0&gt;6),0,INDEX('Politicas Cobros y Pagos'!$C$67:$H$67,1,COLUMN(I11)-mes0))*0</f>
        <v>0</v>
      </c>
      <c r="J65" s="1769">
        <f>'Financiación Inicial'!$B$27*IF(OR(mes0&gt;COLUMN(J11)-1,COLUMN(J11)-mes0&gt;6),0,INDEX('Politicas Cobros y Pagos'!$C$67:$H$67,1,COLUMN(J11)-mes0))*0</f>
        <v>0</v>
      </c>
      <c r="K65" s="1769">
        <f>'Financiación Inicial'!$B$27*IF(OR(mes0&gt;COLUMN(K11)-1,COLUMN(K11)-mes0&gt;6),0,INDEX('Politicas Cobros y Pagos'!$C$67:$H$67,1,COLUMN(K11)-mes0))*0</f>
        <v>0</v>
      </c>
      <c r="L65" s="1769">
        <f>'Financiación Inicial'!$B$27*IF(OR(mes0&gt;COLUMN(L11)-1,COLUMN(L11)-mes0&gt;6),0,INDEX('Politicas Cobros y Pagos'!$C$67:$H$67,1,COLUMN(L11)-mes0))*0</f>
        <v>0</v>
      </c>
      <c r="M65" s="1769">
        <f>'Financiación Inicial'!$B$27*IF(OR(mes0&gt;COLUMN(M11)-1,COLUMN(M11)-mes0&gt;6),0,INDEX('Politicas Cobros y Pagos'!$C$67:$H$67,1,COLUMN(M11)-mes0))*0</f>
        <v>0</v>
      </c>
      <c r="N65" s="1770">
        <f>SUM(B65:M65)</f>
        <v>0</v>
      </c>
      <c r="O65" s="87"/>
    </row>
    <row r="66" spans="1:15" ht="13.5" thickBot="1">
      <c r="A66" s="1342" t="s">
        <v>11</v>
      </c>
      <c r="B66" s="1771">
        <f t="shared" ref="B66:M66" si="7">SUM(B62:B65)</f>
        <v>0</v>
      </c>
      <c r="C66" s="1771">
        <f t="shared" si="7"/>
        <v>0</v>
      </c>
      <c r="D66" s="1771">
        <f t="shared" si="7"/>
        <v>0</v>
      </c>
      <c r="E66" s="1771">
        <f t="shared" si="7"/>
        <v>0</v>
      </c>
      <c r="F66" s="1771">
        <f t="shared" si="7"/>
        <v>0</v>
      </c>
      <c r="G66" s="1771">
        <f t="shared" si="7"/>
        <v>0</v>
      </c>
      <c r="H66" s="1771">
        <f t="shared" si="7"/>
        <v>0</v>
      </c>
      <c r="I66" s="1771">
        <f t="shared" si="7"/>
        <v>0</v>
      </c>
      <c r="J66" s="1771">
        <f t="shared" si="7"/>
        <v>0</v>
      </c>
      <c r="K66" s="1771">
        <f t="shared" si="7"/>
        <v>0</v>
      </c>
      <c r="L66" s="1771">
        <f t="shared" si="7"/>
        <v>0</v>
      </c>
      <c r="M66" s="1771">
        <f t="shared" si="7"/>
        <v>0</v>
      </c>
      <c r="N66" s="1343">
        <f>SUM(B66:M66)</f>
        <v>0</v>
      </c>
      <c r="O66" s="87"/>
    </row>
    <row r="67" spans="1:15">
      <c r="A67" s="550"/>
      <c r="B67" s="1054"/>
      <c r="C67" s="543"/>
      <c r="D67" s="543"/>
      <c r="E67" s="543"/>
      <c r="F67" s="543"/>
      <c r="G67" s="543"/>
      <c r="H67" s="543"/>
      <c r="I67" s="543"/>
      <c r="J67" s="543"/>
      <c r="K67" s="543"/>
      <c r="L67" s="543"/>
      <c r="M67" s="543"/>
      <c r="O67" s="87"/>
    </row>
    <row r="68" spans="1:15">
      <c r="O68" s="87"/>
    </row>
    <row r="69" spans="1:15" ht="19.5">
      <c r="A69" s="1344" t="str">
        <f>A59</f>
        <v>Otros Pagos de la empresa</v>
      </c>
      <c r="C69" s="2701" t="str">
        <f>C15</f>
        <v>Año 1:  2027</v>
      </c>
      <c r="E69" s="550"/>
      <c r="F69" s="550"/>
      <c r="H69" s="550"/>
      <c r="I69" s="550"/>
      <c r="J69" s="550"/>
      <c r="K69" s="550"/>
      <c r="L69" s="550"/>
      <c r="M69" s="550"/>
      <c r="N69" s="550"/>
    </row>
    <row r="70" spans="1:15" ht="13.5" thickBot="1">
      <c r="A70" s="550"/>
      <c r="B70" s="1054"/>
      <c r="C70" s="550"/>
      <c r="D70" s="550"/>
      <c r="E70" s="550"/>
      <c r="F70" s="550"/>
      <c r="G70" s="550"/>
      <c r="H70" s="550"/>
      <c r="I70" s="550"/>
      <c r="J70" s="550"/>
      <c r="K70" s="550"/>
      <c r="L70" s="550"/>
      <c r="M70" s="550"/>
      <c r="N70" s="550"/>
    </row>
    <row r="71" spans="1:15" ht="27" customHeight="1" thickBot="1">
      <c r="A71" s="167" t="str">
        <f>CONCATENATE("Otros pagos  ",C69)</f>
        <v>Otros pagos  Año 1:  2027</v>
      </c>
      <c r="B71" s="1339" t="str">
        <f t="array" ref="B71:N71">B17:N17</f>
        <v>enero 
2027</v>
      </c>
      <c r="C71" s="1339" t="str">
        <v>febrero 
2027</v>
      </c>
      <c r="D71" s="1339" t="str">
        <v>marzo 
2027</v>
      </c>
      <c r="E71" s="1339" t="str">
        <v>abril 
2027</v>
      </c>
      <c r="F71" s="1339" t="str">
        <v>mayo 
2027</v>
      </c>
      <c r="G71" s="1339" t="str">
        <v>junio 
2027</v>
      </c>
      <c r="H71" s="1339" t="str">
        <v>julio 
2027</v>
      </c>
      <c r="I71" s="1339" t="str">
        <v>agosto 
2027</v>
      </c>
      <c r="J71" s="1339" t="str">
        <v>septiembre 
2027</v>
      </c>
      <c r="K71" s="1339" t="str">
        <v>octubre 
2027</v>
      </c>
      <c r="L71" s="1339" t="str">
        <v>noviembre 
2027</v>
      </c>
      <c r="M71" s="1339" t="str">
        <v>diciembre 
2027</v>
      </c>
      <c r="N71" s="1339" t="str">
        <v>Totales  
2027</v>
      </c>
    </row>
    <row r="72" spans="1:15">
      <c r="A72" s="1340" t="str">
        <f t="array" ref="A72:A75">$A$62:$A$65</f>
        <v>Pagos de inversiones</v>
      </c>
      <c r="B72" s="1345"/>
      <c r="C72" s="1345"/>
      <c r="D72" s="1345"/>
      <c r="E72" s="1345"/>
      <c r="F72" s="1345"/>
      <c r="G72" s="1345"/>
      <c r="H72" s="1345"/>
      <c r="I72" s="1345"/>
      <c r="J72" s="1345"/>
      <c r="K72" s="1345"/>
      <c r="L72" s="1345"/>
      <c r="M72" s="1345"/>
      <c r="N72" s="1345">
        <f>SUM(B72:M72)</f>
        <v>0</v>
      </c>
    </row>
    <row r="73" spans="1:15">
      <c r="A73" s="1341" t="str">
        <v>Pago de dividendos</v>
      </c>
      <c r="B73" s="1346"/>
      <c r="C73" s="1346"/>
      <c r="D73" s="1346"/>
      <c r="E73" s="1346"/>
      <c r="F73" s="1346"/>
      <c r="G73" s="1346"/>
      <c r="H73" s="1769">
        <f>Imp.Sociedades!$B$32/2*0</f>
        <v>0</v>
      </c>
      <c r="I73" s="1346"/>
      <c r="J73" s="1346"/>
      <c r="K73" s="1346"/>
      <c r="L73" s="1346"/>
      <c r="M73" s="1769">
        <f>Imp.Sociedades!$B$32/2*0</f>
        <v>0</v>
      </c>
      <c r="N73" s="1346">
        <f>SUM(B73:M73)</f>
        <v>0</v>
      </c>
    </row>
    <row r="74" spans="1:15">
      <c r="A74" s="1341" t="str">
        <v>Dev. Otros Acreedores LP</v>
      </c>
      <c r="B74" s="1959"/>
      <c r="C74" s="1959"/>
      <c r="D74" s="1959"/>
      <c r="E74" s="1959"/>
      <c r="F74" s="1959"/>
      <c r="G74" s="1959"/>
      <c r="H74" s="1959"/>
      <c r="I74" s="1959"/>
      <c r="J74" s="1959"/>
      <c r="K74" s="1959"/>
      <c r="L74" s="1959"/>
      <c r="M74" s="1959"/>
      <c r="N74" s="1770">
        <f>SUM(B74:M74)</f>
        <v>0</v>
      </c>
    </row>
    <row r="75" spans="1:15">
      <c r="A75" s="1341" t="str">
        <v>Pagos pend. proveedores</v>
      </c>
      <c r="B75" s="1769">
        <f>'Financiación Inicial'!$B$27*IF(OR(mes0&lt;=7,COLUMN(B11)&gt;mes0-6),0,INDEX('Politicas Cobros y Pagos'!$C$67:$H$67,1,COLUMN(B11)-mes0+12))*0</f>
        <v>0</v>
      </c>
      <c r="C75" s="1769">
        <f>'Financiación Inicial'!$B$27*IF(OR(mes0&lt;=7,COLUMN(C11)&gt;mes0-6),0,INDEX('Politicas Cobros y Pagos'!$C$67:$H$67,1,COLUMN(C11)-mes0+12))*0</f>
        <v>0</v>
      </c>
      <c r="D75" s="1769">
        <f>'Financiación Inicial'!$B$27*IF(OR(mes0&lt;=7,COLUMN(D11)&gt;mes0-6),0,INDEX('Politicas Cobros y Pagos'!$C$67:$H$67,1,COLUMN(D11)-mes0+12))*0</f>
        <v>0</v>
      </c>
      <c r="E75" s="1769">
        <f>'Financiación Inicial'!$B$27*IF(OR(mes0&lt;=7,COLUMN(E11)&gt;mes0-6),0,INDEX('Politicas Cobros y Pagos'!$C$67:$H$67,1,COLUMN(E11)-mes0+12))*0</f>
        <v>0</v>
      </c>
      <c r="F75" s="1769">
        <f>'Financiación Inicial'!$B$27*IF(OR(mes0&lt;=7,COLUMN(F11)&gt;mes0-6),0,INDEX('Politicas Cobros y Pagos'!$C$67:$H$67,1,COLUMN(F11)-mes0+12))*0</f>
        <v>0</v>
      </c>
      <c r="G75" s="1769">
        <f>'Financiación Inicial'!$B$27*IF(OR(mes0&lt;=7,COLUMN(G11)&gt;mes0-6),0,INDEX('Politicas Cobros y Pagos'!$C$67:$H$67,1,COLUMN(G11)-mes0+12))*0</f>
        <v>0</v>
      </c>
      <c r="H75" s="1769">
        <f>'Financiación Inicial'!$B$27*IF(OR(mes0&lt;=7,COLUMN(H11)&gt;mes0-6),0,INDEX('Politicas Cobros y Pagos'!$C$67:$H$67,1,COLUMN(H11)-mes0+12))*0</f>
        <v>0</v>
      </c>
      <c r="I75" s="1769">
        <f>'Financiación Inicial'!$B$27*IF(OR(mes0&lt;=7,COLUMN(I11)&gt;mes0-6),0,INDEX('Politicas Cobros y Pagos'!$C$67:$H$67,1,COLUMN(I11)-mes0+12))*0</f>
        <v>0</v>
      </c>
      <c r="J75" s="1769">
        <f>'Financiación Inicial'!$B$27*IF(OR(mes0&lt;=7,COLUMN(J11)&gt;mes0-6),0,INDEX('Politicas Cobros y Pagos'!$C$67:$H$67,1,COLUMN(J11)-mes0+12))*0</f>
        <v>0</v>
      </c>
      <c r="K75" s="1769">
        <f>'Financiación Inicial'!$B$27*IF(OR(mes0&lt;=7,COLUMN(K11)&gt;mes0-6),0,INDEX('Politicas Cobros y Pagos'!$C$67:$H$67,1,COLUMN(K11)-mes0+12))*0</f>
        <v>0</v>
      </c>
      <c r="L75" s="1769">
        <f>'Financiación Inicial'!$B$27*IF(OR(mes0&lt;=7,COLUMN(L11)&gt;mes0-6),0,INDEX('Politicas Cobros y Pagos'!$C$67:$H$67,1,COLUMN(L11)-mes0+12))*0</f>
        <v>0</v>
      </c>
      <c r="M75" s="1769">
        <f>'Financiación Inicial'!$B$27*IF(OR(mes0&lt;=7,COLUMN(M11)&gt;mes0-6),0,INDEX('Politicas Cobros y Pagos'!$C$67:$H$67,1,COLUMN(M11)-mes0+12))*0</f>
        <v>0</v>
      </c>
      <c r="N75" s="1346">
        <f>SUM(B75:M75)</f>
        <v>0</v>
      </c>
    </row>
    <row r="76" spans="1:15" ht="13.5" thickBot="1">
      <c r="A76" s="1342" t="s">
        <v>11</v>
      </c>
      <c r="B76" s="1773">
        <f t="shared" ref="B76:M76" si="8">SUM(B72:B75)</f>
        <v>0</v>
      </c>
      <c r="C76" s="1773">
        <f t="shared" si="8"/>
        <v>0</v>
      </c>
      <c r="D76" s="1773">
        <f t="shared" si="8"/>
        <v>0</v>
      </c>
      <c r="E76" s="1773">
        <f t="shared" si="8"/>
        <v>0</v>
      </c>
      <c r="F76" s="1773">
        <f t="shared" si="8"/>
        <v>0</v>
      </c>
      <c r="G76" s="1773">
        <f t="shared" si="8"/>
        <v>0</v>
      </c>
      <c r="H76" s="1773">
        <f t="shared" si="8"/>
        <v>0</v>
      </c>
      <c r="I76" s="1773">
        <f t="shared" si="8"/>
        <v>0</v>
      </c>
      <c r="J76" s="1773">
        <f t="shared" si="8"/>
        <v>0</v>
      </c>
      <c r="K76" s="1773">
        <f t="shared" si="8"/>
        <v>0</v>
      </c>
      <c r="L76" s="1773">
        <f t="shared" si="8"/>
        <v>0</v>
      </c>
      <c r="M76" s="1773">
        <f t="shared" si="8"/>
        <v>0</v>
      </c>
      <c r="N76" s="1343">
        <f>SUM(B76:M76)</f>
        <v>0</v>
      </c>
    </row>
    <row r="79" spans="1:15" ht="19.5">
      <c r="A79" s="1344" t="str">
        <f>A59</f>
        <v>Otros Pagos de la empresa</v>
      </c>
      <c r="C79" s="2701" t="str">
        <f>C25</f>
        <v>Año 2:  2028</v>
      </c>
      <c r="E79" s="550"/>
      <c r="F79" s="550"/>
      <c r="H79" s="550"/>
      <c r="I79" s="550"/>
      <c r="J79" s="550"/>
      <c r="K79" s="550"/>
      <c r="L79" s="550"/>
      <c r="M79" s="550"/>
      <c r="N79" s="550"/>
    </row>
    <row r="80" spans="1:15" ht="13.5" thickBot="1">
      <c r="A80" s="550"/>
      <c r="B80" s="1054"/>
      <c r="C80" s="550"/>
      <c r="D80" s="550"/>
      <c r="E80" s="550"/>
      <c r="F80" s="550"/>
      <c r="G80" s="550"/>
      <c r="H80" s="550"/>
      <c r="I80" s="550"/>
      <c r="J80" s="550"/>
      <c r="K80" s="550"/>
      <c r="L80" s="550"/>
      <c r="M80" s="550"/>
      <c r="N80" s="550"/>
    </row>
    <row r="81" spans="1:14" ht="29.25" customHeight="1" thickBot="1">
      <c r="A81" s="167" t="str">
        <f>CONCATENATE("Otros pagos  ",C79)</f>
        <v>Otros pagos  Año 2:  2028</v>
      </c>
      <c r="B81" s="1339" t="str">
        <f t="array" ref="B81:N81">B27:N27</f>
        <v>enero 
2028</v>
      </c>
      <c r="C81" s="1339" t="str">
        <v>febrero 
2028</v>
      </c>
      <c r="D81" s="1339" t="str">
        <v>marzo 
2028</v>
      </c>
      <c r="E81" s="1339" t="str">
        <v>abril 
2028</v>
      </c>
      <c r="F81" s="1339" t="str">
        <v>mayo 
2028</v>
      </c>
      <c r="G81" s="1339" t="str">
        <v>junio 
2028</v>
      </c>
      <c r="H81" s="1339" t="str">
        <v>julio 
2028</v>
      </c>
      <c r="I81" s="1339" t="str">
        <v>agosto 
2028</v>
      </c>
      <c r="J81" s="1339" t="str">
        <v>septiembre 
2028</v>
      </c>
      <c r="K81" s="1339" t="str">
        <v>octubre 
2028</v>
      </c>
      <c r="L81" s="1339" t="str">
        <v>noviembre 
2028</v>
      </c>
      <c r="M81" s="1339" t="str">
        <v>diciembre 
2028</v>
      </c>
      <c r="N81" s="1339" t="str">
        <v>Totales  
2028</v>
      </c>
    </row>
    <row r="82" spans="1:14">
      <c r="A82" s="1340" t="str">
        <f t="array" ref="A82:A85">$A$62:$A$65</f>
        <v>Pagos de inversiones</v>
      </c>
      <c r="B82" s="1345"/>
      <c r="C82" s="1345"/>
      <c r="D82" s="1345"/>
      <c r="E82" s="1345"/>
      <c r="F82" s="1345"/>
      <c r="G82" s="1345"/>
      <c r="H82" s="1345"/>
      <c r="I82" s="1345"/>
      <c r="J82" s="1345"/>
      <c r="K82" s="1345"/>
      <c r="L82" s="1345"/>
      <c r="M82" s="1345"/>
      <c r="N82" s="1345">
        <f>SUM(B82:M82)</f>
        <v>0</v>
      </c>
    </row>
    <row r="83" spans="1:14">
      <c r="A83" s="1341" t="str">
        <v>Pago de dividendos</v>
      </c>
      <c r="B83" s="1346"/>
      <c r="C83" s="1346"/>
      <c r="D83" s="1346"/>
      <c r="E83" s="1346"/>
      <c r="F83" s="1346"/>
      <c r="G83" s="1346"/>
      <c r="H83" s="1769">
        <f>Imp.Sociedades!$D$32/2*0</f>
        <v>0</v>
      </c>
      <c r="I83" s="1346"/>
      <c r="J83" s="1346"/>
      <c r="K83" s="1346"/>
      <c r="L83" s="1346"/>
      <c r="M83" s="1772">
        <f>Imp.Sociedades!$D$32/2*0</f>
        <v>0</v>
      </c>
      <c r="N83" s="1346">
        <f>SUM(B83:M83)</f>
        <v>0</v>
      </c>
    </row>
    <row r="84" spans="1:14">
      <c r="A84" s="1341" t="str">
        <v>Dev. Otros Acreedores LP</v>
      </c>
      <c r="B84" s="1959"/>
      <c r="C84" s="1959"/>
      <c r="D84" s="1959"/>
      <c r="E84" s="1959"/>
      <c r="F84" s="1959"/>
      <c r="G84" s="1959"/>
      <c r="H84" s="1959"/>
      <c r="I84" s="1959"/>
      <c r="J84" s="1959"/>
      <c r="K84" s="1959"/>
      <c r="L84" s="1959"/>
      <c r="M84" s="1959"/>
      <c r="N84" s="1770">
        <f>SUM(B84:M84)</f>
        <v>0</v>
      </c>
    </row>
    <row r="85" spans="1:14">
      <c r="A85" s="1341" t="str">
        <v>Pagos pend. proveedores</v>
      </c>
      <c r="B85" s="1346"/>
      <c r="C85" s="1346"/>
      <c r="D85" s="1346"/>
      <c r="E85" s="1346"/>
      <c r="F85" s="1346"/>
      <c r="G85" s="1346"/>
      <c r="H85" s="1346"/>
      <c r="I85" s="1346"/>
      <c r="J85" s="1346"/>
      <c r="K85" s="1346"/>
      <c r="L85" s="1346"/>
      <c r="M85" s="1346"/>
      <c r="N85" s="1346">
        <f>SUM(B85:M85)</f>
        <v>0</v>
      </c>
    </row>
    <row r="86" spans="1:14" ht="13.5" thickBot="1">
      <c r="A86" s="1342" t="s">
        <v>11</v>
      </c>
      <c r="B86" s="1773">
        <f t="shared" ref="B86:M86" si="9">SUM(B82:B85)</f>
        <v>0</v>
      </c>
      <c r="C86" s="1773">
        <f t="shared" si="9"/>
        <v>0</v>
      </c>
      <c r="D86" s="1773">
        <f t="shared" si="9"/>
        <v>0</v>
      </c>
      <c r="E86" s="1773">
        <f t="shared" si="9"/>
        <v>0</v>
      </c>
      <c r="F86" s="1773">
        <f t="shared" si="9"/>
        <v>0</v>
      </c>
      <c r="G86" s="1773">
        <f t="shared" si="9"/>
        <v>0</v>
      </c>
      <c r="H86" s="1773">
        <f t="shared" si="9"/>
        <v>0</v>
      </c>
      <c r="I86" s="1773">
        <f t="shared" si="9"/>
        <v>0</v>
      </c>
      <c r="J86" s="1773">
        <f t="shared" si="9"/>
        <v>0</v>
      </c>
      <c r="K86" s="1773">
        <f t="shared" si="9"/>
        <v>0</v>
      </c>
      <c r="L86" s="1773">
        <f t="shared" si="9"/>
        <v>0</v>
      </c>
      <c r="M86" s="1773">
        <f t="shared" si="9"/>
        <v>0</v>
      </c>
      <c r="N86" s="1343">
        <f>SUM(B86:M86)</f>
        <v>0</v>
      </c>
    </row>
    <row r="89" spans="1:14" ht="19.5">
      <c r="A89" s="1344" t="str">
        <f>A69</f>
        <v>Otros Pagos de la empresa</v>
      </c>
      <c r="C89" s="2701" t="str">
        <f>C35</f>
        <v>Año 3:  2029</v>
      </c>
      <c r="E89" s="550"/>
      <c r="F89" s="550"/>
      <c r="H89" s="550"/>
      <c r="I89" s="550"/>
      <c r="J89" s="550"/>
      <c r="K89" s="550"/>
      <c r="L89" s="550"/>
      <c r="M89" s="550"/>
      <c r="N89" s="550"/>
    </row>
    <row r="90" spans="1:14" ht="13.5" thickBot="1">
      <c r="A90" s="550"/>
      <c r="B90" s="1054"/>
      <c r="C90" s="550"/>
      <c r="D90" s="550"/>
      <c r="E90" s="550"/>
      <c r="F90" s="550"/>
      <c r="G90" s="550"/>
      <c r="H90" s="550"/>
      <c r="I90" s="550"/>
      <c r="J90" s="550"/>
      <c r="K90" s="550"/>
      <c r="L90" s="550"/>
      <c r="M90" s="550"/>
      <c r="N90" s="550"/>
    </row>
    <row r="91" spans="1:14" ht="29.25" customHeight="1" thickBot="1">
      <c r="A91" s="167" t="str">
        <f>CONCATENATE("Otros pagos  ",C89)</f>
        <v>Otros pagos  Año 3:  2029</v>
      </c>
      <c r="B91" s="1339" t="str">
        <f t="array" ref="B91:N91">B37:N37</f>
        <v>enero 
2029</v>
      </c>
      <c r="C91" s="1339" t="str">
        <v>febrero 
2029</v>
      </c>
      <c r="D91" s="1339" t="str">
        <v>marzo 
2029</v>
      </c>
      <c r="E91" s="1339" t="str">
        <v>abril 
2029</v>
      </c>
      <c r="F91" s="1339" t="str">
        <v>mayo 
2029</v>
      </c>
      <c r="G91" s="1339" t="str">
        <v>junio 
2029</v>
      </c>
      <c r="H91" s="1339" t="str">
        <v>julio 
2029</v>
      </c>
      <c r="I91" s="1339" t="str">
        <v>agosto 
2029</v>
      </c>
      <c r="J91" s="1339" t="str">
        <v>septiembre 
2029</v>
      </c>
      <c r="K91" s="1339" t="str">
        <v>octubre 
2029</v>
      </c>
      <c r="L91" s="1339" t="str">
        <v>noviembre 
2029</v>
      </c>
      <c r="M91" s="1339" t="str">
        <v>diciembre 
2029</v>
      </c>
      <c r="N91" s="1339" t="str">
        <v>Totales  
2029</v>
      </c>
    </row>
    <row r="92" spans="1:14">
      <c r="A92" s="1340" t="str">
        <f t="array" ref="A92:A95">$A$62:$A$65</f>
        <v>Pagos de inversiones</v>
      </c>
      <c r="B92" s="1345"/>
      <c r="C92" s="1345"/>
      <c r="D92" s="1345"/>
      <c r="E92" s="1345"/>
      <c r="F92" s="1345"/>
      <c r="G92" s="1345"/>
      <c r="H92" s="1345"/>
      <c r="I92" s="1345"/>
      <c r="J92" s="1345"/>
      <c r="K92" s="1345"/>
      <c r="L92" s="1345"/>
      <c r="M92" s="1345"/>
      <c r="N92" s="1345">
        <f>SUM(B92:M92)</f>
        <v>0</v>
      </c>
    </row>
    <row r="93" spans="1:14">
      <c r="A93" s="1341" t="str">
        <v>Pago de dividendos</v>
      </c>
      <c r="B93" s="1346"/>
      <c r="C93" s="1346"/>
      <c r="D93" s="1346"/>
      <c r="E93" s="1346"/>
      <c r="F93" s="1346"/>
      <c r="G93" s="1346"/>
      <c r="H93" s="1772">
        <f>Imp.Sociedades!$G$32/2*0</f>
        <v>0</v>
      </c>
      <c r="I93" s="1346"/>
      <c r="J93" s="1346"/>
      <c r="K93" s="1346"/>
      <c r="L93" s="1346"/>
      <c r="M93" s="1772">
        <f>Imp.Sociedades!$G$32/2*0</f>
        <v>0</v>
      </c>
      <c r="N93" s="1346">
        <f>SUM(B93:M93)</f>
        <v>0</v>
      </c>
    </row>
    <row r="94" spans="1:14">
      <c r="A94" s="1341" t="str">
        <v>Dev. Otros Acreedores LP</v>
      </c>
      <c r="B94" s="1959"/>
      <c r="C94" s="1959"/>
      <c r="D94" s="1959"/>
      <c r="E94" s="1959"/>
      <c r="F94" s="1959"/>
      <c r="G94" s="1959"/>
      <c r="H94" s="1959"/>
      <c r="I94" s="1959"/>
      <c r="J94" s="1959"/>
      <c r="K94" s="1959"/>
      <c r="L94" s="1959"/>
      <c r="M94" s="1959"/>
      <c r="N94" s="1770">
        <f>SUM(B94:M94)</f>
        <v>0</v>
      </c>
    </row>
    <row r="95" spans="1:14">
      <c r="A95" s="1341" t="str">
        <v>Pagos pend. proveedores</v>
      </c>
      <c r="B95" s="1346"/>
      <c r="C95" s="1346"/>
      <c r="D95" s="1346"/>
      <c r="E95" s="1346"/>
      <c r="F95" s="1346"/>
      <c r="G95" s="1346"/>
      <c r="H95" s="1346"/>
      <c r="I95" s="1346"/>
      <c r="J95" s="1346"/>
      <c r="K95" s="1346"/>
      <c r="L95" s="1346"/>
      <c r="M95" s="1346"/>
      <c r="N95" s="1346">
        <f>SUM(B95:M95)</f>
        <v>0</v>
      </c>
    </row>
    <row r="96" spans="1:14" ht="13.5" thickBot="1">
      <c r="A96" s="1342" t="s">
        <v>11</v>
      </c>
      <c r="B96" s="1773">
        <f t="shared" ref="B96:M96" si="10">SUM(B92:B95)</f>
        <v>0</v>
      </c>
      <c r="C96" s="1773">
        <f t="shared" si="10"/>
        <v>0</v>
      </c>
      <c r="D96" s="1773">
        <f t="shared" si="10"/>
        <v>0</v>
      </c>
      <c r="E96" s="1773">
        <f t="shared" si="10"/>
        <v>0</v>
      </c>
      <c r="F96" s="1773">
        <f t="shared" si="10"/>
        <v>0</v>
      </c>
      <c r="G96" s="1773">
        <f t="shared" si="10"/>
        <v>0</v>
      </c>
      <c r="H96" s="1773">
        <f t="shared" si="10"/>
        <v>0</v>
      </c>
      <c r="I96" s="1773">
        <f t="shared" si="10"/>
        <v>0</v>
      </c>
      <c r="J96" s="1773">
        <f t="shared" si="10"/>
        <v>0</v>
      </c>
      <c r="K96" s="1773">
        <f t="shared" si="10"/>
        <v>0</v>
      </c>
      <c r="L96" s="1773">
        <f t="shared" si="10"/>
        <v>0</v>
      </c>
      <c r="M96" s="1773">
        <f t="shared" si="10"/>
        <v>0</v>
      </c>
      <c r="N96" s="1343">
        <f>SUM(B96:M96)</f>
        <v>0</v>
      </c>
    </row>
    <row r="99" spans="1:14" ht="19.5">
      <c r="A99" s="1344" t="str">
        <f>A79</f>
        <v>Otros Pagos de la empresa</v>
      </c>
      <c r="C99" s="2701" t="str">
        <f>C46</f>
        <v>Año 4:  2030</v>
      </c>
      <c r="E99" s="550"/>
      <c r="F99" s="550"/>
      <c r="H99" s="550"/>
      <c r="I99" s="550"/>
      <c r="J99" s="550"/>
      <c r="K99" s="550"/>
      <c r="L99" s="550"/>
      <c r="M99" s="550"/>
      <c r="N99" s="550"/>
    </row>
    <row r="100" spans="1:14" ht="13.5" thickBot="1">
      <c r="A100" s="550"/>
      <c r="B100" s="1054"/>
      <c r="C100" s="550"/>
      <c r="D100" s="550"/>
      <c r="E100" s="550"/>
      <c r="F100" s="550"/>
      <c r="G100" s="550"/>
      <c r="H100" s="550"/>
      <c r="I100" s="550"/>
      <c r="J100" s="550"/>
      <c r="K100" s="550"/>
      <c r="L100" s="550"/>
      <c r="M100" s="550"/>
      <c r="N100" s="550"/>
    </row>
    <row r="101" spans="1:14" ht="29.25" customHeight="1" thickBot="1">
      <c r="A101" s="167" t="str">
        <f>CONCATENATE("Otros pagos  ",C99)</f>
        <v>Otros pagos  Año 4:  2030</v>
      </c>
      <c r="B101" s="1339" t="str">
        <f t="array" ref="B101:N101">B48:N48</f>
        <v>enero 
2030</v>
      </c>
      <c r="C101" s="1339" t="str">
        <v>febrero 
2030</v>
      </c>
      <c r="D101" s="1339" t="str">
        <v>marzo 
2030</v>
      </c>
      <c r="E101" s="1339" t="str">
        <v>abril 
2030</v>
      </c>
      <c r="F101" s="1339" t="str">
        <v>mayo 
2030</v>
      </c>
      <c r="G101" s="1339" t="str">
        <v>junio 
2030</v>
      </c>
      <c r="H101" s="1339" t="str">
        <v>julio 
2030</v>
      </c>
      <c r="I101" s="1339" t="str">
        <v>agosto 
2030</v>
      </c>
      <c r="J101" s="1339" t="str">
        <v>septiembre 
2030</v>
      </c>
      <c r="K101" s="1339" t="str">
        <v>octubre 
2030</v>
      </c>
      <c r="L101" s="1339" t="str">
        <v>noviembre 
2030</v>
      </c>
      <c r="M101" s="1339" t="str">
        <v>diciembre 
2030</v>
      </c>
      <c r="N101" s="1339" t="str">
        <v>Totales  
2030</v>
      </c>
    </row>
    <row r="102" spans="1:14">
      <c r="A102" s="1340" t="str">
        <f t="array" ref="A102:A105">$A$62:$A$65</f>
        <v>Pagos de inversiones</v>
      </c>
      <c r="B102" s="1345"/>
      <c r="C102" s="1345"/>
      <c r="D102" s="1345"/>
      <c r="E102" s="1345"/>
      <c r="F102" s="1345"/>
      <c r="G102" s="1345"/>
      <c r="H102" s="1345"/>
      <c r="I102" s="1345"/>
      <c r="J102" s="1345"/>
      <c r="K102" s="1345"/>
      <c r="L102" s="1345"/>
      <c r="M102" s="1345"/>
      <c r="N102" s="1345">
        <f>SUM(B102:M102)</f>
        <v>0</v>
      </c>
    </row>
    <row r="103" spans="1:14">
      <c r="A103" s="1341" t="str">
        <v>Pago de dividendos</v>
      </c>
      <c r="B103" s="1346"/>
      <c r="C103" s="1346"/>
      <c r="D103" s="1346"/>
      <c r="E103" s="1346"/>
      <c r="F103" s="1346"/>
      <c r="G103" s="1346"/>
      <c r="H103" s="1772">
        <f>Imp.Sociedades!$J$32/2*0</f>
        <v>0</v>
      </c>
      <c r="I103" s="1346"/>
      <c r="J103" s="1346"/>
      <c r="K103" s="1346"/>
      <c r="L103" s="1346"/>
      <c r="M103" s="1772">
        <f>Imp.Sociedades!$J$32/2*0</f>
        <v>0</v>
      </c>
      <c r="N103" s="1346">
        <f>SUM(B103:M103)</f>
        <v>0</v>
      </c>
    </row>
    <row r="104" spans="1:14">
      <c r="A104" s="1341" t="str">
        <v>Dev. Otros Acreedores LP</v>
      </c>
      <c r="B104" s="1959"/>
      <c r="C104" s="1959"/>
      <c r="D104" s="1959"/>
      <c r="E104" s="1959"/>
      <c r="F104" s="1959"/>
      <c r="G104" s="1959"/>
      <c r="H104" s="1959"/>
      <c r="I104" s="1959"/>
      <c r="J104" s="1959"/>
      <c r="K104" s="1959"/>
      <c r="L104" s="1959"/>
      <c r="M104" s="1959"/>
      <c r="N104" s="1770">
        <f>SUM(B104:M104)</f>
        <v>0</v>
      </c>
    </row>
    <row r="105" spans="1:14">
      <c r="A105" s="1341" t="str">
        <v>Pagos pend. proveedores</v>
      </c>
      <c r="B105" s="1346"/>
      <c r="C105" s="1346"/>
      <c r="D105" s="1346"/>
      <c r="E105" s="1346"/>
      <c r="F105" s="1346"/>
      <c r="G105" s="1346"/>
      <c r="H105" s="1346"/>
      <c r="I105" s="1346"/>
      <c r="J105" s="1346"/>
      <c r="K105" s="1346"/>
      <c r="L105" s="1346"/>
      <c r="M105" s="1346"/>
      <c r="N105" s="1346">
        <f>SUM(B105:M105)</f>
        <v>0</v>
      </c>
    </row>
    <row r="106" spans="1:14" ht="13.5" thickBot="1">
      <c r="A106" s="1342" t="s">
        <v>11</v>
      </c>
      <c r="B106" s="1773">
        <f t="shared" ref="B106:M106" si="11">SUM(B102:B105)</f>
        <v>0</v>
      </c>
      <c r="C106" s="1773">
        <f t="shared" si="11"/>
        <v>0</v>
      </c>
      <c r="D106" s="1773">
        <f t="shared" si="11"/>
        <v>0</v>
      </c>
      <c r="E106" s="1773">
        <f t="shared" si="11"/>
        <v>0</v>
      </c>
      <c r="F106" s="1773">
        <f t="shared" si="11"/>
        <v>0</v>
      </c>
      <c r="G106" s="1773">
        <f t="shared" si="11"/>
        <v>0</v>
      </c>
      <c r="H106" s="1773">
        <f t="shared" si="11"/>
        <v>0</v>
      </c>
      <c r="I106" s="1773">
        <f t="shared" si="11"/>
        <v>0</v>
      </c>
      <c r="J106" s="1773">
        <f t="shared" si="11"/>
        <v>0</v>
      </c>
      <c r="K106" s="1773">
        <f t="shared" si="11"/>
        <v>0</v>
      </c>
      <c r="L106" s="1773">
        <f t="shared" si="11"/>
        <v>0</v>
      </c>
      <c r="M106" s="1773">
        <f t="shared" si="11"/>
        <v>0</v>
      </c>
      <c r="N106" s="1343">
        <f>SUM(B106:M106)</f>
        <v>0</v>
      </c>
    </row>
  </sheetData>
  <sheetProtection sheet="1" objects="1" scenarios="1"/>
  <phoneticPr fontId="6" type="noConversion"/>
  <printOptions horizontalCentered="1" verticalCentered="1"/>
  <pageMargins left="0.39370078740157483" right="0.39370078740157483" top="0.59055118110236227" bottom="0.59055118110236227" header="0.31496062992125984" footer="0.31496062992125984"/>
  <pageSetup paperSize="9" scale="60" fitToHeight="2" orientation="landscape" horizontalDpi="300" verticalDpi="300" r:id="rId1"/>
  <headerFooter alignWithMargins="0">
    <oddFooter>&amp;C&amp;"Tahoma,Normal"&amp;10&amp;A</oddFooter>
  </headerFooter>
  <legacy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61">
    <tabColor indexed="61"/>
    <pageSetUpPr fitToPage="1"/>
  </sheetPr>
  <dimension ref="A1:BI78"/>
  <sheetViews>
    <sheetView workbookViewId="0"/>
  </sheetViews>
  <sheetFormatPr baseColWidth="10" defaultColWidth="11" defaultRowHeight="12.75"/>
  <cols>
    <col min="1" max="1" width="27" style="87" customWidth="1"/>
    <col min="2" max="2" width="12.375" style="87" customWidth="1"/>
    <col min="3" max="3" width="12.125" style="87" customWidth="1"/>
    <col min="4" max="4" width="11.125" style="87" customWidth="1"/>
    <col min="5" max="5" width="12.5" style="87" customWidth="1"/>
    <col min="6" max="6" width="11" style="87"/>
    <col min="7" max="7" width="11.75" style="87" customWidth="1"/>
    <col min="8" max="16384" width="11" style="87"/>
  </cols>
  <sheetData>
    <row r="1" spans="1:7" ht="22.5">
      <c r="A1" s="325" t="s">
        <v>321</v>
      </c>
      <c r="B1" s="275"/>
      <c r="C1" s="276"/>
      <c r="E1" s="277"/>
      <c r="F1" s="161"/>
      <c r="G1" s="278"/>
    </row>
    <row r="2" spans="1:7" ht="25.5">
      <c r="A2" s="326" t="str">
        <f>'Datos Básicos'!B9</f>
        <v>nombre empresa</v>
      </c>
      <c r="B2" s="280"/>
      <c r="D2" s="274"/>
      <c r="F2" s="277"/>
      <c r="G2" s="161"/>
    </row>
    <row r="3" spans="1:7" ht="15.75" thickBot="1">
      <c r="A3" s="35"/>
      <c r="B3" s="35"/>
    </row>
    <row r="4" spans="1:7" s="281" customFormat="1" ht="31.5" customHeight="1" thickBot="1">
      <c r="A4" s="2472" t="s">
        <v>86</v>
      </c>
      <c r="B4" s="2110"/>
      <c r="C4" s="2111" t="str">
        <f t="array" ref="C4:G4">anni</f>
        <v>Año 0:  2026</v>
      </c>
      <c r="D4" s="2112" t="str">
        <v>Año 1:  2027</v>
      </c>
      <c r="E4" s="2111" t="str">
        <v>Año 2:  2028</v>
      </c>
      <c r="F4" s="2112" t="str">
        <v>Año 3:  2029</v>
      </c>
      <c r="G4" s="2111" t="str">
        <v>Año 4:  2030</v>
      </c>
    </row>
    <row r="5" spans="1:7" s="292" customFormat="1" ht="21" customHeight="1">
      <c r="A5" s="1233" t="s">
        <v>22</v>
      </c>
      <c r="B5" s="1231"/>
      <c r="C5" s="1235">
        <f t="array" ref="C5:C9" ca="1">'Tesorería 0'!$O6:$O10</f>
        <v>33254.375</v>
      </c>
      <c r="D5" s="1236">
        <f t="array" ref="D5:D9" ca="1">'Tesorería 1'!$O6:$O10</f>
        <v>46796.75</v>
      </c>
      <c r="E5" s="1235">
        <f t="array" ref="E5:E9" ca="1">'Tesorería 2'!$O6:$O10</f>
        <v>48200.652500000004</v>
      </c>
      <c r="F5" s="1236">
        <f t="array" ref="F5:F9" ca="1">'Tesorería 3'!$O6:$O10</f>
        <v>49646.672074999995</v>
      </c>
      <c r="G5" s="1235">
        <f t="array" ref="G5:G9" ca="1">'Tesorería 4'!$O6:$O10</f>
        <v>51136.072237249995</v>
      </c>
    </row>
    <row r="6" spans="1:7" s="292" customFormat="1" ht="21" customHeight="1">
      <c r="A6" s="2059" t="s">
        <v>675</v>
      </c>
      <c r="B6" s="1197"/>
      <c r="C6" s="1239">
        <v>0</v>
      </c>
      <c r="D6" s="1240">
        <f ca="1"/>
        <v>0</v>
      </c>
      <c r="E6" s="1239">
        <f ca="1"/>
        <v>0</v>
      </c>
      <c r="F6" s="1240">
        <f ca="1"/>
        <v>0</v>
      </c>
      <c r="G6" s="1239">
        <f ca="1"/>
        <v>0</v>
      </c>
    </row>
    <row r="7" spans="1:7" s="292" customFormat="1" ht="21" customHeight="1">
      <c r="A7" s="1234" t="s">
        <v>23</v>
      </c>
      <c r="B7" s="1232"/>
      <c r="C7" s="1239">
        <v>0</v>
      </c>
      <c r="D7" s="1240">
        <f ca="1"/>
        <v>805.93526590909232</v>
      </c>
      <c r="E7" s="1239">
        <f ca="1"/>
        <v>0</v>
      </c>
      <c r="F7" s="1240">
        <f ca="1"/>
        <v>316.06628795454708</v>
      </c>
      <c r="G7" s="1239">
        <f ca="1"/>
        <v>132.99704984772688</v>
      </c>
    </row>
    <row r="8" spans="1:7" s="292" customFormat="1" ht="21" customHeight="1">
      <c r="A8" s="1234" t="str">
        <f>"Devoluciones de "&amp;'Datos Básicos'!$A$28</f>
        <v>Devoluciones de IVA</v>
      </c>
      <c r="B8" s="1232"/>
      <c r="C8" s="1237">
        <v>0</v>
      </c>
      <c r="D8" s="1238">
        <f ca="1"/>
        <v>0</v>
      </c>
      <c r="E8" s="1237">
        <f ca="1"/>
        <v>0</v>
      </c>
      <c r="F8" s="1238">
        <f ca="1"/>
        <v>0</v>
      </c>
      <c r="G8" s="1237">
        <f ca="1"/>
        <v>0</v>
      </c>
    </row>
    <row r="9" spans="1:7" s="292" customFormat="1" ht="21" customHeight="1">
      <c r="A9" s="1234" t="s">
        <v>142</v>
      </c>
      <c r="B9" s="1232"/>
      <c r="C9" s="1237">
        <f ca="1"/>
        <v>0</v>
      </c>
      <c r="D9" s="1238">
        <f ca="1"/>
        <v>0</v>
      </c>
      <c r="E9" s="1237">
        <f ca="1"/>
        <v>0</v>
      </c>
      <c r="F9" s="1238">
        <f ca="1"/>
        <v>0</v>
      </c>
      <c r="G9" s="1237">
        <f ca="1"/>
        <v>0</v>
      </c>
    </row>
    <row r="10" spans="1:7" s="293" customFormat="1" ht="18.75" customHeight="1" thickBot="1">
      <c r="A10" s="1199" t="s">
        <v>89</v>
      </c>
      <c r="B10" s="1241"/>
      <c r="C10" s="1242">
        <f ca="1">SUM(C5:C9)</f>
        <v>33254.375</v>
      </c>
      <c r="D10" s="1243">
        <f ca="1">SUM(D5:D9)</f>
        <v>47602.685265909095</v>
      </c>
      <c r="E10" s="1242">
        <f ca="1">SUM(E5:E9)</f>
        <v>48200.652500000004</v>
      </c>
      <c r="F10" s="1243">
        <f ca="1">SUM(F5:F9)</f>
        <v>49962.738362954544</v>
      </c>
      <c r="G10" s="1242">
        <f ca="1">SUM(G5:G9)</f>
        <v>51269.069287097722</v>
      </c>
    </row>
    <row r="11" spans="1:7" s="279" customFormat="1" ht="14.25" customHeight="1" thickBot="1">
      <c r="A11" s="331"/>
      <c r="B11" s="285"/>
      <c r="C11" s="285"/>
      <c r="D11" s="285"/>
      <c r="E11" s="285"/>
      <c r="F11" s="285"/>
      <c r="G11" s="300"/>
    </row>
    <row r="12" spans="1:7" s="279" customFormat="1" ht="31.5" customHeight="1" thickBot="1">
      <c r="A12" s="2472" t="s">
        <v>87</v>
      </c>
      <c r="B12" s="2110"/>
      <c r="C12" s="2111" t="str">
        <f t="array" ref="C12:G12">anni</f>
        <v>Año 0:  2026</v>
      </c>
      <c r="D12" s="2112" t="str">
        <v>Año 1:  2027</v>
      </c>
      <c r="E12" s="2111" t="str">
        <v>Año 2:  2028</v>
      </c>
      <c r="F12" s="2112" t="str">
        <v>Año 3:  2029</v>
      </c>
      <c r="G12" s="2111" t="str">
        <v>Año 4:  2030</v>
      </c>
    </row>
    <row r="13" spans="1:7" s="293" customFormat="1" ht="21" customHeight="1">
      <c r="A13" s="1233" t="str">
        <f>"Pagos de Gastos Fijos ( "&amp;'Datos Básicos'!$A$28&amp;" incl.)"</f>
        <v>Pagos de Gastos Fijos ( IVA incl.)</v>
      </c>
      <c r="B13" s="1231"/>
      <c r="C13" s="1235">
        <f t="array" ref="C13:C16" ca="1">'Tesorería 0'!$O14:$O17</f>
        <v>20495.192500000001</v>
      </c>
      <c r="D13" s="1236">
        <f t="array" ref="D13:D16" ca="1">'Tesorería 1'!$O14:$O17</f>
        <v>21762.208199999994</v>
      </c>
      <c r="E13" s="1235">
        <f t="array" ref="E13:E16" ca="1">'Tesorería 2'!$O14:$O17</f>
        <v>27540.697827999989</v>
      </c>
      <c r="F13" s="1236">
        <f t="array" ref="F13:F16" ca="1">'Tesorería 3'!$O14:$O17</f>
        <v>27503.045480119999</v>
      </c>
      <c r="G13" s="1235">
        <f t="array" ref="G13:G16" ca="1">'Tesorería 4'!$O14:$O17</f>
        <v>27938.508630494805</v>
      </c>
    </row>
    <row r="14" spans="1:7" s="292" customFormat="1" ht="21" customHeight="1">
      <c r="A14" s="1234" t="str">
        <f>"Pago de compras y Costes Variables  ( "&amp;'Datos Básicos'!$A$28&amp;" incl.)"</f>
        <v>Pago de compras y Costes Variables  ( IVA incl.)</v>
      </c>
      <c r="B14" s="1232"/>
      <c r="C14" s="1237">
        <f ca="1"/>
        <v>3325.4375</v>
      </c>
      <c r="D14" s="1238">
        <f ca="1"/>
        <v>4679.6750000000002</v>
      </c>
      <c r="E14" s="1237">
        <f ca="1"/>
        <v>4820.0652499999997</v>
      </c>
      <c r="F14" s="1238">
        <f ca="1"/>
        <v>4964.6672075000006</v>
      </c>
      <c r="G14" s="1237">
        <f ca="1"/>
        <v>5113.607223725</v>
      </c>
    </row>
    <row r="15" spans="1:7" s="292" customFormat="1" ht="21" customHeight="1">
      <c r="A15" s="1234" t="s">
        <v>123</v>
      </c>
      <c r="B15" s="1232"/>
      <c r="C15" s="1237">
        <f ca="1"/>
        <v>1662.71875</v>
      </c>
      <c r="D15" s="1238">
        <f ca="1"/>
        <v>2339.8375000000001</v>
      </c>
      <c r="E15" s="1237">
        <f ca="1"/>
        <v>2410.0326249999998</v>
      </c>
      <c r="F15" s="1238">
        <f ca="1"/>
        <v>2482.3336037499998</v>
      </c>
      <c r="G15" s="1237">
        <f ca="1"/>
        <v>2556.8036118625</v>
      </c>
    </row>
    <row r="16" spans="1:7" s="292" customFormat="1" ht="21" customHeight="1">
      <c r="A16" s="1234" t="str">
        <f>"Pagos de "&amp;'Datos Básicos'!$A$28&amp;" de cuotas de Leasing / Renting"</f>
        <v>Pagos de IVA de cuotas de Leasing / Renting</v>
      </c>
      <c r="B16" s="1232"/>
      <c r="C16" s="1237">
        <v>0</v>
      </c>
      <c r="D16" s="1238">
        <v>0</v>
      </c>
      <c r="E16" s="1237">
        <v>0</v>
      </c>
      <c r="F16" s="1238">
        <v>0</v>
      </c>
      <c r="G16" s="1237">
        <v>0</v>
      </c>
    </row>
    <row r="17" spans="1:7" s="292" customFormat="1" ht="21" customHeight="1">
      <c r="A17" s="1234" t="s">
        <v>674</v>
      </c>
      <c r="B17" s="1232"/>
      <c r="C17" s="1237">
        <f t="array" ref="C17:C21">'Tesorería 0'!$O20:$O24</f>
        <v>0</v>
      </c>
      <c r="D17" s="1238">
        <f t="array" ref="D17:D21">'Tesorería 1'!$O20:$O24</f>
        <v>0</v>
      </c>
      <c r="E17" s="1237">
        <f t="array" ref="E17:E21">'Tesorería 2'!$O20:$O24</f>
        <v>0</v>
      </c>
      <c r="F17" s="1238">
        <f t="array" ref="F17:F21">'Tesorería 3'!$O20:$O24</f>
        <v>0</v>
      </c>
      <c r="G17" s="1237">
        <f t="array" ref="G17:G21">'Tesorería 4'!$O20:$O24</f>
        <v>0</v>
      </c>
    </row>
    <row r="18" spans="1:7" s="292" customFormat="1" ht="21" customHeight="1">
      <c r="A18" s="1234" t="s">
        <v>96</v>
      </c>
      <c r="B18" s="1232"/>
      <c r="C18" s="1237">
        <f ca="1"/>
        <v>0</v>
      </c>
      <c r="D18" s="1238">
        <v>0</v>
      </c>
      <c r="E18" s="1237">
        <v>0</v>
      </c>
      <c r="F18" s="1238">
        <v>0</v>
      </c>
      <c r="G18" s="1237">
        <v>0</v>
      </c>
    </row>
    <row r="19" spans="1:7" s="292" customFormat="1" ht="21" customHeight="1">
      <c r="A19" s="1234" t="str">
        <f>"Liquidaciones de "&amp;'Datos Básicos'!$A$28</f>
        <v>Liquidaciones de IVA</v>
      </c>
      <c r="B19" s="1232"/>
      <c r="C19" s="1237">
        <f ca="1"/>
        <v>3222.2817613636362</v>
      </c>
      <c r="D19" s="1238">
        <f ca="1"/>
        <v>6682.2448159090909</v>
      </c>
      <c r="E19" s="1237">
        <f ca="1"/>
        <v>7109.4415426363639</v>
      </c>
      <c r="F19" s="1238">
        <f ca="1"/>
        <v>7322.4774950918172</v>
      </c>
      <c r="G19" s="1237">
        <f ca="1"/>
        <v>7541.89463436799</v>
      </c>
    </row>
    <row r="20" spans="1:7" s="292" customFormat="1" ht="21" customHeight="1">
      <c r="A20" s="1234" t="str">
        <f>"Otros pagos ("&amp;'Datos Básicos'!$I$43&amp;" / "&amp;'Datos Básicos'!$I$44&amp;" )"</f>
        <v>Otros pagos (I.R.P.F. / I.S. )</v>
      </c>
      <c r="B20" s="1232"/>
      <c r="C20" s="1237">
        <f ca="1"/>
        <v>2695.5522727272728</v>
      </c>
      <c r="D20" s="1238">
        <f ca="1"/>
        <v>5709.0214318181825</v>
      </c>
      <c r="E20" s="1237">
        <f ca="1"/>
        <v>5363.7212981818175</v>
      </c>
      <c r="F20" s="1238">
        <f ca="1"/>
        <v>5457.4435070636373</v>
      </c>
      <c r="G20" s="1237">
        <f ca="1"/>
        <v>5739.6418736311825</v>
      </c>
    </row>
    <row r="21" spans="1:7" s="292" customFormat="1" ht="21" customHeight="1">
      <c r="A21" s="1234" t="s">
        <v>827</v>
      </c>
      <c r="B21" s="1232"/>
      <c r="C21" s="1237">
        <v>0</v>
      </c>
      <c r="D21" s="1238">
        <v>0</v>
      </c>
      <c r="E21" s="1237">
        <v>0</v>
      </c>
      <c r="F21" s="1238">
        <v>0</v>
      </c>
      <c r="G21" s="1237">
        <v>0</v>
      </c>
    </row>
    <row r="22" spans="1:7" s="293" customFormat="1" ht="21" customHeight="1" thickBot="1">
      <c r="A22" s="1199" t="s">
        <v>292</v>
      </c>
      <c r="B22" s="1241"/>
      <c r="C22" s="1244">
        <f ca="1">SUM(C13:C21)</f>
        <v>31401.18278409091</v>
      </c>
      <c r="D22" s="1245">
        <f ca="1">SUM(D13:D21)</f>
        <v>41172.986947727266</v>
      </c>
      <c r="E22" s="1244">
        <f ca="1">SUM(E13:E21)</f>
        <v>47243.958543818168</v>
      </c>
      <c r="F22" s="1245">
        <f ca="1">SUM(F13:F21)</f>
        <v>47729.967293525449</v>
      </c>
      <c r="G22" s="1244">
        <f ca="1">SUM(G13:G21)</f>
        <v>48890.45597408148</v>
      </c>
    </row>
    <row r="23" spans="1:7" s="279" customFormat="1" ht="15" customHeight="1" thickBot="1">
      <c r="A23" s="331"/>
    </row>
    <row r="24" spans="1:7" ht="15" customHeight="1" thickBot="1">
      <c r="A24" s="4"/>
      <c r="B24" s="4"/>
      <c r="C24" s="2685" t="str">
        <f t="array" ref="C24:G24">Parametros!D62:H62</f>
        <v>Año 0</v>
      </c>
      <c r="D24" s="2686">
        <v>1</v>
      </c>
      <c r="E24" s="2687">
        <v>2</v>
      </c>
      <c r="F24" s="2686">
        <v>3</v>
      </c>
      <c r="G24" s="2688">
        <v>4</v>
      </c>
    </row>
    <row r="25" spans="1:7" s="293" customFormat="1" ht="21" customHeight="1" thickBot="1">
      <c r="A25" s="342" t="s">
        <v>403</v>
      </c>
      <c r="B25" s="343"/>
      <c r="C25" s="333">
        <f t="array" ref="C25:G25" ca="1">C10:G10-C22:G22</f>
        <v>1853.19221590909</v>
      </c>
      <c r="D25" s="346">
        <f ca="1"/>
        <v>6429.6983181818287</v>
      </c>
      <c r="E25" s="333">
        <f ca="1"/>
        <v>956.69395618183626</v>
      </c>
      <c r="F25" s="346">
        <f ca="1"/>
        <v>2232.7710694290945</v>
      </c>
      <c r="G25" s="333">
        <f ca="1"/>
        <v>2378.6133130162416</v>
      </c>
    </row>
    <row r="26" spans="1:7" s="279" customFormat="1" ht="8.25" customHeight="1" thickBot="1">
      <c r="A26" s="324"/>
      <c r="B26" s="344"/>
      <c r="C26" s="307"/>
      <c r="E26" s="307"/>
      <c r="G26" s="307"/>
    </row>
    <row r="27" spans="1:7" s="293" customFormat="1" ht="21" customHeight="1" thickBot="1">
      <c r="A27" s="332" t="s">
        <v>88</v>
      </c>
      <c r="B27" s="345">
        <f ca="1">'Tesorería 0'!$B35</f>
        <v>3000</v>
      </c>
      <c r="C27" s="333">
        <f ca="1">'Tesorería 0'!$N$35</f>
        <v>4853.1922159090882</v>
      </c>
      <c r="D27" s="347">
        <f ca="1">'Tesorería 1'!$N$35</f>
        <v>11282.89053409091</v>
      </c>
      <c r="E27" s="333">
        <f ca="1">'Tesorería 2'!$N$35</f>
        <v>12239.584490272729</v>
      </c>
      <c r="F27" s="347">
        <f ca="1">'Tesorería 3'!$N$35</f>
        <v>14472.355559701815</v>
      </c>
      <c r="G27" s="333">
        <f ca="1">'Tesorería 4'!$N$35</f>
        <v>16850.968872718073</v>
      </c>
    </row>
    <row r="28" spans="1:7">
      <c r="A28" s="331"/>
      <c r="B28" s="285"/>
      <c r="C28" s="305"/>
      <c r="D28" s="285"/>
      <c r="E28" s="305"/>
      <c r="F28" s="285"/>
      <c r="G28" s="305"/>
    </row>
    <row r="29" spans="1:7" s="292" customFormat="1" ht="21.75" customHeight="1">
      <c r="A29" s="328"/>
      <c r="B29" s="308" t="s">
        <v>322</v>
      </c>
      <c r="C29" s="334">
        <f ca="1">'Tesorería 0'!$C41</f>
        <v>4853.1922159090882</v>
      </c>
      <c r="D29" s="340">
        <f ca="1">'Tesorería 1'!$C41</f>
        <v>11282.89053409091</v>
      </c>
      <c r="E29" s="336">
        <f ca="1">'Tesorería 2'!$C41</f>
        <v>12239.584490272729</v>
      </c>
      <c r="F29" s="340">
        <f ca="1">'Tesorería 3'!$C41</f>
        <v>14472.355559701815</v>
      </c>
      <c r="G29" s="338">
        <f ca="1">'Tesorería 4'!$C41</f>
        <v>16850.968872718073</v>
      </c>
    </row>
    <row r="30" spans="1:7" s="292" customFormat="1" ht="21" customHeight="1" thickBot="1">
      <c r="A30" s="329"/>
      <c r="B30" s="330" t="s">
        <v>402</v>
      </c>
      <c r="C30" s="335" t="str">
        <f ca="1">'Tesorería 0'!$D41</f>
        <v>diciembre</v>
      </c>
      <c r="D30" s="341" t="str">
        <f ca="1">'Tesorería 1'!$D41</f>
        <v>diciembre</v>
      </c>
      <c r="E30" s="337" t="str">
        <f ca="1">'Tesorería 2'!$D41</f>
        <v>diciembre</v>
      </c>
      <c r="F30" s="341" t="str">
        <f ca="1">'Tesorería 3'!$D41</f>
        <v>diciembre</v>
      </c>
      <c r="G30" s="339" t="str">
        <f ca="1">'Tesorería 4'!$D41</f>
        <v>diciembre</v>
      </c>
    </row>
    <row r="31" spans="1:7" ht="19.5" customHeight="1" thickBot="1">
      <c r="A31" s="4"/>
      <c r="B31" s="4"/>
    </row>
    <row r="32" spans="1:7" ht="15" customHeight="1" thickBot="1">
      <c r="A32" s="1844" t="s">
        <v>724</v>
      </c>
      <c r="B32" s="775"/>
      <c r="C32" s="524" t="str">
        <f t="array" ref="C32:G32">Parametros!D62:H62</f>
        <v>Año 0</v>
      </c>
      <c r="D32" s="525">
        <v>1</v>
      </c>
      <c r="E32" s="526">
        <v>2</v>
      </c>
      <c r="F32" s="525">
        <v>3</v>
      </c>
      <c r="G32" s="527">
        <v>4</v>
      </c>
    </row>
    <row r="33" spans="1:7" s="292" customFormat="1" ht="21" customHeight="1" thickBot="1">
      <c r="A33" s="327"/>
      <c r="B33" s="1842" t="s">
        <v>721</v>
      </c>
      <c r="C33" s="1246">
        <f ca="1">MAX('Tesorería 0'!$C$33:$N$33)</f>
        <v>0</v>
      </c>
      <c r="D33" s="1247">
        <f ca="1">MAX('Tesorería 1'!$C$33:$N$33)</f>
        <v>0</v>
      </c>
      <c r="E33" s="1248">
        <f ca="1">MAX('Tesorería 2'!$C$33:$N$33)</f>
        <v>0</v>
      </c>
      <c r="F33" s="1247">
        <f ca="1">MAX('Tesorería 3'!$C$33:$N$33)</f>
        <v>0</v>
      </c>
      <c r="G33" s="1249">
        <f ca="1">MAX('Tesorería 4'!$C$33:$N$33)</f>
        <v>0</v>
      </c>
    </row>
    <row r="34" spans="1:7" s="292" customFormat="1" ht="21" customHeight="1" thickBot="1">
      <c r="A34" s="327"/>
      <c r="B34" s="1842" t="s">
        <v>722</v>
      </c>
      <c r="C34" s="333">
        <f ca="1">-'Tesorería 0'!$C39</f>
        <v>0</v>
      </c>
      <c r="D34" s="333">
        <f ca="1">-'Tesorería 1'!$C39</f>
        <v>0</v>
      </c>
      <c r="E34" s="333">
        <f ca="1">-'Tesorería 2'!$C39</f>
        <v>0</v>
      </c>
      <c r="F34" s="333">
        <f ca="1">-'Tesorería 3'!$C39</f>
        <v>0</v>
      </c>
      <c r="G34" s="333">
        <f ca="1">-'Tesorería 4'!$C39</f>
        <v>0</v>
      </c>
    </row>
    <row r="35" spans="1:7" s="292" customFormat="1" ht="21" customHeight="1" thickBot="1">
      <c r="A35" s="329"/>
      <c r="B35" s="330" t="s">
        <v>725</v>
      </c>
      <c r="C35" s="335" t="str">
        <f ca="1">'Tesorería 0'!$D39</f>
        <v/>
      </c>
      <c r="D35" s="341" t="str">
        <f ca="1">'Tesorería 1'!$D39</f>
        <v/>
      </c>
      <c r="E35" s="337" t="str">
        <f ca="1">'Tesorería 2'!$D39</f>
        <v/>
      </c>
      <c r="F35" s="341" t="str">
        <f ca="1">'Tesorería 3'!$D39</f>
        <v/>
      </c>
      <c r="G35" s="339" t="str">
        <f ca="1">'Tesorería 4'!$D39</f>
        <v/>
      </c>
    </row>
    <row r="37" spans="1:7">
      <c r="A37" s="4"/>
      <c r="B37" s="4"/>
    </row>
    <row r="38" spans="1:7" ht="15">
      <c r="A38" s="35"/>
      <c r="B38" s="35"/>
    </row>
    <row r="39" spans="1:7" ht="15">
      <c r="A39" s="35"/>
      <c r="B39" s="35"/>
    </row>
    <row r="40" spans="1:7" ht="15">
      <c r="A40" s="35"/>
      <c r="B40" s="35"/>
    </row>
    <row r="41" spans="1:7" ht="15">
      <c r="A41" s="35"/>
      <c r="B41" s="35"/>
    </row>
    <row r="42" spans="1:7" ht="15">
      <c r="A42" s="35"/>
      <c r="B42" s="35"/>
    </row>
    <row r="43" spans="1:7" ht="15">
      <c r="A43" s="35"/>
      <c r="B43" s="35"/>
    </row>
    <row r="44" spans="1:7" ht="15">
      <c r="A44" s="35"/>
      <c r="B44" s="35"/>
    </row>
    <row r="45" spans="1:7" ht="15">
      <c r="A45" s="35"/>
      <c r="B45" s="35"/>
    </row>
    <row r="46" spans="1:7" ht="15">
      <c r="A46" s="35"/>
      <c r="B46" s="35"/>
    </row>
    <row r="47" spans="1:7" ht="15">
      <c r="A47" s="35"/>
      <c r="B47" s="35"/>
    </row>
    <row r="48" spans="1:7" ht="15">
      <c r="A48" s="35"/>
      <c r="B48" s="35"/>
    </row>
    <row r="49" spans="1:17" ht="15">
      <c r="A49" s="35"/>
      <c r="B49" s="35"/>
    </row>
    <row r="50" spans="1:17" ht="15">
      <c r="A50" s="35"/>
      <c r="B50" s="35"/>
    </row>
    <row r="51" spans="1:17" ht="15">
      <c r="A51" s="35"/>
      <c r="B51" s="35"/>
    </row>
    <row r="52" spans="1:17" ht="15">
      <c r="A52" s="35"/>
      <c r="B52" s="35"/>
    </row>
    <row r="53" spans="1:17" ht="15">
      <c r="A53" s="35"/>
      <c r="B53" s="35"/>
    </row>
    <row r="54" spans="1:17" ht="15">
      <c r="A54" s="35"/>
      <c r="B54" s="35"/>
    </row>
    <row r="62" spans="1:17">
      <c r="A62" s="1357"/>
      <c r="B62" s="2500" t="str">
        <f t="array" ref="B62:M62">meses</f>
        <v>enero</v>
      </c>
      <c r="C62" s="2500" t="str">
        <v>febrero</v>
      </c>
      <c r="D62" s="2500" t="str">
        <v>marzo</v>
      </c>
      <c r="E62" s="2500" t="str">
        <v>abril</v>
      </c>
      <c r="F62" s="2500" t="str">
        <v>mayo</v>
      </c>
      <c r="G62" s="2500" t="str">
        <v>junio</v>
      </c>
      <c r="H62" s="2500" t="str">
        <v>julio</v>
      </c>
      <c r="I62" s="2500" t="str">
        <v>agosto</v>
      </c>
      <c r="J62" s="2500" t="str">
        <v>septiembre</v>
      </c>
      <c r="K62" s="2500" t="str">
        <v>octubre</v>
      </c>
      <c r="L62" s="2500" t="str">
        <v>noviembre</v>
      </c>
      <c r="M62" s="2500" t="str">
        <v>diciembre</v>
      </c>
      <c r="N62" s="1058"/>
      <c r="O62" s="1058"/>
      <c r="P62" s="1058"/>
      <c r="Q62" s="1058"/>
    </row>
    <row r="63" spans="1:17">
      <c r="A63" s="1358" t="str">
        <f t="array" ref="A63:A67">annivert</f>
        <v>Año 0:  2026</v>
      </c>
      <c r="B63" s="1357">
        <f t="array" ref="B63:M63" ca="1">'Tesorería 0'!C35:N35</f>
        <v>3091.9422916666667</v>
      </c>
      <c r="C63" s="1357">
        <f ca="1"/>
        <v>3307.9668750000001</v>
      </c>
      <c r="D63" s="1357">
        <f ca="1"/>
        <v>3713.5237500000003</v>
      </c>
      <c r="E63" s="1357">
        <f ca="1"/>
        <v>2376.7382575757579</v>
      </c>
      <c r="F63" s="1357">
        <f ca="1"/>
        <v>2834.1097159090905</v>
      </c>
      <c r="G63" s="1357">
        <f ca="1"/>
        <v>3301.0259659090902</v>
      </c>
      <c r="H63" s="1357">
        <f ca="1"/>
        <v>1643.4503598484839</v>
      </c>
      <c r="I63" s="1357">
        <f ca="1"/>
        <v>1687.6686931818172</v>
      </c>
      <c r="J63" s="1357">
        <f ca="1"/>
        <v>2248.6693181818168</v>
      </c>
      <c r="K63" s="1357">
        <f ca="1"/>
        <v>1343.6295075757562</v>
      </c>
      <c r="L63" s="1357">
        <f ca="1"/>
        <v>2676.394715909089</v>
      </c>
      <c r="M63" s="1357">
        <f ca="1"/>
        <v>4853.1922159090882</v>
      </c>
    </row>
    <row r="64" spans="1:17">
      <c r="A64" s="1358" t="str">
        <v>Año 1:  2027</v>
      </c>
      <c r="B64" s="1357">
        <f t="array" ref="B64:M64" ca="1">'Tesorería 1'!C35:N35</f>
        <v>2730.8349227272702</v>
      </c>
      <c r="C64" s="1357">
        <f ca="1"/>
        <v>4517.0675727272701</v>
      </c>
      <c r="D64" s="1357">
        <f ca="1"/>
        <v>6663.2752227272704</v>
      </c>
      <c r="E64" s="1357">
        <f ca="1"/>
        <v>5228.8466045454525</v>
      </c>
      <c r="F64" s="1357">
        <f ca="1"/>
        <v>6655.1042545454529</v>
      </c>
      <c r="G64" s="1357">
        <f ca="1"/>
        <v>7901.3744045454532</v>
      </c>
      <c r="H64" s="1357">
        <f ca="1"/>
        <v>5691.9232863636353</v>
      </c>
      <c r="I64" s="1357">
        <f ca="1"/>
        <v>6844.1912022727274</v>
      </c>
      <c r="J64" s="1357">
        <f ca="1"/>
        <v>7910.4738522727275</v>
      </c>
      <c r="K64" s="1357">
        <f ca="1"/>
        <v>6990.475234090909</v>
      </c>
      <c r="L64" s="1357">
        <f ca="1"/>
        <v>8776.7078840909089</v>
      </c>
      <c r="M64" s="1357">
        <f ca="1"/>
        <v>11282.89053409091</v>
      </c>
    </row>
    <row r="65" spans="1:61">
      <c r="A65" s="1358" t="str">
        <v>Año 2:  2028</v>
      </c>
      <c r="B65" s="1357">
        <f t="array" aca="1" ref="B65:M65" ca="1">'Tesorería 2'!C35:N35</f>
        <v>8351.0901135757576</v>
      </c>
      <c r="C65" s="1357">
        <f ca="1"/>
        <v>9873.7744612424249</v>
      </c>
      <c r="D65" s="1357">
        <f ca="1"/>
        <v>11767.233058909093</v>
      </c>
      <c r="E65" s="1357">
        <f ca="1"/>
        <v>10153.605487666668</v>
      </c>
      <c r="F65" s="1357">
        <f ca="1"/>
        <v>11305.515585333334</v>
      </c>
      <c r="G65" s="1357">
        <f ca="1"/>
        <v>10863.609517090912</v>
      </c>
      <c r="H65" s="1357">
        <f ca="1"/>
        <v>8715.7087708484869</v>
      </c>
      <c r="I65" s="1357">
        <f ca="1"/>
        <v>8755.2961185151544</v>
      </c>
      <c r="J65" s="1357">
        <f ca="1"/>
        <v>9536.4319661818208</v>
      </c>
      <c r="K65" s="1357">
        <f ca="1"/>
        <v>8452.667294939396</v>
      </c>
      <c r="L65" s="1357">
        <f ca="1"/>
        <v>9975.3516426060633</v>
      </c>
      <c r="M65" s="1357">
        <f ca="1"/>
        <v>12239.584490272729</v>
      </c>
    </row>
    <row r="66" spans="1:61">
      <c r="A66" s="1358" t="str">
        <v>Año 3:  2029</v>
      </c>
      <c r="B66" s="1357">
        <f t="array" aca="1" ref="B66:M66" ca="1">'Tesorería 3'!C35:N35</f>
        <v>9396.1553513536383</v>
      </c>
      <c r="C66" s="1357">
        <f ca="1"/>
        <v>10959.876336343637</v>
      </c>
      <c r="D66" s="1357">
        <f ca="1"/>
        <v>12905.494798833637</v>
      </c>
      <c r="E66" s="1357">
        <f ca="1"/>
        <v>11231.916382158182</v>
      </c>
      <c r="F66" s="1357">
        <f ca="1"/>
        <v>12413.739889648183</v>
      </c>
      <c r="G66" s="1357">
        <f ca="1"/>
        <v>12964.614658388182</v>
      </c>
      <c r="H66" s="1357">
        <f ca="1"/>
        <v>10556.814871462726</v>
      </c>
      <c r="I66" s="1357">
        <f ca="1"/>
        <v>10909.012234407272</v>
      </c>
      <c r="J66" s="1357">
        <f ca="1"/>
        <v>11708.938264397271</v>
      </c>
      <c r="K66" s="1357">
        <f ca="1"/>
        <v>10581.118634721817</v>
      </c>
      <c r="L66" s="1357">
        <f ca="1"/>
        <v>12144.839619711816</v>
      </c>
      <c r="M66" s="1357">
        <f ca="1"/>
        <v>14472.355559701815</v>
      </c>
    </row>
    <row r="67" spans="1:61">
      <c r="A67" s="1358" t="str">
        <v>Año 4:  2030</v>
      </c>
      <c r="B67" s="1357">
        <f t="array" aca="1" ref="B67:M67" ca="1">'Tesorería 4'!C35:N35</f>
        <v>11531.427772595127</v>
      </c>
      <c r="C67" s="1357">
        <f ca="1"/>
        <v>13136.762738303894</v>
      </c>
      <c r="D67" s="1357">
        <f ca="1"/>
        <v>15135.452105837661</v>
      </c>
      <c r="E67" s="1357">
        <f ca="1"/>
        <v>13399.475437634355</v>
      </c>
      <c r="F67" s="1357">
        <f ca="1"/>
        <v>14611.456001518123</v>
      </c>
      <c r="G67" s="1357">
        <f ca="1"/>
        <v>15626.75936448939</v>
      </c>
      <c r="H67" s="1357">
        <f ca="1"/>
        <v>13043.894684928584</v>
      </c>
      <c r="I67" s="1357">
        <f ca="1"/>
        <v>13208.809093185078</v>
      </c>
      <c r="J67" s="1357">
        <f ca="1"/>
        <v>14027.435255243845</v>
      </c>
      <c r="K67" s="1357">
        <f ca="1"/>
        <v>12853.590137650539</v>
      </c>
      <c r="L67" s="1357">
        <f ca="1"/>
        <v>14458.925103359306</v>
      </c>
      <c r="M67" s="1357">
        <f ca="1"/>
        <v>16850.968872718073</v>
      </c>
    </row>
    <row r="69" spans="1:61">
      <c r="A69" s="2500" t="s">
        <v>723</v>
      </c>
    </row>
    <row r="70" spans="1:61">
      <c r="A70" s="1358" t="str">
        <f t="array" ref="A70:A74">annivert</f>
        <v>Año 0:  2026</v>
      </c>
      <c r="B70" s="1357">
        <f>Financiación!D49</f>
        <v>0</v>
      </c>
    </row>
    <row r="71" spans="1:61">
      <c r="A71" s="1358" t="str">
        <v>Año 1:  2027</v>
      </c>
      <c r="B71" s="1357">
        <f>Financiación!E49</f>
        <v>0</v>
      </c>
    </row>
    <row r="72" spans="1:61">
      <c r="A72" s="1358" t="str">
        <v>Año 2:  2028</v>
      </c>
      <c r="B72" s="1357">
        <f>Financiación!F49</f>
        <v>0</v>
      </c>
    </row>
    <row r="73" spans="1:61">
      <c r="A73" s="1358" t="str">
        <v>Año 3:  2029</v>
      </c>
      <c r="B73" s="1357">
        <f>Financiación!G49</f>
        <v>0</v>
      </c>
    </row>
    <row r="74" spans="1:61">
      <c r="A74" s="1358" t="str">
        <v>Año 4:  2030</v>
      </c>
      <c r="B74" s="1357">
        <f>Financiación!H49</f>
        <v>0</v>
      </c>
    </row>
    <row r="78" spans="1:61">
      <c r="A78" s="1358" t="s">
        <v>901</v>
      </c>
      <c r="B78" s="1357">
        <f ca="1">B63</f>
        <v>3091.9422916666667</v>
      </c>
      <c r="C78" s="1357">
        <f t="shared" ref="C78:M78" ca="1" si="0">C63</f>
        <v>3307.9668750000001</v>
      </c>
      <c r="D78" s="1357">
        <f t="shared" ca="1" si="0"/>
        <v>3713.5237500000003</v>
      </c>
      <c r="E78" s="1357">
        <f t="shared" ca="1" si="0"/>
        <v>2376.7382575757579</v>
      </c>
      <c r="F78" s="1357">
        <f t="shared" ca="1" si="0"/>
        <v>2834.1097159090905</v>
      </c>
      <c r="G78" s="1357">
        <f t="shared" ca="1" si="0"/>
        <v>3301.0259659090902</v>
      </c>
      <c r="H78" s="1357">
        <f t="shared" ca="1" si="0"/>
        <v>1643.4503598484839</v>
      </c>
      <c r="I78" s="1357">
        <f t="shared" ca="1" si="0"/>
        <v>1687.6686931818172</v>
      </c>
      <c r="J78" s="1357">
        <f t="shared" ca="1" si="0"/>
        <v>2248.6693181818168</v>
      </c>
      <c r="K78" s="1357">
        <f t="shared" ca="1" si="0"/>
        <v>1343.6295075757562</v>
      </c>
      <c r="L78" s="1357">
        <f t="shared" ca="1" si="0"/>
        <v>2676.394715909089</v>
      </c>
      <c r="M78" s="1357">
        <f t="shared" ca="1" si="0"/>
        <v>4853.1922159090882</v>
      </c>
      <c r="N78" s="1357">
        <f t="shared" ref="N78:Y78" ca="1" si="1">B64</f>
        <v>2730.8349227272702</v>
      </c>
      <c r="O78" s="1357">
        <f t="shared" ca="1" si="1"/>
        <v>4517.0675727272701</v>
      </c>
      <c r="P78" s="1357">
        <f t="shared" ca="1" si="1"/>
        <v>6663.2752227272704</v>
      </c>
      <c r="Q78" s="1357">
        <f t="shared" ca="1" si="1"/>
        <v>5228.8466045454525</v>
      </c>
      <c r="R78" s="1357">
        <f t="shared" ca="1" si="1"/>
        <v>6655.1042545454529</v>
      </c>
      <c r="S78" s="1357">
        <f t="shared" ca="1" si="1"/>
        <v>7901.3744045454532</v>
      </c>
      <c r="T78" s="1357">
        <f t="shared" ca="1" si="1"/>
        <v>5691.9232863636353</v>
      </c>
      <c r="U78" s="1357">
        <f t="shared" ca="1" si="1"/>
        <v>6844.1912022727274</v>
      </c>
      <c r="V78" s="1357">
        <f t="shared" ca="1" si="1"/>
        <v>7910.4738522727275</v>
      </c>
      <c r="W78" s="1357">
        <f t="shared" ca="1" si="1"/>
        <v>6990.475234090909</v>
      </c>
      <c r="X78" s="1357">
        <f t="shared" ca="1" si="1"/>
        <v>8776.7078840909089</v>
      </c>
      <c r="Y78" s="1357">
        <f t="shared" ca="1" si="1"/>
        <v>11282.89053409091</v>
      </c>
      <c r="Z78" s="1357">
        <f t="shared" ref="Z78:AK78" ca="1" si="2">B65</f>
        <v>8351.0901135757576</v>
      </c>
      <c r="AA78" s="1357">
        <f t="shared" ca="1" si="2"/>
        <v>9873.7744612424249</v>
      </c>
      <c r="AB78" s="1357">
        <f t="shared" ca="1" si="2"/>
        <v>11767.233058909093</v>
      </c>
      <c r="AC78" s="1357">
        <f t="shared" ca="1" si="2"/>
        <v>10153.605487666668</v>
      </c>
      <c r="AD78" s="1357">
        <f t="shared" ca="1" si="2"/>
        <v>11305.515585333334</v>
      </c>
      <c r="AE78" s="1357">
        <f t="shared" ca="1" si="2"/>
        <v>10863.609517090912</v>
      </c>
      <c r="AF78" s="1357">
        <f t="shared" ca="1" si="2"/>
        <v>8715.7087708484869</v>
      </c>
      <c r="AG78" s="1357">
        <f t="shared" ca="1" si="2"/>
        <v>8755.2961185151544</v>
      </c>
      <c r="AH78" s="1357">
        <f t="shared" ca="1" si="2"/>
        <v>9536.4319661818208</v>
      </c>
      <c r="AI78" s="1357">
        <f t="shared" ca="1" si="2"/>
        <v>8452.667294939396</v>
      </c>
      <c r="AJ78" s="1357">
        <f t="shared" ca="1" si="2"/>
        <v>9975.3516426060633</v>
      </c>
      <c r="AK78" s="1357">
        <f t="shared" ca="1" si="2"/>
        <v>12239.584490272729</v>
      </c>
      <c r="AL78" s="1357">
        <f t="shared" ref="AL78:AW78" ca="1" si="3">B66</f>
        <v>9396.1553513536383</v>
      </c>
      <c r="AM78" s="1357">
        <f t="shared" ca="1" si="3"/>
        <v>10959.876336343637</v>
      </c>
      <c r="AN78" s="1357">
        <f t="shared" ca="1" si="3"/>
        <v>12905.494798833637</v>
      </c>
      <c r="AO78" s="1357">
        <f t="shared" ca="1" si="3"/>
        <v>11231.916382158182</v>
      </c>
      <c r="AP78" s="1357">
        <f t="shared" ca="1" si="3"/>
        <v>12413.739889648183</v>
      </c>
      <c r="AQ78" s="1357">
        <f t="shared" ca="1" si="3"/>
        <v>12964.614658388182</v>
      </c>
      <c r="AR78" s="1357">
        <f t="shared" ca="1" si="3"/>
        <v>10556.814871462726</v>
      </c>
      <c r="AS78" s="1357">
        <f t="shared" ca="1" si="3"/>
        <v>10909.012234407272</v>
      </c>
      <c r="AT78" s="1357">
        <f t="shared" ca="1" si="3"/>
        <v>11708.938264397271</v>
      </c>
      <c r="AU78" s="1357">
        <f t="shared" ca="1" si="3"/>
        <v>10581.118634721817</v>
      </c>
      <c r="AV78" s="1357">
        <f t="shared" ca="1" si="3"/>
        <v>12144.839619711816</v>
      </c>
      <c r="AW78" s="1357">
        <f t="shared" ca="1" si="3"/>
        <v>14472.355559701815</v>
      </c>
      <c r="AX78" s="1357">
        <f t="shared" ref="AX78:BI78" ca="1" si="4">B67</f>
        <v>11531.427772595127</v>
      </c>
      <c r="AY78" s="1357">
        <f t="shared" ca="1" si="4"/>
        <v>13136.762738303894</v>
      </c>
      <c r="AZ78" s="1357">
        <f t="shared" ca="1" si="4"/>
        <v>15135.452105837661</v>
      </c>
      <c r="BA78" s="1357">
        <f t="shared" ca="1" si="4"/>
        <v>13399.475437634355</v>
      </c>
      <c r="BB78" s="1357">
        <f t="shared" ca="1" si="4"/>
        <v>14611.456001518123</v>
      </c>
      <c r="BC78" s="1357">
        <f t="shared" ca="1" si="4"/>
        <v>15626.75936448939</v>
      </c>
      <c r="BD78" s="1357">
        <f t="shared" ca="1" si="4"/>
        <v>13043.894684928584</v>
      </c>
      <c r="BE78" s="1357">
        <f t="shared" ca="1" si="4"/>
        <v>13208.809093185078</v>
      </c>
      <c r="BF78" s="1357">
        <f t="shared" ca="1" si="4"/>
        <v>14027.435255243845</v>
      </c>
      <c r="BG78" s="1357">
        <f t="shared" ca="1" si="4"/>
        <v>12853.590137650539</v>
      </c>
      <c r="BH78" s="1357">
        <f t="shared" ca="1" si="4"/>
        <v>14458.925103359306</v>
      </c>
      <c r="BI78" s="1357">
        <f t="shared" ca="1" si="4"/>
        <v>16850.968872718073</v>
      </c>
    </row>
  </sheetData>
  <sheetProtection sheet="1" objects="1" scenarios="1"/>
  <phoneticPr fontId="6" type="noConversion"/>
  <printOptions horizontalCentered="1"/>
  <pageMargins left="0.86614173228346458" right="0.74803149606299213" top="0.56999999999999995" bottom="0.62" header="0.11811023622047245" footer="0.11811023622047245"/>
  <pageSetup paperSize="9" scale="74" orientation="portrait" horizontalDpi="300" verticalDpi="300" r:id="rId1"/>
  <headerFooter alignWithMargins="0">
    <oddFooter>&amp;C&amp;"Tahoma,Normal"&amp;10&amp;A</oddFooter>
  </headerFooter>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33"/>
  <dimension ref="A1:R100"/>
  <sheetViews>
    <sheetView workbookViewId="0"/>
  </sheetViews>
  <sheetFormatPr baseColWidth="10" defaultColWidth="11" defaultRowHeight="15"/>
  <cols>
    <col min="1" max="1" width="11" style="35"/>
    <col min="2" max="2" width="23.875" style="35" customWidth="1"/>
    <col min="3" max="3" width="13.875" style="35" customWidth="1"/>
    <col min="4" max="8" width="12.75" style="35" customWidth="1"/>
    <col min="9" max="9" width="13.5" style="35" customWidth="1"/>
    <col min="10" max="10" width="11" style="35"/>
    <col min="11" max="11" width="11.25" style="35" customWidth="1"/>
    <col min="12" max="16384" width="11" style="35"/>
  </cols>
  <sheetData>
    <row r="1" spans="1:18" s="61" customFormat="1" ht="24.75" customHeight="1">
      <c r="B1" s="67" t="s">
        <v>223</v>
      </c>
      <c r="R1" s="232"/>
    </row>
    <row r="2" spans="1:18" s="61" customFormat="1" ht="22.5">
      <c r="A2" s="60"/>
      <c r="B2" s="67" t="str">
        <f>'Datos Básicos'!B9</f>
        <v>nombre empresa</v>
      </c>
      <c r="P2" s="232"/>
    </row>
    <row r="3" spans="1:18" s="61" customFormat="1" ht="18.75" customHeight="1">
      <c r="B3" s="59"/>
      <c r="R3" s="232"/>
    </row>
    <row r="4" spans="1:18" s="61" customFormat="1" ht="18.75" customHeight="1" thickBot="1">
      <c r="B4" s="59"/>
      <c r="R4" s="232"/>
    </row>
    <row r="5" spans="1:18" ht="23.25" thickBot="1">
      <c r="B5" s="374" t="s">
        <v>94</v>
      </c>
      <c r="C5" s="62"/>
      <c r="D5" s="62"/>
      <c r="E5" s="62"/>
      <c r="F5" s="62"/>
      <c r="G5" s="62"/>
      <c r="H5" s="62"/>
      <c r="I5" s="62"/>
      <c r="J5" s="62"/>
      <c r="K5" s="63"/>
    </row>
    <row r="6" spans="1:18" ht="41.25" customHeight="1" thickBot="1">
      <c r="B6" s="375"/>
      <c r="C6" s="348"/>
      <c r="D6" s="2109" t="str">
        <f t="array" ref="D6:H6">CONCATENATE("Datos ",anni)</f>
        <v>Datos Año 0:  2026</v>
      </c>
      <c r="E6" s="2109" t="str">
        <v>Datos Año 1:  2027</v>
      </c>
      <c r="F6" s="2109" t="str">
        <v>Datos Año 2:  2028</v>
      </c>
      <c r="G6" s="2109" t="str">
        <v>Datos Año 3:  2029</v>
      </c>
      <c r="H6" s="2109" t="str">
        <v>Datos Año 4:  2030</v>
      </c>
      <c r="I6" s="348"/>
      <c r="J6" s="348"/>
      <c r="K6" s="376"/>
    </row>
    <row r="7" spans="1:18">
      <c r="B7" s="251"/>
      <c r="C7" s="383" t="s">
        <v>276</v>
      </c>
      <c r="D7" s="349">
        <f>'G.F. 0'!N27</f>
        <v>19032</v>
      </c>
      <c r="E7" s="350">
        <f>'G.F. 1'!N27</f>
        <v>19752</v>
      </c>
      <c r="F7" s="349">
        <f ca="1">'G.F. 2'!$N$27</f>
        <v>25468.799999999999</v>
      </c>
      <c r="G7" s="349">
        <f ca="1">'G.F. 3'!$N$27</f>
        <v>25367.551999999996</v>
      </c>
      <c r="H7" s="349">
        <f ca="1">'G.F. 4'!$N$27</f>
        <v>25737.454080000007</v>
      </c>
      <c r="I7" s="351" t="str">
        <f>CONCATENATE(Parametros!$H$11," / año")</f>
        <v>€ / año</v>
      </c>
      <c r="J7" s="352"/>
      <c r="K7" s="377"/>
    </row>
    <row r="8" spans="1:18">
      <c r="B8" s="378"/>
      <c r="C8" s="384" t="s">
        <v>277</v>
      </c>
      <c r="D8" s="354">
        <f ca="1">'G.F. 0'!N55</f>
        <v>1209.25</v>
      </c>
      <c r="E8" s="355">
        <f ca="1">'G.F. 1'!N55</f>
        <v>1661.3290909090915</v>
      </c>
      <c r="F8" s="354">
        <f ca="1">'G.F. 2'!$N$55</f>
        <v>1712.3122545454537</v>
      </c>
      <c r="G8" s="354">
        <f ca="1">'G.F. 3'!$N$55</f>
        <v>1764.870644727273</v>
      </c>
      <c r="H8" s="354">
        <f ca="1">'G.F. 4'!$N$55</f>
        <v>1819.0533475163641</v>
      </c>
      <c r="I8" s="356" t="s">
        <v>308</v>
      </c>
      <c r="J8" s="353"/>
      <c r="K8" s="379"/>
    </row>
    <row r="9" spans="1:18">
      <c r="B9" s="380"/>
      <c r="C9" s="385" t="s">
        <v>92</v>
      </c>
      <c r="D9" s="358">
        <f t="array" ref="D9:H9">Amortizaciones!D41:H41</f>
        <v>0</v>
      </c>
      <c r="E9" s="359">
        <v>0</v>
      </c>
      <c r="F9" s="358">
        <v>0</v>
      </c>
      <c r="G9" s="358">
        <v>0</v>
      </c>
      <c r="H9" s="358">
        <v>0</v>
      </c>
      <c r="I9" s="360" t="s">
        <v>308</v>
      </c>
      <c r="J9" s="357"/>
      <c r="K9" s="207"/>
    </row>
    <row r="10" spans="1:18">
      <c r="B10" s="104"/>
      <c r="C10" s="386" t="s">
        <v>303</v>
      </c>
      <c r="D10" s="361">
        <f ca="1">SUM(D7:D9)</f>
        <v>20241.25</v>
      </c>
      <c r="E10" s="362">
        <f ca="1">SUM(E7:E9)</f>
        <v>21413.32909090909</v>
      </c>
      <c r="F10" s="361">
        <f ca="1">SUM(F7:F9)</f>
        <v>27181.112254545453</v>
      </c>
      <c r="G10" s="361">
        <f ca="1">SUM(G7:G9)</f>
        <v>27132.42264472727</v>
      </c>
      <c r="H10" s="361">
        <f ca="1">SUM(H7:H9)</f>
        <v>27556.507427516372</v>
      </c>
      <c r="I10" s="363" t="s">
        <v>308</v>
      </c>
      <c r="K10" s="381"/>
    </row>
    <row r="11" spans="1:18" ht="15.75" thickBot="1">
      <c r="B11" s="378"/>
      <c r="C11" s="353"/>
      <c r="D11" s="372"/>
      <c r="E11" s="353"/>
      <c r="F11" s="372"/>
      <c r="G11" s="372"/>
      <c r="H11" s="372"/>
      <c r="I11" s="353"/>
      <c r="J11" s="353"/>
      <c r="K11" s="379"/>
    </row>
    <row r="12" spans="1:18" ht="15.75" thickBot="1">
      <c r="B12" s="64"/>
      <c r="C12" s="387" t="s">
        <v>304</v>
      </c>
      <c r="D12" s="1545">
        <f ca="1">'PPyGG anuales'!B27</f>
        <v>-1662.71875</v>
      </c>
      <c r="E12" s="1545">
        <f ca="1">'PPyGG anuales'!D27</f>
        <v>-2339.8375000000001</v>
      </c>
      <c r="F12" s="1545">
        <f ca="1">'PPyGG anuales'!G27</f>
        <v>-2410.0326249999998</v>
      </c>
      <c r="G12" s="1545">
        <f ca="1">'PPyGG anuales'!J27</f>
        <v>-2482.3336037499998</v>
      </c>
      <c r="H12" s="1545">
        <f ca="1">'PPyGG anuales'!M27</f>
        <v>-2556.8036118625</v>
      </c>
      <c r="I12" s="373" t="str">
        <f>CONCATENATE(Parametros!$H$11," / año")</f>
        <v>€ / año</v>
      </c>
      <c r="J12" s="367"/>
      <c r="K12" s="382"/>
    </row>
    <row r="13" spans="1:18" ht="15.75" thickBot="1">
      <c r="B13" s="104"/>
      <c r="D13" s="364"/>
      <c r="F13" s="364"/>
      <c r="G13" s="364"/>
      <c r="H13" s="364"/>
      <c r="K13" s="381"/>
    </row>
    <row r="14" spans="1:18" s="48" customFormat="1">
      <c r="B14" s="843"/>
      <c r="C14" s="2477" t="s">
        <v>224</v>
      </c>
      <c r="D14" s="847">
        <f ca="1">C48</f>
        <v>27482.95454545454</v>
      </c>
      <c r="E14" s="848">
        <f ca="1">C61</f>
        <v>38675</v>
      </c>
      <c r="F14" s="847">
        <f ca="1">C74</f>
        <v>39835.25</v>
      </c>
      <c r="G14" s="847">
        <f ca="1">C87</f>
        <v>41030.307500000003</v>
      </c>
      <c r="H14" s="847">
        <f ca="1">C100</f>
        <v>42261.216725000006</v>
      </c>
      <c r="I14" s="863" t="str">
        <f>CONCATENATE(Parametros!$H$11," / año de venta previstos")</f>
        <v>€ / año de venta previstos</v>
      </c>
      <c r="J14" s="845"/>
      <c r="K14" s="846"/>
    </row>
    <row r="15" spans="1:18" s="48" customFormat="1" ht="15.75" thickBot="1">
      <c r="B15" s="849"/>
      <c r="C15" s="2478" t="s">
        <v>225</v>
      </c>
      <c r="D15" s="850">
        <f ca="1">D14/(12-mes0+1)</f>
        <v>2290.2462121212116</v>
      </c>
      <c r="E15" s="851">
        <f t="array" aca="1" ref="E15:H15" ca="1">E14:H14/12</f>
        <v>3222.9166666666665</v>
      </c>
      <c r="F15" s="850">
        <f ca="1"/>
        <v>3319.6041666666665</v>
      </c>
      <c r="G15" s="850">
        <f ca="1"/>
        <v>3419.1922916666667</v>
      </c>
      <c r="H15" s="850">
        <f ca="1"/>
        <v>3521.7680604166671</v>
      </c>
      <c r="I15" s="842" t="str">
        <f>CONCATENATE(Parametros!$H$11," / mes de media")</f>
        <v>€ / mes de media</v>
      </c>
      <c r="J15" s="852"/>
      <c r="K15" s="853"/>
    </row>
    <row r="16" spans="1:18" ht="15.75" thickBot="1">
      <c r="B16" s="104"/>
      <c r="D16" s="364"/>
      <c r="F16" s="364"/>
      <c r="G16" s="364"/>
      <c r="H16" s="364"/>
      <c r="K16" s="381"/>
    </row>
    <row r="17" spans="2:18" s="48" customFormat="1" ht="16.5" customHeight="1">
      <c r="B17" s="843"/>
      <c r="C17" s="2447" t="s">
        <v>227</v>
      </c>
      <c r="D17" s="2568">
        <f t="array" ref="D17:H17" ca="1">IFERROR((D14:H14-D23:H23)*D20:H20,"N/D")</f>
        <v>4493.4090909090828</v>
      </c>
      <c r="E17" s="2569">
        <f ca="1"/>
        <v>13394.17090909091</v>
      </c>
      <c r="F17" s="2568">
        <f ca="1"/>
        <v>8670.612745454544</v>
      </c>
      <c r="G17" s="2568">
        <f ca="1"/>
        <v>9794.8541052727323</v>
      </c>
      <c r="H17" s="2568">
        <f ca="1"/>
        <v>10478.587624983636</v>
      </c>
      <c r="I17" s="864" t="str">
        <f>CONCATENATE(Parametros!$H$11," / año")</f>
        <v>€ / año</v>
      </c>
      <c r="J17" s="845"/>
      <c r="K17" s="846"/>
    </row>
    <row r="18" spans="2:18" s="48" customFormat="1" ht="16.5" customHeight="1" thickBot="1">
      <c r="B18" s="838"/>
      <c r="C18" s="2475" t="s">
        <v>305</v>
      </c>
      <c r="D18" s="2570">
        <f t="array" ref="D18:H18" ca="1">IFERROR(D17:H17-D12:H12,"N/D")</f>
        <v>6156.1278409090828</v>
      </c>
      <c r="E18" s="2571">
        <f ca="1"/>
        <v>15734.008409090909</v>
      </c>
      <c r="F18" s="2570">
        <f ca="1"/>
        <v>11080.645370454544</v>
      </c>
      <c r="G18" s="2570">
        <f ca="1"/>
        <v>12277.187709022732</v>
      </c>
      <c r="H18" s="2570">
        <f ca="1"/>
        <v>13035.391236846137</v>
      </c>
      <c r="I18" s="865" t="str">
        <f>CONCATENATE(Parametros!$H$11," / año")</f>
        <v>€ / año</v>
      </c>
      <c r="J18" s="839"/>
      <c r="K18" s="840"/>
    </row>
    <row r="19" spans="2:18" ht="15.75" thickBot="1">
      <c r="B19" s="104"/>
      <c r="D19" s="364"/>
      <c r="F19" s="364"/>
      <c r="G19" s="364"/>
      <c r="H19" s="364"/>
      <c r="K19" s="381"/>
    </row>
    <row r="20" spans="2:18" ht="15.75" thickBot="1">
      <c r="B20" s="64"/>
      <c r="C20" s="2476" t="s">
        <v>93</v>
      </c>
      <c r="D20" s="365">
        <f ca="1">H48</f>
        <v>0.89999999999999991</v>
      </c>
      <c r="E20" s="366">
        <f ca="1">H61</f>
        <v>0.9</v>
      </c>
      <c r="F20" s="365">
        <f ca="1">H74</f>
        <v>0.89999999999999991</v>
      </c>
      <c r="G20" s="365">
        <f ca="1">H87</f>
        <v>0.9</v>
      </c>
      <c r="H20" s="365">
        <f ca="1">H100</f>
        <v>0.9</v>
      </c>
      <c r="I20" s="367"/>
      <c r="J20" s="367"/>
      <c r="K20" s="382"/>
    </row>
    <row r="21" spans="2:18">
      <c r="B21" s="104"/>
      <c r="D21" s="364"/>
      <c r="F21" s="364"/>
      <c r="G21" s="364"/>
      <c r="H21" s="364"/>
      <c r="K21" s="381"/>
    </row>
    <row r="22" spans="2:18" ht="15.75" thickBot="1">
      <c r="B22" s="104"/>
      <c r="D22" s="364"/>
      <c r="F22" s="364"/>
      <c r="G22" s="364"/>
      <c r="H22" s="364"/>
      <c r="K22" s="381"/>
    </row>
    <row r="23" spans="2:18" s="48" customFormat="1" ht="17.25" customHeight="1">
      <c r="B23" s="836"/>
      <c r="C23" s="2473" t="s">
        <v>1023</v>
      </c>
      <c r="D23" s="2572">
        <f t="array" ref="D23:H23" ca="1">IFERROR(D10:H10/D20:H20,"N/D")</f>
        <v>22490.277777777781</v>
      </c>
      <c r="E23" s="2573">
        <f ca="1"/>
        <v>23792.587878787879</v>
      </c>
      <c r="F23" s="2572">
        <f ca="1"/>
        <v>30201.23583838384</v>
      </c>
      <c r="G23" s="2572">
        <f ca="1"/>
        <v>30147.136271919189</v>
      </c>
      <c r="H23" s="2572">
        <f ca="1"/>
        <v>30618.3415861293</v>
      </c>
      <c r="I23" s="841" t="str">
        <f>CONCATENATE(Parametros!$H$11," de venta al año")</f>
        <v>€ de venta al año</v>
      </c>
      <c r="J23" s="789"/>
      <c r="K23" s="837"/>
    </row>
    <row r="24" spans="2:18" s="48" customFormat="1" ht="17.25" customHeight="1" thickBot="1">
      <c r="B24" s="838"/>
      <c r="C24" s="2474" t="s">
        <v>226</v>
      </c>
      <c r="D24" s="2574">
        <f t="array" aca="1" ref="D24" ca="1">IFERROR(D23/(12-mes0+1),"N/D")</f>
        <v>1874.189814814815</v>
      </c>
      <c r="E24" s="2575">
        <f t="array" ref="E24:H24" ca="1">IFERROR(E23:H23/12,"N/D")</f>
        <v>1982.7156565656567</v>
      </c>
      <c r="F24" s="2574">
        <f ca="1"/>
        <v>2516.7696531986535</v>
      </c>
      <c r="G24" s="2574">
        <f ca="1"/>
        <v>2512.2613559932656</v>
      </c>
      <c r="H24" s="2574">
        <f ca="1"/>
        <v>2551.5284655107748</v>
      </c>
      <c r="I24" s="842" t="str">
        <f>CONCATENATE(Parametros!$H$11," / mes de media")</f>
        <v>€ / mes de media</v>
      </c>
      <c r="J24" s="839"/>
      <c r="K24" s="840"/>
    </row>
    <row r="25" spans="2:18">
      <c r="B25" s="104"/>
      <c r="C25" s="257"/>
      <c r="D25" s="368"/>
      <c r="E25" s="369"/>
      <c r="F25" s="368"/>
      <c r="G25" s="368"/>
      <c r="H25" s="368"/>
      <c r="I25" s="370"/>
      <c r="K25" s="381"/>
    </row>
    <row r="26" spans="2:18" ht="15.75" thickBot="1">
      <c r="B26" s="104"/>
      <c r="C26" s="257"/>
      <c r="D26" s="368"/>
      <c r="E26" s="369"/>
      <c r="F26" s="368"/>
      <c r="G26" s="368"/>
      <c r="H26" s="368"/>
      <c r="I26" s="370"/>
      <c r="K26" s="381"/>
    </row>
    <row r="27" spans="2:18" s="48" customFormat="1" ht="21.75" customHeight="1">
      <c r="B27" s="836"/>
      <c r="C27" s="2473" t="s">
        <v>1022</v>
      </c>
      <c r="D27" s="2572">
        <f t="array" ref="D27:H27" ca="1">IFERROR((D10:H10-D12:H12)/D20:H20,"N/D")</f>
        <v>24337.743055555558</v>
      </c>
      <c r="E27" s="2573">
        <f ca="1"/>
        <v>26392.407323232324</v>
      </c>
      <c r="F27" s="2572">
        <f ca="1"/>
        <v>32879.049866161615</v>
      </c>
      <c r="G27" s="2572">
        <f ca="1"/>
        <v>32905.284720530304</v>
      </c>
      <c r="H27" s="2572">
        <f ca="1"/>
        <v>33459.234488198745</v>
      </c>
      <c r="I27" s="841" t="str">
        <f t="array" ref="I27:I28">I23:I24</f>
        <v>€ de venta al año</v>
      </c>
      <c r="J27" s="789"/>
      <c r="K27" s="837"/>
    </row>
    <row r="28" spans="2:18" s="48" customFormat="1" ht="21.75" customHeight="1" thickBot="1">
      <c r="B28" s="838"/>
      <c r="C28" s="2474" t="s">
        <v>226</v>
      </c>
      <c r="D28" s="2574">
        <f ca="1">IFERROR(D27/(12-mes0+1),"N/D")</f>
        <v>2028.1452546296298</v>
      </c>
      <c r="E28" s="2575">
        <f t="array" ref="E28:H28" ca="1">IFERROR(E27:H27/12,"N/D")</f>
        <v>2199.3672769360269</v>
      </c>
      <c r="F28" s="2574">
        <f ca="1"/>
        <v>2739.9208221801346</v>
      </c>
      <c r="G28" s="2574">
        <f ca="1"/>
        <v>2742.1070600441922</v>
      </c>
      <c r="H28" s="2574">
        <f ca="1"/>
        <v>2788.2695406832286</v>
      </c>
      <c r="I28" s="842" t="str">
        <v>€ / mes de media</v>
      </c>
      <c r="J28" s="839"/>
      <c r="K28" s="840"/>
    </row>
    <row r="29" spans="2:18">
      <c r="B29" s="104"/>
      <c r="D29" s="364"/>
      <c r="F29" s="364"/>
      <c r="G29" s="364"/>
      <c r="H29" s="364"/>
      <c r="K29" s="381"/>
    </row>
    <row r="30" spans="2:18" ht="15.75" thickBot="1">
      <c r="B30" s="104"/>
      <c r="D30" s="364"/>
      <c r="F30" s="364"/>
      <c r="G30" s="364"/>
      <c r="H30" s="364"/>
      <c r="K30" s="381"/>
    </row>
    <row r="31" spans="2:18" s="48" customFormat="1" ht="21.75" customHeight="1">
      <c r="B31" s="843"/>
      <c r="C31" s="844" t="s">
        <v>307</v>
      </c>
      <c r="D31" s="854">
        <f ca="1">IFERROR(C48/D23,"N/D")</f>
        <v>1.2219926679878508</v>
      </c>
      <c r="E31" s="855">
        <f ca="1">IFERROR((C61)/E23,"N/D")</f>
        <v>1.6255062373639664</v>
      </c>
      <c r="F31" s="854">
        <f ca="1">IFERROR(C74/F23,"N/D")</f>
        <v>1.3189940376337828</v>
      </c>
      <c r="G31" s="854">
        <f ca="1">IFERROR(C87/G23,"N/D")</f>
        <v>1.3610018255106386</v>
      </c>
      <c r="H31" s="854">
        <f ca="1">IFERROR(C100/H23,"N/D")</f>
        <v>1.3802581895599844</v>
      </c>
      <c r="I31" s="856" t="s">
        <v>310</v>
      </c>
      <c r="J31" s="789"/>
      <c r="K31" s="837"/>
    </row>
    <row r="32" spans="2:18" s="861" customFormat="1" ht="20.25" customHeight="1" thickBot="1">
      <c r="B32" s="849"/>
      <c r="C32" s="857" t="s">
        <v>306</v>
      </c>
      <c r="D32" s="858">
        <f ca="1">IFERROR(D14/D27,"N/D")</f>
        <v>1.1292318471240097</v>
      </c>
      <c r="E32" s="859">
        <f ca="1">IFERROR(E14/E27,"N/D")</f>
        <v>1.465383567567015</v>
      </c>
      <c r="F32" s="858">
        <f ca="1">IFERROR(F14/F27,"N/D")</f>
        <v>1.2115693781345414</v>
      </c>
      <c r="G32" s="858">
        <f ca="1">IFERROR(G14/G27,"N/D")</f>
        <v>1.2469215157527667</v>
      </c>
      <c r="H32" s="858">
        <f ca="1">IFERROR(H14/H27,"N/D")</f>
        <v>1.2630658582432832</v>
      </c>
      <c r="I32" s="860"/>
      <c r="J32" s="852"/>
      <c r="K32" s="853"/>
      <c r="R32" s="862"/>
    </row>
    <row r="33" spans="2:18" s="61" customFormat="1" ht="18.75" customHeight="1">
      <c r="B33" s="59"/>
      <c r="R33" s="232"/>
    </row>
    <row r="34" spans="2:18" s="61" customFormat="1" ht="18.75" customHeight="1" thickBot="1">
      <c r="B34" s="59"/>
      <c r="R34" s="232"/>
    </row>
    <row r="35" spans="2:18" s="61" customFormat="1" ht="18.75" customHeight="1" thickBot="1">
      <c r="B35" s="1517" t="s">
        <v>549</v>
      </c>
      <c r="C35" s="1518"/>
      <c r="D35" s="1519">
        <f t="array" ref="D35:H35" ca="1">IF(D32:H32&gt;1,0,1/D32:H32-1)</f>
        <v>0</v>
      </c>
      <c r="E35" s="1519">
        <f ca="1"/>
        <v>0</v>
      </c>
      <c r="F35" s="1519">
        <f ca="1"/>
        <v>0</v>
      </c>
      <c r="G35" s="1519">
        <f ca="1"/>
        <v>0</v>
      </c>
      <c r="H35" s="1519">
        <f ca="1"/>
        <v>0</v>
      </c>
      <c r="I35" s="1516">
        <f ca="1">MAX(D35:H35)</f>
        <v>0</v>
      </c>
      <c r="R35" s="232"/>
    </row>
    <row r="36" spans="2:18" s="61" customFormat="1" ht="18.75" customHeight="1">
      <c r="B36" s="59"/>
      <c r="R36" s="232"/>
    </row>
    <row r="37" spans="2:18" s="61" customFormat="1" ht="24" customHeight="1">
      <c r="B37" s="67" t="str">
        <f>CONCATENATE("Distribución de Ventas (en ",Parametros!$G$11,") y de márgenes")</f>
        <v>Distribución de Ventas (en Euros) y de márgenes</v>
      </c>
      <c r="R37" s="232"/>
    </row>
    <row r="38" spans="2:18" s="61" customFormat="1" ht="23.25" thickBot="1">
      <c r="C38" s="2689" t="str">
        <f>Parametros!B77</f>
        <v>Año 0:  2026</v>
      </c>
      <c r="D38" s="371" t="str">
        <f>IF(mes0=1,"",CONCATENATE("(",12-mes0+1," meses)"))</f>
        <v/>
      </c>
      <c r="R38" s="232"/>
    </row>
    <row r="39" spans="2:18" s="61" customFormat="1" ht="16.5" customHeight="1" thickBot="1">
      <c r="B39" s="2490" t="s">
        <v>24</v>
      </c>
      <c r="C39" s="2491" t="s">
        <v>14</v>
      </c>
      <c r="D39" s="2492" t="s">
        <v>25</v>
      </c>
      <c r="E39" s="2491" t="s">
        <v>26</v>
      </c>
      <c r="F39" s="2493" t="s">
        <v>27</v>
      </c>
      <c r="G39" s="2494" t="s">
        <v>74</v>
      </c>
      <c r="H39" s="2492" t="s">
        <v>75</v>
      </c>
      <c r="I39" s="438" t="s">
        <v>28</v>
      </c>
    </row>
    <row r="40" spans="2:18" s="61" customFormat="1" ht="18.75" customHeight="1">
      <c r="B40" s="2488" t="str">
        <f t="array" ref="B40:B47">productos</f>
        <v>producto o servicio</v>
      </c>
      <c r="C40" s="2479">
        <f t="array" aca="1" ref="C40:C47" ca="1">'Prev.Ventas 0'!N17:N24</f>
        <v>27482.95454545454</v>
      </c>
      <c r="D40" s="2480">
        <f t="array" aca="1" ref="D40:D47" ca="1">IF(C$48=0,"",C40:C47/C$48)</f>
        <v>1</v>
      </c>
      <c r="E40" s="2479">
        <f t="array" aca="1" ref="E40:E47" ca="1">'Distr CV 0'!$N20:N27</f>
        <v>2748.295454545455</v>
      </c>
      <c r="F40" s="2480">
        <f t="array" aca="1" ref="F40:F47" ca="1">IF(E$48=0,"",E40:E47/E$48)</f>
        <v>1</v>
      </c>
      <c r="G40" s="2479">
        <f t="array" aca="1" ref="G40:G47" ca="1">C40:C47-E40:E47</f>
        <v>24734.659090909085</v>
      </c>
      <c r="H40" s="2481">
        <f t="array" aca="1" ref="H40:H47" ca="1">IF(C40:C47=0,"",G40:G47/C40:C47)</f>
        <v>0.89999999999999991</v>
      </c>
      <c r="I40" s="2482">
        <f t="shared" ref="I40:I47" ca="1" si="0">IF($G$48=0,"",G40/$G$48)</f>
        <v>1</v>
      </c>
    </row>
    <row r="41" spans="2:18" s="61" customFormat="1" ht="14.25" customHeight="1">
      <c r="B41" s="2489" t="str">
        <v/>
      </c>
      <c r="C41" s="2483">
        <f ca="1"/>
        <v>0</v>
      </c>
      <c r="D41" s="2484">
        <f ca="1"/>
        <v>0</v>
      </c>
      <c r="E41" s="2483">
        <f ca="1"/>
        <v>0</v>
      </c>
      <c r="F41" s="2484">
        <f ca="1"/>
        <v>0</v>
      </c>
      <c r="G41" s="2483">
        <f ca="1"/>
        <v>0</v>
      </c>
      <c r="H41" s="2485" t="str">
        <f ca="1"/>
        <v/>
      </c>
      <c r="I41" s="2486">
        <f t="shared" ca="1" si="0"/>
        <v>0</v>
      </c>
    </row>
    <row r="42" spans="2:18" s="61" customFormat="1" ht="14.25" customHeight="1">
      <c r="B42" s="2489" t="str">
        <v/>
      </c>
      <c r="C42" s="2483">
        <f ca="1"/>
        <v>0</v>
      </c>
      <c r="D42" s="2484">
        <f ca="1"/>
        <v>0</v>
      </c>
      <c r="E42" s="2483">
        <f ca="1"/>
        <v>0</v>
      </c>
      <c r="F42" s="2484">
        <f ca="1"/>
        <v>0</v>
      </c>
      <c r="G42" s="2483">
        <f ca="1"/>
        <v>0</v>
      </c>
      <c r="H42" s="2485" t="str">
        <f ca="1"/>
        <v/>
      </c>
      <c r="I42" s="2486">
        <f t="shared" ca="1" si="0"/>
        <v>0</v>
      </c>
    </row>
    <row r="43" spans="2:18" s="61" customFormat="1" ht="14.25" customHeight="1">
      <c r="B43" s="2489" t="str">
        <v/>
      </c>
      <c r="C43" s="2483">
        <f ca="1"/>
        <v>0</v>
      </c>
      <c r="D43" s="2484">
        <f ca="1"/>
        <v>0</v>
      </c>
      <c r="E43" s="2483">
        <f ca="1"/>
        <v>0</v>
      </c>
      <c r="F43" s="2484">
        <f ca="1"/>
        <v>0</v>
      </c>
      <c r="G43" s="2483">
        <f ca="1"/>
        <v>0</v>
      </c>
      <c r="H43" s="2485" t="str">
        <f ca="1"/>
        <v/>
      </c>
      <c r="I43" s="2486">
        <f t="shared" ca="1" si="0"/>
        <v>0</v>
      </c>
    </row>
    <row r="44" spans="2:18" s="61" customFormat="1" ht="14.25" customHeight="1">
      <c r="B44" s="2489" t="str">
        <v/>
      </c>
      <c r="C44" s="2483">
        <f ca="1"/>
        <v>0</v>
      </c>
      <c r="D44" s="2484">
        <f ca="1"/>
        <v>0</v>
      </c>
      <c r="E44" s="2483">
        <f ca="1"/>
        <v>0</v>
      </c>
      <c r="F44" s="2484">
        <f ca="1"/>
        <v>0</v>
      </c>
      <c r="G44" s="2483">
        <f ca="1"/>
        <v>0</v>
      </c>
      <c r="H44" s="2485" t="str">
        <f ca="1"/>
        <v/>
      </c>
      <c r="I44" s="2486">
        <f t="shared" ca="1" si="0"/>
        <v>0</v>
      </c>
    </row>
    <row r="45" spans="2:18" s="61" customFormat="1" ht="14.25" customHeight="1">
      <c r="B45" s="2489" t="str">
        <v/>
      </c>
      <c r="C45" s="2483">
        <f ca="1"/>
        <v>0</v>
      </c>
      <c r="D45" s="2484">
        <f ca="1"/>
        <v>0</v>
      </c>
      <c r="E45" s="2483">
        <f ca="1"/>
        <v>0</v>
      </c>
      <c r="F45" s="2484">
        <f ca="1"/>
        <v>0</v>
      </c>
      <c r="G45" s="2483">
        <f ca="1"/>
        <v>0</v>
      </c>
      <c r="H45" s="2485" t="str">
        <f ca="1"/>
        <v/>
      </c>
      <c r="I45" s="2486">
        <f t="shared" ca="1" si="0"/>
        <v>0</v>
      </c>
    </row>
    <row r="46" spans="2:18" s="61" customFormat="1" ht="14.25" customHeight="1">
      <c r="B46" s="2489" t="str">
        <v/>
      </c>
      <c r="C46" s="2483">
        <f ca="1"/>
        <v>0</v>
      </c>
      <c r="D46" s="2484">
        <f ca="1"/>
        <v>0</v>
      </c>
      <c r="E46" s="2483">
        <f ca="1"/>
        <v>0</v>
      </c>
      <c r="F46" s="2484">
        <f ca="1"/>
        <v>0</v>
      </c>
      <c r="G46" s="2483">
        <f ca="1"/>
        <v>0</v>
      </c>
      <c r="H46" s="2485" t="str">
        <f ca="1"/>
        <v/>
      </c>
      <c r="I46" s="2486">
        <f t="shared" ca="1" si="0"/>
        <v>0</v>
      </c>
    </row>
    <row r="47" spans="2:18" s="61" customFormat="1" ht="14.25" customHeight="1" thickBot="1">
      <c r="B47" s="2489" t="str">
        <v/>
      </c>
      <c r="C47" s="2483">
        <f ca="1"/>
        <v>0</v>
      </c>
      <c r="D47" s="2484">
        <f ca="1"/>
        <v>0</v>
      </c>
      <c r="E47" s="2483">
        <f ca="1"/>
        <v>0</v>
      </c>
      <c r="F47" s="2484">
        <f ca="1"/>
        <v>0</v>
      </c>
      <c r="G47" s="2487">
        <f ca="1"/>
        <v>0</v>
      </c>
      <c r="H47" s="2485" t="str">
        <f ca="1"/>
        <v/>
      </c>
      <c r="I47" s="2486">
        <f t="shared" ca="1" si="0"/>
        <v>0</v>
      </c>
    </row>
    <row r="48" spans="2:18" s="861" customFormat="1" ht="17.25" customHeight="1" thickBot="1">
      <c r="B48" s="2815" t="s">
        <v>15</v>
      </c>
      <c r="C48" s="1251">
        <f ca="1">SUM(C40:C47)</f>
        <v>27482.95454545454</v>
      </c>
      <c r="D48" s="1252">
        <f ca="1">SUM(D40:D47)</f>
        <v>1</v>
      </c>
      <c r="E48" s="1253">
        <f ca="1">SUM(E40:E47)</f>
        <v>2748.295454545455</v>
      </c>
      <c r="F48" s="1254">
        <f ca="1">SUM(F40:F47)</f>
        <v>1</v>
      </c>
      <c r="G48" s="1255">
        <f ca="1">C48-E48</f>
        <v>24734.659090909085</v>
      </c>
      <c r="H48" s="1250">
        <f ca="1">IFERROR(G48/C48,0)</f>
        <v>0.89999999999999991</v>
      </c>
      <c r="I48" s="1256">
        <f ca="1">SUM(I40:I47)</f>
        <v>1</v>
      </c>
    </row>
    <row r="50" spans="1:16" s="61" customFormat="1" ht="18.75" customHeight="1">
      <c r="B50" s="59"/>
      <c r="P50" s="232"/>
    </row>
    <row r="51" spans="1:16" s="61" customFormat="1" ht="23.25" thickBot="1">
      <c r="B51" s="233"/>
      <c r="C51" s="2689" t="str">
        <f>Parametros!C$77</f>
        <v>Año 1:  2027</v>
      </c>
      <c r="N51" s="232"/>
    </row>
    <row r="52" spans="1:16" s="61" customFormat="1" ht="16.5" customHeight="1" thickBot="1">
      <c r="B52" s="2490" t="str">
        <f t="array" ref="B52:I52">B$39:I$39</f>
        <v>Producto</v>
      </c>
      <c r="C52" s="2491" t="str">
        <v>Ventas</v>
      </c>
      <c r="D52" s="2492" t="str">
        <v>% / Vtas</v>
      </c>
      <c r="E52" s="2491" t="str">
        <v>Coste</v>
      </c>
      <c r="F52" s="2493" t="str">
        <v>% / Ctes</v>
      </c>
      <c r="G52" s="2494" t="str">
        <v>Margen</v>
      </c>
      <c r="H52" s="2492" t="str">
        <v>% de margen</v>
      </c>
      <c r="I52" s="438" t="str">
        <v xml:space="preserve">% contribución </v>
      </c>
    </row>
    <row r="53" spans="1:16" s="61" customFormat="1" ht="18.75" customHeight="1">
      <c r="B53" s="2488" t="str">
        <f t="array" ref="B53:B60">productos</f>
        <v>producto o servicio</v>
      </c>
      <c r="C53" s="2479">
        <f t="array" aca="1" ref="C53:C60" ca="1">'Prev.Ventas 1'!N17:N24</f>
        <v>38675</v>
      </c>
      <c r="D53" s="2480">
        <f t="shared" ref="D53:D60" ca="1" si="1">IF($C$61=0,"",C53/$C$61)</f>
        <v>1</v>
      </c>
      <c r="E53" s="2479">
        <f t="array" aca="1" ref="E53:E60" ca="1">'Distr CV 1'!$N20:N27</f>
        <v>3867.5</v>
      </c>
      <c r="F53" s="2480">
        <f t="shared" ref="F53:F60" ca="1" si="2">IF($E$61=0,"",E53/$E$61)</f>
        <v>1</v>
      </c>
      <c r="G53" s="2479">
        <f t="array" aca="1" ref="G53:G60" ca="1">C53:C60-E53:E60</f>
        <v>34807.5</v>
      </c>
      <c r="H53" s="2481">
        <f t="array" aca="1" ref="H53:H60" ca="1">IF(C53:C60=0,"",G53:G60/C53:C60)</f>
        <v>0.9</v>
      </c>
      <c r="I53" s="2482">
        <f t="shared" ref="I53:I60" ca="1" si="3">IF($G$61=0,"",G53/$G$61)</f>
        <v>1</v>
      </c>
    </row>
    <row r="54" spans="1:16" s="61" customFormat="1" ht="14.25" customHeight="1">
      <c r="B54" s="2489" t="str">
        <v/>
      </c>
      <c r="C54" s="2483">
        <f ca="1"/>
        <v>0</v>
      </c>
      <c r="D54" s="2484">
        <f t="shared" ca="1" si="1"/>
        <v>0</v>
      </c>
      <c r="E54" s="2483">
        <f ca="1"/>
        <v>0</v>
      </c>
      <c r="F54" s="2484">
        <f t="shared" ca="1" si="2"/>
        <v>0</v>
      </c>
      <c r="G54" s="2483">
        <f ca="1"/>
        <v>0</v>
      </c>
      <c r="H54" s="2485" t="str">
        <f ca="1"/>
        <v/>
      </c>
      <c r="I54" s="2486">
        <f t="shared" ca="1" si="3"/>
        <v>0</v>
      </c>
    </row>
    <row r="55" spans="1:16" s="61" customFormat="1" ht="14.25" customHeight="1">
      <c r="B55" s="2489" t="str">
        <v/>
      </c>
      <c r="C55" s="2483">
        <f ca="1"/>
        <v>0</v>
      </c>
      <c r="D55" s="2484">
        <f t="shared" ca="1" si="1"/>
        <v>0</v>
      </c>
      <c r="E55" s="2483">
        <f ca="1"/>
        <v>0</v>
      </c>
      <c r="F55" s="2484">
        <f t="shared" ca="1" si="2"/>
        <v>0</v>
      </c>
      <c r="G55" s="2483">
        <f ca="1"/>
        <v>0</v>
      </c>
      <c r="H55" s="2485" t="str">
        <f ca="1"/>
        <v/>
      </c>
      <c r="I55" s="2486">
        <f t="shared" ca="1" si="3"/>
        <v>0</v>
      </c>
    </row>
    <row r="56" spans="1:16" s="61" customFormat="1" ht="14.25" customHeight="1">
      <c r="B56" s="2489" t="str">
        <v/>
      </c>
      <c r="C56" s="2483">
        <f ca="1"/>
        <v>0</v>
      </c>
      <c r="D56" s="2484">
        <f t="shared" ca="1" si="1"/>
        <v>0</v>
      </c>
      <c r="E56" s="2483">
        <f ca="1"/>
        <v>0</v>
      </c>
      <c r="F56" s="2484">
        <f t="shared" ca="1" si="2"/>
        <v>0</v>
      </c>
      <c r="G56" s="2483">
        <f ca="1"/>
        <v>0</v>
      </c>
      <c r="H56" s="2485" t="str">
        <f ca="1"/>
        <v/>
      </c>
      <c r="I56" s="2486">
        <f t="shared" ca="1" si="3"/>
        <v>0</v>
      </c>
    </row>
    <row r="57" spans="1:16" s="61" customFormat="1" ht="14.25" customHeight="1">
      <c r="B57" s="2489" t="str">
        <v/>
      </c>
      <c r="C57" s="2483">
        <f ca="1"/>
        <v>0</v>
      </c>
      <c r="D57" s="2484">
        <f t="shared" ca="1" si="1"/>
        <v>0</v>
      </c>
      <c r="E57" s="2483">
        <f ca="1"/>
        <v>0</v>
      </c>
      <c r="F57" s="2484">
        <f t="shared" ca="1" si="2"/>
        <v>0</v>
      </c>
      <c r="G57" s="2483">
        <f ca="1"/>
        <v>0</v>
      </c>
      <c r="H57" s="2485" t="str">
        <f ca="1"/>
        <v/>
      </c>
      <c r="I57" s="2486">
        <f t="shared" ca="1" si="3"/>
        <v>0</v>
      </c>
    </row>
    <row r="58" spans="1:16" s="61" customFormat="1" ht="14.25" customHeight="1">
      <c r="B58" s="2489" t="str">
        <v/>
      </c>
      <c r="C58" s="2483">
        <f ca="1"/>
        <v>0</v>
      </c>
      <c r="D58" s="2484">
        <f t="shared" ca="1" si="1"/>
        <v>0</v>
      </c>
      <c r="E58" s="2483">
        <f ca="1"/>
        <v>0</v>
      </c>
      <c r="F58" s="2484">
        <f t="shared" ca="1" si="2"/>
        <v>0</v>
      </c>
      <c r="G58" s="2483">
        <f ca="1"/>
        <v>0</v>
      </c>
      <c r="H58" s="2485" t="str">
        <f ca="1"/>
        <v/>
      </c>
      <c r="I58" s="2486">
        <f t="shared" ca="1" si="3"/>
        <v>0</v>
      </c>
    </row>
    <row r="59" spans="1:16" s="61" customFormat="1" ht="14.25" customHeight="1">
      <c r="B59" s="2489" t="str">
        <v/>
      </c>
      <c r="C59" s="2483">
        <f ca="1"/>
        <v>0</v>
      </c>
      <c r="D59" s="2484">
        <f t="shared" ca="1" si="1"/>
        <v>0</v>
      </c>
      <c r="E59" s="2483">
        <f ca="1"/>
        <v>0</v>
      </c>
      <c r="F59" s="2484">
        <f t="shared" ca="1" si="2"/>
        <v>0</v>
      </c>
      <c r="G59" s="2483">
        <f ca="1"/>
        <v>0</v>
      </c>
      <c r="H59" s="2485" t="str">
        <f ca="1"/>
        <v/>
      </c>
      <c r="I59" s="2486">
        <f t="shared" ca="1" si="3"/>
        <v>0</v>
      </c>
    </row>
    <row r="60" spans="1:16" s="61" customFormat="1" ht="14.25" customHeight="1" thickBot="1">
      <c r="B60" s="2489" t="str">
        <v/>
      </c>
      <c r="C60" s="2483">
        <f ca="1"/>
        <v>0</v>
      </c>
      <c r="D60" s="2484">
        <f t="shared" ca="1" si="1"/>
        <v>0</v>
      </c>
      <c r="E60" s="2483">
        <f ca="1"/>
        <v>0</v>
      </c>
      <c r="F60" s="2484">
        <f t="shared" ca="1" si="2"/>
        <v>0</v>
      </c>
      <c r="G60" s="2487">
        <f ca="1"/>
        <v>0</v>
      </c>
      <c r="H60" s="2485" t="str">
        <f ca="1"/>
        <v/>
      </c>
      <c r="I60" s="2486">
        <f t="shared" ca="1" si="3"/>
        <v>0</v>
      </c>
    </row>
    <row r="61" spans="1:16" s="861" customFormat="1" ht="17.25" customHeight="1" thickBot="1">
      <c r="B61" s="2815" t="str">
        <f>$B$48</f>
        <v>Totales</v>
      </c>
      <c r="C61" s="1251">
        <f ca="1">SUM(C53:C60)</f>
        <v>38675</v>
      </c>
      <c r="D61" s="1252">
        <f ca="1">SUM(D53:D60)</f>
        <v>1</v>
      </c>
      <c r="E61" s="1253">
        <f ca="1">SUM(E53:E60)</f>
        <v>3867.5</v>
      </c>
      <c r="F61" s="1254">
        <f ca="1">SUM(F53:F60)</f>
        <v>1</v>
      </c>
      <c r="G61" s="1255">
        <f ca="1">C61-E61</f>
        <v>34807.5</v>
      </c>
      <c r="H61" s="1250">
        <f ca="1">IFERROR(G61/C61,0)</f>
        <v>0.9</v>
      </c>
      <c r="I61" s="1256">
        <f ca="1">SUM(I53:I60)</f>
        <v>1</v>
      </c>
    </row>
    <row r="63" spans="1:16" s="61" customFormat="1" ht="18.75" customHeight="1">
      <c r="B63" s="59"/>
      <c r="P63" s="232"/>
    </row>
    <row r="64" spans="1:16" s="61" customFormat="1" ht="23.25" thickBot="1">
      <c r="A64" s="60"/>
      <c r="B64" s="233"/>
      <c r="C64" s="2689" t="str">
        <f>Parametros!D$77</f>
        <v>Año 2:  2028</v>
      </c>
      <c r="N64" s="232"/>
    </row>
    <row r="65" spans="1:14" s="61" customFormat="1" ht="16.5" customHeight="1" thickBot="1">
      <c r="B65" s="2490" t="str">
        <f t="array" ref="B65:I65">B$39:I$39</f>
        <v>Producto</v>
      </c>
      <c r="C65" s="2491" t="str">
        <v>Ventas</v>
      </c>
      <c r="D65" s="2492" t="str">
        <v>% / Vtas</v>
      </c>
      <c r="E65" s="2491" t="str">
        <v>Coste</v>
      </c>
      <c r="F65" s="2493" t="str">
        <v>% / Ctes</v>
      </c>
      <c r="G65" s="2494" t="str">
        <v>Margen</v>
      </c>
      <c r="H65" s="2492" t="str">
        <v>% de margen</v>
      </c>
      <c r="I65" s="438" t="str">
        <v xml:space="preserve">% contribución </v>
      </c>
    </row>
    <row r="66" spans="1:14" s="61" customFormat="1" ht="18.75" customHeight="1">
      <c r="B66" s="2488" t="str">
        <f t="array" ref="B66:B73">productos</f>
        <v>producto o servicio</v>
      </c>
      <c r="C66" s="2479">
        <f t="array" aca="1" ref="C66:C73" ca="1">'Prev.Ventas 2'!N17:N24</f>
        <v>39835.25</v>
      </c>
      <c r="D66" s="2480">
        <f t="shared" ref="D66:D73" ca="1" si="4">IF($C$74=0,"",C66/$C$74)</f>
        <v>1</v>
      </c>
      <c r="E66" s="2479">
        <f t="array" aca="1" ref="E66:E73" ca="1">'Distr CV 2'!$N20:N27</f>
        <v>3983.5250000000005</v>
      </c>
      <c r="F66" s="2480">
        <f t="shared" ref="F66:F73" ca="1" si="5">IF($E$74=0,"",E66/$E$74)</f>
        <v>1</v>
      </c>
      <c r="G66" s="2479">
        <f t="array" aca="1" ref="G66:G73" ca="1">C66:C73-E66:E73</f>
        <v>35851.724999999999</v>
      </c>
      <c r="H66" s="2481">
        <f t="array" aca="1" ref="H66:H73" ca="1">IF(C66:C73=0,"",G66:G73/C66:C73)</f>
        <v>0.89999999999999991</v>
      </c>
      <c r="I66" s="2482">
        <f t="shared" ref="I66:I73" ca="1" si="6">IF($G$74=0,"",G66/$G$74)</f>
        <v>1</v>
      </c>
    </row>
    <row r="67" spans="1:14" s="61" customFormat="1" ht="14.25" customHeight="1">
      <c r="B67" s="2489" t="str">
        <v/>
      </c>
      <c r="C67" s="2483">
        <f ca="1"/>
        <v>0</v>
      </c>
      <c r="D67" s="2484">
        <f t="shared" ca="1" si="4"/>
        <v>0</v>
      </c>
      <c r="E67" s="2483">
        <f ca="1"/>
        <v>0</v>
      </c>
      <c r="F67" s="2484">
        <f t="shared" ca="1" si="5"/>
        <v>0</v>
      </c>
      <c r="G67" s="2483">
        <f ca="1"/>
        <v>0</v>
      </c>
      <c r="H67" s="2485" t="str">
        <f ca="1"/>
        <v/>
      </c>
      <c r="I67" s="2486">
        <f t="shared" ca="1" si="6"/>
        <v>0</v>
      </c>
    </row>
    <row r="68" spans="1:14" s="61" customFormat="1" ht="14.25" customHeight="1">
      <c r="B68" s="2489" t="str">
        <v/>
      </c>
      <c r="C68" s="2483">
        <f ca="1"/>
        <v>0</v>
      </c>
      <c r="D68" s="2484">
        <f t="shared" ca="1" si="4"/>
        <v>0</v>
      </c>
      <c r="E68" s="2483">
        <f ca="1"/>
        <v>0</v>
      </c>
      <c r="F68" s="2484">
        <f t="shared" ca="1" si="5"/>
        <v>0</v>
      </c>
      <c r="G68" s="2483">
        <f ca="1"/>
        <v>0</v>
      </c>
      <c r="H68" s="2485" t="str">
        <f ca="1"/>
        <v/>
      </c>
      <c r="I68" s="2486">
        <f t="shared" ca="1" si="6"/>
        <v>0</v>
      </c>
    </row>
    <row r="69" spans="1:14" s="61" customFormat="1" ht="14.25" customHeight="1">
      <c r="B69" s="2489" t="str">
        <v/>
      </c>
      <c r="C69" s="2483">
        <f ca="1"/>
        <v>0</v>
      </c>
      <c r="D69" s="2484">
        <f t="shared" ca="1" si="4"/>
        <v>0</v>
      </c>
      <c r="E69" s="2483">
        <f ca="1"/>
        <v>0</v>
      </c>
      <c r="F69" s="2484">
        <f t="shared" ca="1" si="5"/>
        <v>0</v>
      </c>
      <c r="G69" s="2483">
        <f ca="1"/>
        <v>0</v>
      </c>
      <c r="H69" s="2485" t="str">
        <f ca="1"/>
        <v/>
      </c>
      <c r="I69" s="2486">
        <f t="shared" ca="1" si="6"/>
        <v>0</v>
      </c>
    </row>
    <row r="70" spans="1:14" s="61" customFormat="1" ht="14.25" customHeight="1">
      <c r="B70" s="2489" t="str">
        <v/>
      </c>
      <c r="C70" s="2483">
        <f ca="1"/>
        <v>0</v>
      </c>
      <c r="D70" s="2484">
        <f t="shared" ca="1" si="4"/>
        <v>0</v>
      </c>
      <c r="E70" s="2483">
        <f ca="1"/>
        <v>0</v>
      </c>
      <c r="F70" s="2484">
        <f t="shared" ca="1" si="5"/>
        <v>0</v>
      </c>
      <c r="G70" s="2483">
        <f ca="1"/>
        <v>0</v>
      </c>
      <c r="H70" s="2485" t="str">
        <f ca="1"/>
        <v/>
      </c>
      <c r="I70" s="2486">
        <f t="shared" ca="1" si="6"/>
        <v>0</v>
      </c>
    </row>
    <row r="71" spans="1:14" s="61" customFormat="1" ht="14.25" customHeight="1">
      <c r="B71" s="2489" t="str">
        <v/>
      </c>
      <c r="C71" s="2483">
        <f ca="1"/>
        <v>0</v>
      </c>
      <c r="D71" s="2484">
        <f t="shared" ca="1" si="4"/>
        <v>0</v>
      </c>
      <c r="E71" s="2483">
        <f ca="1"/>
        <v>0</v>
      </c>
      <c r="F71" s="2484">
        <f t="shared" ca="1" si="5"/>
        <v>0</v>
      </c>
      <c r="G71" s="2483">
        <f ca="1"/>
        <v>0</v>
      </c>
      <c r="H71" s="2485" t="str">
        <f ca="1"/>
        <v/>
      </c>
      <c r="I71" s="2486">
        <f t="shared" ca="1" si="6"/>
        <v>0</v>
      </c>
    </row>
    <row r="72" spans="1:14" s="61" customFormat="1" ht="14.25" customHeight="1">
      <c r="B72" s="2489" t="str">
        <v/>
      </c>
      <c r="C72" s="2483">
        <f ca="1"/>
        <v>0</v>
      </c>
      <c r="D72" s="2484">
        <f t="shared" ca="1" si="4"/>
        <v>0</v>
      </c>
      <c r="E72" s="2483">
        <f ca="1"/>
        <v>0</v>
      </c>
      <c r="F72" s="2484">
        <f t="shared" ca="1" si="5"/>
        <v>0</v>
      </c>
      <c r="G72" s="2483">
        <f ca="1"/>
        <v>0</v>
      </c>
      <c r="H72" s="2485" t="str">
        <f ca="1"/>
        <v/>
      </c>
      <c r="I72" s="2486">
        <f t="shared" ca="1" si="6"/>
        <v>0</v>
      </c>
    </row>
    <row r="73" spans="1:14" s="61" customFormat="1" ht="14.25" customHeight="1" thickBot="1">
      <c r="B73" s="2489" t="str">
        <v/>
      </c>
      <c r="C73" s="2483">
        <f ca="1"/>
        <v>0</v>
      </c>
      <c r="D73" s="2484">
        <f t="shared" ca="1" si="4"/>
        <v>0</v>
      </c>
      <c r="E73" s="2483">
        <f ca="1"/>
        <v>0</v>
      </c>
      <c r="F73" s="2484">
        <f t="shared" ca="1" si="5"/>
        <v>0</v>
      </c>
      <c r="G73" s="2487">
        <f ca="1"/>
        <v>0</v>
      </c>
      <c r="H73" s="2485" t="str">
        <f ca="1"/>
        <v/>
      </c>
      <c r="I73" s="2486">
        <f t="shared" ca="1" si="6"/>
        <v>0</v>
      </c>
    </row>
    <row r="74" spans="1:14" s="861" customFormat="1" ht="17.25" customHeight="1" thickBot="1">
      <c r="B74" s="2815" t="str">
        <f>$B$48</f>
        <v>Totales</v>
      </c>
      <c r="C74" s="1251">
        <f ca="1">SUM(C66:C73)</f>
        <v>39835.25</v>
      </c>
      <c r="D74" s="1252">
        <f ca="1">SUM(D66:D73)</f>
        <v>1</v>
      </c>
      <c r="E74" s="1253">
        <f ca="1">SUM(E66:E73)</f>
        <v>3983.5250000000005</v>
      </c>
      <c r="F74" s="1254">
        <f ca="1">SUM(F66:F73)</f>
        <v>1</v>
      </c>
      <c r="G74" s="1255">
        <f ca="1">C74-E74</f>
        <v>35851.724999999999</v>
      </c>
      <c r="H74" s="1250">
        <f ca="1">IFERROR(G74/C74,0)</f>
        <v>0.89999999999999991</v>
      </c>
      <c r="I74" s="1256">
        <f ca="1">SUM(I66:I73)</f>
        <v>1</v>
      </c>
    </row>
    <row r="77" spans="1:14" s="61" customFormat="1" ht="23.25" thickBot="1">
      <c r="A77" s="60"/>
      <c r="B77" s="233"/>
      <c r="C77" s="2689" t="str">
        <f>Parametros!E$77</f>
        <v>Año 3:  2029</v>
      </c>
      <c r="N77" s="232"/>
    </row>
    <row r="78" spans="1:14" s="61" customFormat="1" ht="16.5" customHeight="1" thickBot="1">
      <c r="B78" s="2490" t="str">
        <f t="array" ref="B78:I78">B$39:I$39</f>
        <v>Producto</v>
      </c>
      <c r="C78" s="2491" t="str">
        <v>Ventas</v>
      </c>
      <c r="D78" s="2492" t="str">
        <v>% / Vtas</v>
      </c>
      <c r="E78" s="2491" t="str">
        <v>Coste</v>
      </c>
      <c r="F78" s="2493" t="str">
        <v>% / Ctes</v>
      </c>
      <c r="G78" s="2494" t="str">
        <v>Margen</v>
      </c>
      <c r="H78" s="2492" t="str">
        <v>% de margen</v>
      </c>
      <c r="I78" s="438" t="str">
        <v xml:space="preserve">% contribución </v>
      </c>
    </row>
    <row r="79" spans="1:14" s="61" customFormat="1" ht="18.75" customHeight="1">
      <c r="B79" s="2488" t="str">
        <f t="array" ref="B79:B86">productos</f>
        <v>producto o servicio</v>
      </c>
      <c r="C79" s="2479">
        <f t="array" aca="1" ref="C79:C86" ca="1">'Prev.Ventas 3'!N17:N24</f>
        <v>41030.307500000003</v>
      </c>
      <c r="D79" s="2480">
        <f t="shared" ref="D79:D86" ca="1" si="7">IF($C$87=0,"",C79/$C$87)</f>
        <v>1</v>
      </c>
      <c r="E79" s="2479">
        <f t="array" aca="1" ref="E79:E86" ca="1">+'Distr CV 3'!$N20:N27</f>
        <v>4103.0307500000008</v>
      </c>
      <c r="F79" s="2480">
        <f t="shared" ref="F79:F86" ca="1" si="8">IF($E$87=0,"",E79/$E$87)</f>
        <v>1</v>
      </c>
      <c r="G79" s="2479">
        <f t="array" aca="1" ref="G79:G86" ca="1">C79:C86-E79:E86</f>
        <v>36927.276750000005</v>
      </c>
      <c r="H79" s="2481">
        <f t="array" aca="1" ref="H79:H86" ca="1">IF(C79:C86=0,"",G79:G86/C79:C86)</f>
        <v>0.9</v>
      </c>
      <c r="I79" s="2482">
        <f t="shared" ref="I79:I86" ca="1" si="9">IF($G$87=0,"",G79/$G$87)</f>
        <v>1</v>
      </c>
    </row>
    <row r="80" spans="1:14" s="61" customFormat="1" ht="14.25" customHeight="1">
      <c r="B80" s="2489" t="str">
        <v/>
      </c>
      <c r="C80" s="2483">
        <f ca="1"/>
        <v>0</v>
      </c>
      <c r="D80" s="2484">
        <f t="shared" ca="1" si="7"/>
        <v>0</v>
      </c>
      <c r="E80" s="2483">
        <f ca="1"/>
        <v>0</v>
      </c>
      <c r="F80" s="2484">
        <f t="shared" ca="1" si="8"/>
        <v>0</v>
      </c>
      <c r="G80" s="2483">
        <f ca="1"/>
        <v>0</v>
      </c>
      <c r="H80" s="2485" t="str">
        <f ca="1"/>
        <v/>
      </c>
      <c r="I80" s="2486">
        <f t="shared" ca="1" si="9"/>
        <v>0</v>
      </c>
    </row>
    <row r="81" spans="1:14" s="61" customFormat="1" ht="14.25" customHeight="1">
      <c r="B81" s="2489" t="str">
        <v/>
      </c>
      <c r="C81" s="2483">
        <f ca="1"/>
        <v>0</v>
      </c>
      <c r="D81" s="2484">
        <f t="shared" ca="1" si="7"/>
        <v>0</v>
      </c>
      <c r="E81" s="2483">
        <f ca="1"/>
        <v>0</v>
      </c>
      <c r="F81" s="2484">
        <f t="shared" ca="1" si="8"/>
        <v>0</v>
      </c>
      <c r="G81" s="2483">
        <f ca="1"/>
        <v>0</v>
      </c>
      <c r="H81" s="2485" t="str">
        <f ca="1"/>
        <v/>
      </c>
      <c r="I81" s="2486">
        <f t="shared" ca="1" si="9"/>
        <v>0</v>
      </c>
    </row>
    <row r="82" spans="1:14" s="61" customFormat="1" ht="14.25" customHeight="1">
      <c r="B82" s="2489" t="str">
        <v/>
      </c>
      <c r="C82" s="2483">
        <f ca="1"/>
        <v>0</v>
      </c>
      <c r="D82" s="2484">
        <f t="shared" ca="1" si="7"/>
        <v>0</v>
      </c>
      <c r="E82" s="2483">
        <f ca="1"/>
        <v>0</v>
      </c>
      <c r="F82" s="2484">
        <f t="shared" ca="1" si="8"/>
        <v>0</v>
      </c>
      <c r="G82" s="2483">
        <f ca="1"/>
        <v>0</v>
      </c>
      <c r="H82" s="2485" t="str">
        <f ca="1"/>
        <v/>
      </c>
      <c r="I82" s="2486">
        <f t="shared" ca="1" si="9"/>
        <v>0</v>
      </c>
    </row>
    <row r="83" spans="1:14" s="61" customFormat="1" ht="14.25" customHeight="1">
      <c r="B83" s="2489" t="str">
        <v/>
      </c>
      <c r="C83" s="2483">
        <f ca="1"/>
        <v>0</v>
      </c>
      <c r="D83" s="2484">
        <f t="shared" ca="1" si="7"/>
        <v>0</v>
      </c>
      <c r="E83" s="2483">
        <f ca="1"/>
        <v>0</v>
      </c>
      <c r="F83" s="2484">
        <f t="shared" ca="1" si="8"/>
        <v>0</v>
      </c>
      <c r="G83" s="2483">
        <f ca="1"/>
        <v>0</v>
      </c>
      <c r="H83" s="2485" t="str">
        <f ca="1"/>
        <v/>
      </c>
      <c r="I83" s="2486">
        <f t="shared" ca="1" si="9"/>
        <v>0</v>
      </c>
    </row>
    <row r="84" spans="1:14" s="61" customFormat="1" ht="14.25" customHeight="1">
      <c r="B84" s="2489" t="str">
        <v/>
      </c>
      <c r="C84" s="2483">
        <f ca="1"/>
        <v>0</v>
      </c>
      <c r="D84" s="2484">
        <f t="shared" ca="1" si="7"/>
        <v>0</v>
      </c>
      <c r="E84" s="2483">
        <f ca="1"/>
        <v>0</v>
      </c>
      <c r="F84" s="2484">
        <f t="shared" ca="1" si="8"/>
        <v>0</v>
      </c>
      <c r="G84" s="2483">
        <f ca="1"/>
        <v>0</v>
      </c>
      <c r="H84" s="2485" t="str">
        <f ca="1"/>
        <v/>
      </c>
      <c r="I84" s="2486">
        <f t="shared" ca="1" si="9"/>
        <v>0</v>
      </c>
    </row>
    <row r="85" spans="1:14" s="61" customFormat="1" ht="14.25" customHeight="1">
      <c r="B85" s="2489" t="str">
        <v/>
      </c>
      <c r="C85" s="2483">
        <f ca="1"/>
        <v>0</v>
      </c>
      <c r="D85" s="2484">
        <f t="shared" ca="1" si="7"/>
        <v>0</v>
      </c>
      <c r="E85" s="2483">
        <f ca="1"/>
        <v>0</v>
      </c>
      <c r="F85" s="2484">
        <f t="shared" ca="1" si="8"/>
        <v>0</v>
      </c>
      <c r="G85" s="2483">
        <f ca="1"/>
        <v>0</v>
      </c>
      <c r="H85" s="2485" t="str">
        <f ca="1"/>
        <v/>
      </c>
      <c r="I85" s="2486">
        <f t="shared" ca="1" si="9"/>
        <v>0</v>
      </c>
    </row>
    <row r="86" spans="1:14" s="61" customFormat="1" ht="14.25" customHeight="1" thickBot="1">
      <c r="B86" s="2489" t="str">
        <v/>
      </c>
      <c r="C86" s="2483">
        <f ca="1"/>
        <v>0</v>
      </c>
      <c r="D86" s="2484">
        <f t="shared" ca="1" si="7"/>
        <v>0</v>
      </c>
      <c r="E86" s="2483">
        <f ca="1"/>
        <v>0</v>
      </c>
      <c r="F86" s="2484">
        <f t="shared" ca="1" si="8"/>
        <v>0</v>
      </c>
      <c r="G86" s="2487">
        <f ca="1"/>
        <v>0</v>
      </c>
      <c r="H86" s="2485" t="str">
        <f ca="1"/>
        <v/>
      </c>
      <c r="I86" s="2486">
        <f t="shared" ca="1" si="9"/>
        <v>0</v>
      </c>
    </row>
    <row r="87" spans="1:14" s="861" customFormat="1" ht="17.25" customHeight="1" thickBot="1">
      <c r="B87" s="2815" t="str">
        <f>$B$48</f>
        <v>Totales</v>
      </c>
      <c r="C87" s="1251">
        <f ca="1">SUM(C79:C86)</f>
        <v>41030.307500000003</v>
      </c>
      <c r="D87" s="1252">
        <f ca="1">SUM(D79:D86)</f>
        <v>1</v>
      </c>
      <c r="E87" s="1253">
        <f ca="1">SUM(E79:E86)</f>
        <v>4103.0307500000008</v>
      </c>
      <c r="F87" s="1254">
        <f ca="1">SUM(F79:F86)</f>
        <v>1</v>
      </c>
      <c r="G87" s="1255">
        <f ca="1">C87-E87</f>
        <v>36927.276750000005</v>
      </c>
      <c r="H87" s="1250">
        <f ca="1">IFERROR(G87/C87,0)</f>
        <v>0.9</v>
      </c>
      <c r="I87" s="1256">
        <f ca="1">SUM(I79:I86)</f>
        <v>1</v>
      </c>
    </row>
    <row r="90" spans="1:14" s="61" customFormat="1" ht="23.25" thickBot="1">
      <c r="A90" s="60"/>
      <c r="B90" s="233"/>
      <c r="C90" s="2689" t="str">
        <f>Parametros!F$77</f>
        <v>Año 4:  2030</v>
      </c>
      <c r="N90" s="232"/>
    </row>
    <row r="91" spans="1:14" s="61" customFormat="1" ht="16.5" customHeight="1" thickBot="1">
      <c r="B91" s="2490" t="str">
        <f t="array" ref="B91:I91">B$39:I$39</f>
        <v>Producto</v>
      </c>
      <c r="C91" s="2491" t="str">
        <v>Ventas</v>
      </c>
      <c r="D91" s="2492" t="str">
        <v>% / Vtas</v>
      </c>
      <c r="E91" s="2491" t="str">
        <v>Coste</v>
      </c>
      <c r="F91" s="2493" t="str">
        <v>% / Ctes</v>
      </c>
      <c r="G91" s="2494" t="str">
        <v>Margen</v>
      </c>
      <c r="H91" s="2492" t="str">
        <v>% de margen</v>
      </c>
      <c r="I91" s="438" t="str">
        <v xml:space="preserve">% contribución </v>
      </c>
    </row>
    <row r="92" spans="1:14" s="61" customFormat="1" ht="18.75" customHeight="1">
      <c r="B92" s="2488" t="str">
        <f t="array" ref="B92:B99">productos</f>
        <v>producto o servicio</v>
      </c>
      <c r="C92" s="2479">
        <f t="array" aca="1" ref="C92:C99" ca="1">'Prev.Ventas 4'!N17:N24</f>
        <v>42261.216725000006</v>
      </c>
      <c r="D92" s="2480">
        <f t="shared" ref="D92:D99" ca="1" si="10">IF($C$100=0,"",C92/$C$100)</f>
        <v>1</v>
      </c>
      <c r="E92" s="2479">
        <f t="array" aca="1" ref="E92:E99" ca="1">'Distr CV 4'!$N20:N27</f>
        <v>4226.1216725000004</v>
      </c>
      <c r="F92" s="2480">
        <f t="shared" ref="F92:F99" ca="1" si="11">IF($E$100=0,"",E92/$E$100)</f>
        <v>1</v>
      </c>
      <c r="G92" s="2479">
        <f t="array" aca="1" ref="G92:G99" ca="1">C92:C99-E92:E99</f>
        <v>38035.095052500008</v>
      </c>
      <c r="H92" s="2481">
        <f t="array" aca="1" ref="H92:H99" ca="1">IF(C92:C99=0,"",G92:G99/C92:C99)</f>
        <v>0.9</v>
      </c>
      <c r="I92" s="2482">
        <f t="shared" ref="I92:I99" ca="1" si="12">IF($G$100=0,"",G92/$G$100)</f>
        <v>1</v>
      </c>
    </row>
    <row r="93" spans="1:14" s="61" customFormat="1" ht="14.25" customHeight="1">
      <c r="B93" s="2489" t="str">
        <v/>
      </c>
      <c r="C93" s="2483">
        <f ca="1"/>
        <v>0</v>
      </c>
      <c r="D93" s="2484">
        <f t="shared" ca="1" si="10"/>
        <v>0</v>
      </c>
      <c r="E93" s="2483">
        <f ca="1"/>
        <v>0</v>
      </c>
      <c r="F93" s="2484">
        <f t="shared" ca="1" si="11"/>
        <v>0</v>
      </c>
      <c r="G93" s="2483">
        <f ca="1"/>
        <v>0</v>
      </c>
      <c r="H93" s="2485" t="str">
        <f ca="1"/>
        <v/>
      </c>
      <c r="I93" s="2486">
        <f t="shared" ca="1" si="12"/>
        <v>0</v>
      </c>
    </row>
    <row r="94" spans="1:14" s="61" customFormat="1" ht="14.25" customHeight="1">
      <c r="B94" s="2489" t="str">
        <v/>
      </c>
      <c r="C94" s="2483">
        <f ca="1"/>
        <v>0</v>
      </c>
      <c r="D94" s="2484">
        <f t="shared" ca="1" si="10"/>
        <v>0</v>
      </c>
      <c r="E94" s="2483">
        <f ca="1"/>
        <v>0</v>
      </c>
      <c r="F94" s="2484">
        <f t="shared" ca="1" si="11"/>
        <v>0</v>
      </c>
      <c r="G94" s="2483">
        <f ca="1"/>
        <v>0</v>
      </c>
      <c r="H94" s="2485" t="str">
        <f ca="1"/>
        <v/>
      </c>
      <c r="I94" s="2486">
        <f t="shared" ca="1" si="12"/>
        <v>0</v>
      </c>
    </row>
    <row r="95" spans="1:14" s="61" customFormat="1" ht="14.25" customHeight="1">
      <c r="B95" s="2489" t="str">
        <v/>
      </c>
      <c r="C95" s="2483">
        <f ca="1"/>
        <v>0</v>
      </c>
      <c r="D95" s="2484">
        <f t="shared" ca="1" si="10"/>
        <v>0</v>
      </c>
      <c r="E95" s="2483">
        <f ca="1"/>
        <v>0</v>
      </c>
      <c r="F95" s="2484">
        <f t="shared" ca="1" si="11"/>
        <v>0</v>
      </c>
      <c r="G95" s="2483">
        <f ca="1"/>
        <v>0</v>
      </c>
      <c r="H95" s="2485" t="str">
        <f ca="1"/>
        <v/>
      </c>
      <c r="I95" s="2486">
        <f t="shared" ca="1" si="12"/>
        <v>0</v>
      </c>
    </row>
    <row r="96" spans="1:14" s="61" customFormat="1" ht="14.25" customHeight="1">
      <c r="B96" s="2489" t="str">
        <v/>
      </c>
      <c r="C96" s="2483">
        <f ca="1"/>
        <v>0</v>
      </c>
      <c r="D96" s="2484">
        <f t="shared" ca="1" si="10"/>
        <v>0</v>
      </c>
      <c r="E96" s="2483">
        <f ca="1"/>
        <v>0</v>
      </c>
      <c r="F96" s="2484">
        <f t="shared" ca="1" si="11"/>
        <v>0</v>
      </c>
      <c r="G96" s="2483">
        <f ca="1"/>
        <v>0</v>
      </c>
      <c r="H96" s="2485" t="str">
        <f ca="1"/>
        <v/>
      </c>
      <c r="I96" s="2486">
        <f t="shared" ca="1" si="12"/>
        <v>0</v>
      </c>
    </row>
    <row r="97" spans="2:9" s="61" customFormat="1" ht="14.25" customHeight="1">
      <c r="B97" s="2489" t="str">
        <v/>
      </c>
      <c r="C97" s="2483">
        <f ca="1"/>
        <v>0</v>
      </c>
      <c r="D97" s="2484">
        <f t="shared" ca="1" si="10"/>
        <v>0</v>
      </c>
      <c r="E97" s="2483">
        <f ca="1"/>
        <v>0</v>
      </c>
      <c r="F97" s="2484">
        <f t="shared" ca="1" si="11"/>
        <v>0</v>
      </c>
      <c r="G97" s="2483">
        <f ca="1"/>
        <v>0</v>
      </c>
      <c r="H97" s="2485" t="str">
        <f ca="1"/>
        <v/>
      </c>
      <c r="I97" s="2486">
        <f t="shared" ca="1" si="12"/>
        <v>0</v>
      </c>
    </row>
    <row r="98" spans="2:9" s="61" customFormat="1" ht="14.25" customHeight="1">
      <c r="B98" s="2489" t="str">
        <v/>
      </c>
      <c r="C98" s="2483">
        <f ca="1"/>
        <v>0</v>
      </c>
      <c r="D98" s="2484">
        <f t="shared" ca="1" si="10"/>
        <v>0</v>
      </c>
      <c r="E98" s="2483">
        <f ca="1"/>
        <v>0</v>
      </c>
      <c r="F98" s="2484">
        <f t="shared" ca="1" si="11"/>
        <v>0</v>
      </c>
      <c r="G98" s="2483">
        <f ca="1"/>
        <v>0</v>
      </c>
      <c r="H98" s="2485" t="str">
        <f ca="1"/>
        <v/>
      </c>
      <c r="I98" s="2486">
        <f t="shared" ca="1" si="12"/>
        <v>0</v>
      </c>
    </row>
    <row r="99" spans="2:9" s="61" customFormat="1" ht="14.25" customHeight="1" thickBot="1">
      <c r="B99" s="2489" t="str">
        <v/>
      </c>
      <c r="C99" s="2483">
        <f ca="1"/>
        <v>0</v>
      </c>
      <c r="D99" s="2484">
        <f t="shared" ca="1" si="10"/>
        <v>0</v>
      </c>
      <c r="E99" s="2483">
        <f ca="1"/>
        <v>0</v>
      </c>
      <c r="F99" s="2484">
        <f t="shared" ca="1" si="11"/>
        <v>0</v>
      </c>
      <c r="G99" s="2487">
        <f ca="1"/>
        <v>0</v>
      </c>
      <c r="H99" s="2485" t="str">
        <f ca="1"/>
        <v/>
      </c>
      <c r="I99" s="2486">
        <f t="shared" ca="1" si="12"/>
        <v>0</v>
      </c>
    </row>
    <row r="100" spans="2:9" s="861" customFormat="1" ht="17.25" customHeight="1" thickBot="1">
      <c r="B100" s="2815" t="str">
        <f>$B$48</f>
        <v>Totales</v>
      </c>
      <c r="C100" s="1251">
        <f ca="1">SUM(C92:C99)</f>
        <v>42261.216725000006</v>
      </c>
      <c r="D100" s="1252">
        <f ca="1">SUM(D92:D99)</f>
        <v>1</v>
      </c>
      <c r="E100" s="1253">
        <f ca="1">SUM(E92:E99)</f>
        <v>4226.1216725000004</v>
      </c>
      <c r="F100" s="1254">
        <f ca="1">SUM(F92:F99)</f>
        <v>1</v>
      </c>
      <c r="G100" s="1255">
        <f ca="1">C100-E100</f>
        <v>38035.095052500008</v>
      </c>
      <c r="H100" s="1250">
        <f ca="1">IFERROR(G100/C100,0)</f>
        <v>0.9</v>
      </c>
      <c r="I100" s="1256">
        <f ca="1">SUM(I92:I99)</f>
        <v>1</v>
      </c>
    </row>
  </sheetData>
  <sheetProtection sheet="1" objects="1" scenarios="1"/>
  <phoneticPr fontId="6" type="noConversion"/>
  <conditionalFormatting sqref="B35:H35">
    <cfRule type="expression" dxfId="5" priority="1" stopIfTrue="1">
      <formula>$I$35&gt;0</formula>
    </cfRule>
  </conditionalFormatting>
  <printOptions horizontalCentered="1"/>
  <pageMargins left="0.75" right="0.75" top="1" bottom="1" header="0" footer="0"/>
  <pageSetup paperSize="9" scale="75" fitToHeight="2" orientation="landscape" horizontalDpi="300" verticalDpi="300" r:id="rId1"/>
  <headerFooter alignWithMargins="0"/>
  <rowBreaks count="1" manualBreakCount="1">
    <brk id="33" min="1" max="8" man="1"/>
  </rowBreaks>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34">
    <pageSetUpPr fitToPage="1"/>
  </sheetPr>
  <dimension ref="A1:AU70"/>
  <sheetViews>
    <sheetView workbookViewId="0"/>
  </sheetViews>
  <sheetFormatPr baseColWidth="10" defaultColWidth="11" defaultRowHeight="15"/>
  <cols>
    <col min="1" max="1" width="41.625" style="35" customWidth="1"/>
    <col min="2" max="2" width="61.5" style="35" customWidth="1"/>
    <col min="3" max="3" width="12.125" style="35" customWidth="1"/>
    <col min="4" max="4" width="11.875" style="35" customWidth="1"/>
    <col min="5" max="7" width="11.125" style="35" customWidth="1"/>
    <col min="8" max="9" width="11" style="35"/>
    <col min="10" max="11" width="13" style="35" bestFit="1" customWidth="1"/>
    <col min="12" max="15" width="11" style="35"/>
    <col min="16" max="16" width="11.375" style="35" bestFit="1" customWidth="1"/>
    <col min="17" max="19" width="11.75" style="35" customWidth="1"/>
    <col min="20" max="20" width="11.5" style="35" bestFit="1" customWidth="1"/>
    <col min="21" max="21" width="11.375" style="35" bestFit="1" customWidth="1"/>
    <col min="22" max="22" width="11.5" style="35" bestFit="1" customWidth="1"/>
    <col min="23" max="39" width="11.375" style="35" bestFit="1" customWidth="1"/>
    <col min="40" max="46" width="11.125" style="35" bestFit="1" customWidth="1"/>
    <col min="47" max="16384" width="11" style="35"/>
  </cols>
  <sheetData>
    <row r="1" spans="1:7" ht="25.5">
      <c r="A1" s="561" t="s">
        <v>42</v>
      </c>
      <c r="B1" s="629"/>
      <c r="C1" s="630"/>
      <c r="D1" s="630"/>
      <c r="E1" s="213"/>
      <c r="F1" s="213"/>
      <c r="G1" s="213"/>
    </row>
    <row r="2" spans="1:7" ht="26.25" thickBot="1">
      <c r="A2" s="561" t="str">
        <f>'Datos Básicos'!B9</f>
        <v>nombre empresa</v>
      </c>
      <c r="B2" s="60"/>
      <c r="C2" s="631"/>
      <c r="D2" s="631"/>
      <c r="E2" s="632"/>
      <c r="F2" s="632"/>
      <c r="G2" s="632"/>
    </row>
    <row r="3" spans="1:7" ht="15.75" thickBot="1">
      <c r="A3" s="1428" t="s">
        <v>43</v>
      </c>
      <c r="B3" s="1429" t="s">
        <v>44</v>
      </c>
      <c r="C3" s="1429" t="str">
        <f>CONCATENATE(Parametros!D62,IF(mes0=1,"","  (*)"))</f>
        <v>Año 0</v>
      </c>
      <c r="D3" s="2690">
        <f t="array" ref="D3:G3">Parametros!F62:I62</f>
        <v>2</v>
      </c>
      <c r="E3" s="2691">
        <v>3</v>
      </c>
      <c r="F3" s="2690">
        <v>4</v>
      </c>
      <c r="G3" s="2692">
        <v>5</v>
      </c>
    </row>
    <row r="4" spans="1:7" ht="17.25" customHeight="1">
      <c r="A4" s="1273" t="s">
        <v>45</v>
      </c>
      <c r="B4" s="1260" t="s">
        <v>596</v>
      </c>
      <c r="C4" s="1701">
        <f ca="1">IF('Balances anuales'!F26=0,"N/D",Imp.Sociedades!B24/'Balances anuales'!F26)</f>
        <v>1.1458023149841698</v>
      </c>
      <c r="D4" s="1702">
        <f ca="1">Imp.Sociedades!D24/'Balances anuales'!H26</f>
        <v>1.4775507769661913</v>
      </c>
      <c r="E4" s="1703">
        <f ca="1">Imp.Sociedades!G24/'Balances anuales'!J26</f>
        <v>0.70246549204548869</v>
      </c>
      <c r="F4" s="1704">
        <f ca="1">Imp.Sociedades!J24/'Balances anuales'!L26</f>
        <v>0.67422609717371973</v>
      </c>
      <c r="G4" s="1705">
        <f ca="1">Imp.Sociedades!M24/'Balances anuales'!N26</f>
        <v>0.61111600217354489</v>
      </c>
    </row>
    <row r="5" spans="1:7">
      <c r="A5" s="1273" t="s">
        <v>46</v>
      </c>
      <c r="B5" s="1260"/>
      <c r="C5" s="1304"/>
      <c r="D5" s="1305"/>
      <c r="E5" s="1306"/>
      <c r="F5" s="1305"/>
      <c r="G5" s="1307"/>
    </row>
    <row r="6" spans="1:7" ht="17.25" customHeight="1">
      <c r="A6" s="1274" t="s">
        <v>1116</v>
      </c>
      <c r="B6" s="1261" t="s">
        <v>546</v>
      </c>
      <c r="C6" s="1706">
        <f ca="1">IF('Balances anuales'!F24=0,"N/D",'PPyGG anuales'!B29/'Balances anuales'!F24)</f>
        <v>0.50019907662508389</v>
      </c>
      <c r="D6" s="1707">
        <f ca="1">'PPyGG anuales'!D29/'Balances anuales'!H24</f>
        <v>0.97974303443701583</v>
      </c>
      <c r="E6" s="1708">
        <f ca="1">'PPyGG anuales'!G29/'Balances anuales'!J24</f>
        <v>0.4986264934439722</v>
      </c>
      <c r="F6" s="1709">
        <f ca="1">'PPyGG anuales'!J29/'Balances anuales'!L24</f>
        <v>0.50067401294656289</v>
      </c>
      <c r="G6" s="1710">
        <f ca="1">'PPyGG anuales'!M29/'Balances anuales'!N24</f>
        <v>0.47010851856397423</v>
      </c>
    </row>
    <row r="7" spans="1:7">
      <c r="A7" s="1275" t="s">
        <v>1117</v>
      </c>
      <c r="B7" s="1262"/>
      <c r="C7" s="1308"/>
      <c r="D7" s="1309"/>
      <c r="E7" s="1310"/>
      <c r="F7" s="1309"/>
      <c r="G7" s="1311"/>
    </row>
    <row r="8" spans="1:7" ht="17.25" customHeight="1">
      <c r="A8" s="1273" t="s">
        <v>47</v>
      </c>
      <c r="B8" s="1260" t="s">
        <v>547</v>
      </c>
      <c r="C8" s="1711">
        <f ca="1">IF('PyG 0'!$N5=0,"N/D",Imp.Sociedades!B24/'PyG 0'!$N5)</f>
        <v>0.10299803597271034</v>
      </c>
      <c r="D8" s="1707">
        <f ca="1">IF('PyG 1'!$N5=0,"N/D",Imp.Sociedades!D24/'PyG 1'!$N5)</f>
        <v>0.28582633249103839</v>
      </c>
      <c r="E8" s="1708">
        <f ca="1">IF('PyG 2'!$N5=0,"N/D",Imp.Sociedades!G24/'PyG 2'!$N5)</f>
        <v>0.15716181322960313</v>
      </c>
      <c r="F8" s="1709">
        <f ca="1">IF('PyG 3'!$N5=0,"N/D",Imp.Sociedades!J24/'PyG 4'!$N5)</f>
        <v>0.17303147112650299</v>
      </c>
      <c r="G8" s="1710">
        <f ca="1">IF('PyG 4'!$N5=0,"N/D",Imp.Sociedades!M24/'PyG 4'!$N5)</f>
        <v>0.18744808188248241</v>
      </c>
    </row>
    <row r="9" spans="1:7">
      <c r="A9" s="1273" t="s">
        <v>48</v>
      </c>
      <c r="B9" s="1260"/>
      <c r="C9" s="1304"/>
      <c r="D9" s="1305"/>
      <c r="E9" s="1306"/>
      <c r="F9" s="1305"/>
      <c r="G9" s="1307"/>
    </row>
    <row r="10" spans="1:7" ht="28.5">
      <c r="A10" s="3096" t="s">
        <v>1209</v>
      </c>
      <c r="B10" s="1258" t="s">
        <v>1210</v>
      </c>
      <c r="C10" s="3097">
        <f ca="1">IF('Balances anuales'!F44=0,"N/D",'PPyGG anuales'!B23/'Balances anuales'!F44)</f>
        <v>1.8188349548969256</v>
      </c>
      <c r="D10" s="3097">
        <f ca="1">IF('Balances anuales'!H44=0,"N/D",'PPyGG anuales'!D23/'Balances anuales'!H44)</f>
        <v>1.7902995052844866</v>
      </c>
      <c r="E10" s="3097">
        <f ca="1">IF('Balances anuales'!J44=0,"N/D",'PPyGG anuales'!G23/'Balances anuales'!J44)</f>
        <v>0.97288208622580363</v>
      </c>
      <c r="F10" s="3097">
        <f ca="1">IF('Balances anuales'!L44=0,"N/D",'PPyGG anuales'!J23/'Balances anuales'!L44)</f>
        <v>0.90310122951571192</v>
      </c>
      <c r="G10" s="1468">
        <f ca="1">IF('Balances anuales'!N44=0,"N/D",'PPyGG anuales'!M23/'Balances anuales'!N44)</f>
        <v>0.80835738101400056</v>
      </c>
    </row>
    <row r="11" spans="1:7" ht="23.25" customHeight="1">
      <c r="A11" s="1270" t="s">
        <v>1211</v>
      </c>
      <c r="B11" s="3093" t="s">
        <v>1024</v>
      </c>
      <c r="C11" s="1953">
        <f t="array" aca="1" ref="C11:G11" ca="1">'P. Equilibrio'!D20:H20</f>
        <v>0.89999999999999991</v>
      </c>
      <c r="D11" s="3094">
        <f ca="1"/>
        <v>0.9</v>
      </c>
      <c r="E11" s="3095">
        <f ca="1"/>
        <v>0.89999999999999991</v>
      </c>
      <c r="F11" s="2560">
        <f ca="1"/>
        <v>0.9</v>
      </c>
      <c r="G11" s="2562">
        <f ca="1"/>
        <v>0.9</v>
      </c>
    </row>
    <row r="12" spans="1:7" ht="33" customHeight="1" thickBot="1">
      <c r="A12" s="1269" t="s">
        <v>1212</v>
      </c>
      <c r="B12" s="1958" t="s">
        <v>823</v>
      </c>
      <c r="C12" s="2495">
        <f ca="1">1+'PPyGG anuales'!B23/'PPyGG anuales'!B18</f>
        <v>1.221992667987851</v>
      </c>
      <c r="D12" s="1954">
        <f ca="1">1+'PPyGG anuales'!D23/'PPyGG anuales'!D18</f>
        <v>1.6255062373639664</v>
      </c>
      <c r="E12" s="1955">
        <f ca="1">1+'PPyGG anuales'!G23/'PPyGG anuales'!G18</f>
        <v>1.3189940376337828</v>
      </c>
      <c r="F12" s="1956">
        <f ca="1">1+'PPyGG anuales'!J23/'PPyGG anuales'!J18</f>
        <v>1.3610018255106386</v>
      </c>
      <c r="G12" s="1957">
        <f ca="1">1+'PPyGG anuales'!M23/'PPyGG anuales'!M18</f>
        <v>1.3802581895599844</v>
      </c>
    </row>
    <row r="13" spans="1:7" ht="15.75" thickBot="1">
      <c r="A13" s="1428" t="s">
        <v>49</v>
      </c>
      <c r="B13" s="1429" t="s">
        <v>44</v>
      </c>
      <c r="C13" s="1429" t="str">
        <f t="array" ref="C13:G13">C$3:G$3</f>
        <v>Año 0</v>
      </c>
      <c r="D13" s="2690">
        <v>2</v>
      </c>
      <c r="E13" s="2691">
        <v>3</v>
      </c>
      <c r="F13" s="2690">
        <v>4</v>
      </c>
      <c r="G13" s="2692">
        <v>5</v>
      </c>
    </row>
    <row r="14" spans="1:7" s="48" customFormat="1" ht="24.75" customHeight="1">
      <c r="A14" s="1270" t="s">
        <v>50</v>
      </c>
      <c r="B14" s="1257" t="s">
        <v>51</v>
      </c>
      <c r="C14" s="1289">
        <f ca="1">IF('Balances anuales'!F24=0,"N/D",'PyG 0'!$N$5/'Balances anuales'!F24)</f>
        <v>4.8563943176315822</v>
      </c>
      <c r="D14" s="1290">
        <f ca="1">'PyG 1'!$N$5/'Balances anuales'!H24</f>
        <v>3.427756378841456</v>
      </c>
      <c r="E14" s="1291">
        <f ca="1">'PyG 2'!$N$5/'Balances anuales'!J24</f>
        <v>3.1726949644918614</v>
      </c>
      <c r="F14" s="1292">
        <f ca="1">'PyG 3'!$N$5/'Balances anuales'!L24</f>
        <v>2.8092651096402017</v>
      </c>
      <c r="G14" s="1293">
        <f ca="1">'PyG 4'!$N$5/'Balances anuales'!N24</f>
        <v>2.5079398724319906</v>
      </c>
    </row>
    <row r="15" spans="1:7" s="48" customFormat="1" ht="24.75" customHeight="1">
      <c r="A15" s="1271" t="s">
        <v>52</v>
      </c>
      <c r="B15" s="1258" t="s">
        <v>588</v>
      </c>
      <c r="C15" s="1294">
        <f ca="1">'PyG 0'!$N$5/'Balances anuales'!F13</f>
        <v>4.8563943176315822</v>
      </c>
      <c r="D15" s="1295">
        <f ca="1">'PyG 1'!$N$5/'Balances anuales'!H13</f>
        <v>3.427756378841456</v>
      </c>
      <c r="E15" s="1296">
        <f ca="1">'PyG 2'!$N$5/'Balances anuales'!J13</f>
        <v>3.1726949644918614</v>
      </c>
      <c r="F15" s="1297">
        <f ca="1">'PyG 3'!$N$5/'Balances anuales'!L13</f>
        <v>2.8092651096402017</v>
      </c>
      <c r="G15" s="1298">
        <f ca="1">'PyG 4'!$N$5/'Balances anuales'!N13</f>
        <v>2.5079398724319906</v>
      </c>
    </row>
    <row r="16" spans="1:7" s="48" customFormat="1" ht="24.75" customHeight="1" thickBot="1">
      <c r="A16" s="1270" t="s">
        <v>53</v>
      </c>
      <c r="B16" s="1257" t="s">
        <v>54</v>
      </c>
      <c r="C16" s="1299" t="str">
        <f ca="1">IF('Balances anuales'!F15=0,"N/D",'PyG 0'!$N$5/'Balances anuales'!F15)</f>
        <v>N/D</v>
      </c>
      <c r="D16" s="1300" t="str">
        <f ca="1">IF('Balances anuales'!H15=0,"N/D",'PyG 1'!$N$5/'Balances anuales'!H15)</f>
        <v>N/D</v>
      </c>
      <c r="E16" s="1301" t="str">
        <f ca="1">IF('Balances anuales'!J15=0,"N/D",'PyG 2'!$N$5/'Balances anuales'!J15)</f>
        <v>N/D</v>
      </c>
      <c r="F16" s="1302" t="str">
        <f ca="1">IF('Balances anuales'!L15=0,"N/D",'PyG 3'!$N$5/'Balances anuales'!L15)</f>
        <v>N/D</v>
      </c>
      <c r="G16" s="1303" t="str">
        <f ca="1">IF('Balances anuales'!N15=0,"N/D",'PyG 4'!$N$5/'Balances anuales'!N15)</f>
        <v>N/D</v>
      </c>
    </row>
    <row r="17" spans="1:7" ht="15.75" thickBot="1">
      <c r="A17" s="1428" t="s">
        <v>55</v>
      </c>
      <c r="B17" s="1429" t="s">
        <v>44</v>
      </c>
      <c r="C17" s="1429" t="str">
        <f t="array" ref="C17:G17">C$3:G$3</f>
        <v>Año 0</v>
      </c>
      <c r="D17" s="2690">
        <v>2</v>
      </c>
      <c r="E17" s="2691">
        <v>3</v>
      </c>
      <c r="F17" s="2690">
        <v>4</v>
      </c>
      <c r="G17" s="2692">
        <v>5</v>
      </c>
    </row>
    <row r="18" spans="1:7" s="48" customFormat="1" ht="24.75" customHeight="1">
      <c r="A18" s="1270" t="s">
        <v>56</v>
      </c>
      <c r="B18" s="1257" t="s">
        <v>589</v>
      </c>
      <c r="C18" s="1277">
        <f ca="1">IF('Balances anuales'!F37&lt;&gt;0,('Balances anuales'!F13-'Balances anuales'!F21)/'Balances anuales'!F37,"N/D")</f>
        <v>1.7747778308801969</v>
      </c>
      <c r="D18" s="1278">
        <f ca="1">IF('Balances anuales'!H37&lt;&gt;0,('Balances anuales'!H13-'Balances anuales'!H21)/'Balances anuales'!H37,"N/D")</f>
        <v>2.9681152998129501</v>
      </c>
      <c r="E18" s="1279">
        <f ca="1">IF('Balances anuales'!J37&lt;&gt;0,('Balances anuales'!J13-'Balances anuales'!J21)/'Balances anuales'!J37,"N/D")</f>
        <v>3.446178095776137</v>
      </c>
      <c r="F18" s="1278">
        <f ca="1">IF('Balances anuales'!L37&lt;&gt;0,('Balances anuales'!L13-'Balances anuales'!L21)/'Balances anuales'!L37,"N/D")</f>
        <v>3.8848631531917865</v>
      </c>
      <c r="G18" s="1280">
        <f ca="1">IF('Balances anuales'!N37&lt;&gt;0,('Balances anuales'!N13-'Balances anuales'!N21)/'Balances anuales'!N37,"N/D")</f>
        <v>4.333926019597917</v>
      </c>
    </row>
    <row r="19" spans="1:7" s="48" customFormat="1" ht="24.75" customHeight="1">
      <c r="A19" s="1271" t="s">
        <v>57</v>
      </c>
      <c r="B19" s="1258" t="s">
        <v>590</v>
      </c>
      <c r="C19" s="1281">
        <f ca="1">IF('Balances anuales'!F37&lt;&gt;0,('Balances anuales'!F13)/'Balances anuales'!F37,"N/D")</f>
        <v>1.7747778308801969</v>
      </c>
      <c r="D19" s="1282">
        <f ca="1">IF('Balances anuales'!H37&lt;&gt;0,('Balances anuales'!H13)/'Balances anuales'!H37,"N/D")</f>
        <v>2.9681152998129501</v>
      </c>
      <c r="E19" s="1283">
        <f ca="1">IF('Balances anuales'!J37&lt;&gt;0,('Balances anuales'!J13-'Balances anuales'!J23)/'Balances anuales'!J37,"N/D")</f>
        <v>3.446178095776137</v>
      </c>
      <c r="F19" s="1282">
        <f ca="1">IF('Balances anuales'!L37&lt;&gt;0,('Balances anuales'!L13-'Balances anuales'!L23)/'Balances anuales'!L37,"N/D")</f>
        <v>3.8848631531917865</v>
      </c>
      <c r="G19" s="1284">
        <f ca="1">IF('Balances anuales'!N37&lt;&gt;0,('Balances anuales'!N13-'Balances anuales'!N23)/'Balances anuales'!N37,"N/D")</f>
        <v>4.333926019597917</v>
      </c>
    </row>
    <row r="20" spans="1:7" s="48" customFormat="1" ht="24.75" customHeight="1">
      <c r="A20" s="1271" t="s">
        <v>58</v>
      </c>
      <c r="B20" s="1258" t="s">
        <v>597</v>
      </c>
      <c r="C20" s="1281">
        <f ca="1">'Balances anuales'!F45/'Balances anuales'!F26</f>
        <v>1.2906925832711758</v>
      </c>
      <c r="D20" s="1282">
        <f ca="1">'Balances anuales'!H45/'Balances anuales'!H26</f>
        <v>0.50810031307364978</v>
      </c>
      <c r="E20" s="1283">
        <f ca="1">'Balances anuales'!J45/'Balances anuales'!J26</f>
        <v>0.40880097885216099</v>
      </c>
      <c r="F20" s="1282">
        <f ca="1">'Balances anuales'!L45/'Balances anuales'!L26</f>
        <v>0.34663689294710864</v>
      </c>
      <c r="G20" s="1284">
        <f ca="1">'Balances anuales'!N45/'Balances anuales'!N26</f>
        <v>0.29994666771898065</v>
      </c>
    </row>
    <row r="21" spans="1:7" s="48" customFormat="1" ht="24.75" customHeight="1">
      <c r="A21" s="1269" t="s">
        <v>278</v>
      </c>
      <c r="B21" s="1258" t="s">
        <v>608</v>
      </c>
      <c r="C21" s="1281">
        <f ca="1">'PPyGG anuales'!B29/'PPyGG anuales'!B23*'Balances anuales'!F24/'Balances anuales'!F26</f>
        <v>1.4430560935518877</v>
      </c>
      <c r="D21" s="1282">
        <f ca="1">'PPyGG anuales'!D29/'PPyGG anuales'!D23*'Balances anuales'!H24/'Balances anuales'!H26</f>
        <v>1.2446491677775675</v>
      </c>
      <c r="E21" s="1283">
        <f ca="1">'PPyGG anuales'!G29/'PPyGG anuales'!G23*'Balances anuales'!J24/'Balances anuales'!J26</f>
        <v>1.0172189279820469</v>
      </c>
      <c r="F21" s="1282">
        <f ca="1">'PPyGG anuales'!J29/'PPyGG anuales'!J23*'Balances anuales'!L24/'Balances anuales'!L26</f>
        <v>1.0053554429648541</v>
      </c>
      <c r="G21" s="1284">
        <f ca="1">'PPyGG anuales'!M29/'PPyGG anuales'!M23*'Balances anuales'!N24/'Balances anuales'!N26</f>
        <v>0.98275617848473118</v>
      </c>
    </row>
    <row r="22" spans="1:7" s="48" customFormat="1" ht="24.75" customHeight="1">
      <c r="A22" s="1271" t="s">
        <v>279</v>
      </c>
      <c r="B22" s="1259" t="s">
        <v>598</v>
      </c>
      <c r="C22" s="1285" t="str">
        <f ca="1">IFERROR('Balances anuales'!F44/'Balances anuales'!F5,"N/D")</f>
        <v>N/D</v>
      </c>
      <c r="D22" s="1286" t="str">
        <f ca="1">IFERROR('Balances anuales'!H44/'Balances anuales'!H5,"N/D")</f>
        <v>N/D</v>
      </c>
      <c r="E22" s="1287" t="str">
        <f ca="1">IFERROR('Balances anuales'!J44/'Balances anuales'!J5,"N/D")</f>
        <v>N/D</v>
      </c>
      <c r="F22" s="1286" t="str">
        <f ca="1">IFERROR('Balances anuales'!L44/'Balances anuales'!L5,"N/D")</f>
        <v>N/D</v>
      </c>
      <c r="G22" s="1288" t="str">
        <f ca="1">IFERROR('Balances anuales'!N44/'Balances anuales'!N5,"N/D")</f>
        <v>N/D</v>
      </c>
    </row>
    <row r="23" spans="1:7" s="48" customFormat="1" ht="24.75" customHeight="1">
      <c r="A23" s="1270" t="s">
        <v>280</v>
      </c>
      <c r="B23" s="1257" t="s">
        <v>59</v>
      </c>
      <c r="C23" s="1281">
        <f ca="1">IFERROR(('Balances anuales'!D16+'Balances anuales'!F16)/2/('PPyGG anuales'!B5+'IVA 0'!O19)*365,"N/D")</f>
        <v>0</v>
      </c>
      <c r="D23" s="1282">
        <f ca="1">IFERROR(('Balances anuales'!F16+'Balances anuales'!H16)/2/('PPyGG anuales'!D5+'IVA 1'!O19)*365,"N/D")</f>
        <v>0</v>
      </c>
      <c r="E23" s="1283">
        <f ca="1">IFERROR(('Balances anuales'!H16+'Balances anuales'!J16)/2/('PPyGG anuales'!G5+'IVA 2'!O19)*365,"N/D")</f>
        <v>0</v>
      </c>
      <c r="F23" s="1282">
        <f ca="1">IFERROR(('Balances anuales'!J16+'Balances anuales'!L16)/2/('PPyGG anuales'!J5+'IVA 3'!O19)*365,"N/D")</f>
        <v>0</v>
      </c>
      <c r="G23" s="1284">
        <f ca="1">IFERROR(('Balances anuales'!L16+'Balances anuales'!N16)/2/('PPyGG anuales'!M5+'IVA 4'!O19)*365,"N/D")</f>
        <v>0</v>
      </c>
    </row>
    <row r="24" spans="1:7" s="48" customFormat="1" ht="24.75" customHeight="1">
      <c r="A24" s="1269" t="s">
        <v>281</v>
      </c>
      <c r="B24" s="1258" t="s">
        <v>60</v>
      </c>
      <c r="C24" s="1281">
        <f ca="1">IF('PPyGG anuales'!B9=0,"N/D",('Balances anuales'!D40+'Balances anuales'!F40)/2/('PPyGG anuales'!B9+'IVA 0'!O5)*365)</f>
        <v>0</v>
      </c>
      <c r="D24" s="1282">
        <f ca="1">IF('PPyGG anuales'!D9=0,"N/D",('Balances anuales'!F40+'Balances anuales'!H40)/2/('PPyGG anuales'!D9+'IVA 1'!O5)*365)</f>
        <v>0</v>
      </c>
      <c r="E24" s="1283">
        <f ca="1">IF('PPyGG anuales'!G9=0,"N/D",('Balances anuales'!H40+'Balances anuales'!J40)/2/('PPyGG anuales'!G9+'IVA 2'!O5)*365)</f>
        <v>0</v>
      </c>
      <c r="F24" s="1282">
        <f ca="1">IF('PPyGG anuales'!J9=0,"N/D",('Balances anuales'!J40+'Balances anuales'!L40)/2/('PPyGG anuales'!J9+'IVA 3'!O5)*365)</f>
        <v>0</v>
      </c>
      <c r="G24" s="1284">
        <f ca="1">IF('PPyGG anuales'!M9=0,"N/D",('Balances anuales'!L40+'Balances anuales'!N40)/2/('PPyGG anuales'!M9+'IVA 4'!O5)*365)</f>
        <v>0</v>
      </c>
    </row>
    <row r="25" spans="1:7" ht="35.25" customHeight="1">
      <c r="A25" s="2557" t="s">
        <v>282</v>
      </c>
      <c r="B25" s="2558" t="s">
        <v>1093</v>
      </c>
      <c r="C25" s="2559">
        <f ca="1">IFERROR((C8*'PPyGG anuales'!B5/'Balances anuales'!F24)*(1+'Balances anuales'!F45/'Balances anuales'!F26)*Parametros!C42,"N/D")</f>
        <v>1.1458023149841703</v>
      </c>
      <c r="D25" s="2560">
        <f ca="1">IFERROR((D8*'PPyGG anuales'!D5/'Balances anuales'!H24)*(1+'Balances anuales'!H45/'Balances anuales'!H26)*Parametros!D42,"N/D")</f>
        <v>1.4775507769661913</v>
      </c>
      <c r="E25" s="2561">
        <f ca="1">IFERROR((E8*'PPyGG anuales'!G5/'Balances anuales'!J24)*(1+'Balances anuales'!J45/'Balances anuales'!J26)*Parametros!E42,"N/D")</f>
        <v>0.70246549204548858</v>
      </c>
      <c r="F25" s="2560">
        <f ca="1">IFERROR((F8*'PPyGG anuales'!J5/'Balances anuales'!L24)*(1+'Balances anuales'!L45/'Balances anuales'!L26)*Parametros!F42,"N/D")</f>
        <v>0.65458844385798054</v>
      </c>
      <c r="G25" s="2562">
        <f ca="1">IFERROR((G8*'PPyGG anuales'!M5/'Balances anuales'!N24)*(1+'Balances anuales'!N45/'Balances anuales'!N26)*Parametros!G42,"N/D")</f>
        <v>0.61111600217354478</v>
      </c>
    </row>
    <row r="26" spans="1:7" ht="35.25" customHeight="1">
      <c r="A26" s="1271" t="s">
        <v>1055</v>
      </c>
      <c r="B26" s="2900" t="s">
        <v>1056</v>
      </c>
      <c r="C26" s="2901">
        <f ca="1">IF(OR('Balances anuales'!F33+'Balances anuales'!F38=0,('PPyGG anuales'!B33+'PPyGG anuales'!B22)&lt;=0),0,
('PPyGG anuales'!B33+'PPyGG anuales'!B22)/('Balances anuales'!F33+'Balances anuales'!F38))</f>
        <v>0</v>
      </c>
      <c r="D26" s="2902">
        <f ca="1">IF(OR('Balances anuales'!H33+'Balances anuales'!H38=0,('PPyGG anuales'!D33+'PPyGG anuales'!D22)&lt;=0),0,
('PPyGG anuales'!D33+'PPyGG anuales'!D22)/('Balances anuales'!H33+'Balances anuales'!H38))</f>
        <v>0</v>
      </c>
      <c r="E26" s="2903">
        <f ca="1">IF(OR('Balances anuales'!J33+'Balances anuales'!J38=0,('PPyGG anuales'!G33+'PPyGG anuales'!G22)&lt;=0),0,
('PPyGG anuales'!G33+'PPyGG anuales'!G22)/('Balances anuales'!J33+'Balances anuales'!J38))</f>
        <v>0</v>
      </c>
      <c r="F26" s="2904">
        <f ca="1">IF(OR('Balances anuales'!L33+'Balances anuales'!L38=0,('PPyGG anuales'!J33+'PPyGG anuales'!J22)&lt;=0),0,
('PPyGG anuales'!J33+'PPyGG anuales'!J22)/('Balances anuales'!L33+'Balances anuales'!L38))</f>
        <v>0</v>
      </c>
      <c r="G26" s="2905">
        <f ca="1">IF(OR('Balances anuales'!N33+'Balances anuales'!N38=0,('PPyGG anuales'!M33+'PPyGG anuales'!M22)&lt;=0),0,
('PPyGG anuales'!M33+'PPyGG anuales'!M22)/('Balances anuales'!N33+'Balances anuales'!N38))</f>
        <v>0</v>
      </c>
    </row>
    <row r="27" spans="1:7" ht="35.25" customHeight="1" thickBot="1">
      <c r="A27" s="1272" t="s">
        <v>1121</v>
      </c>
      <c r="B27" s="2563" t="s">
        <v>1122</v>
      </c>
      <c r="C27" s="2906">
        <f ca="1">IFERROR(SUM('Gastos Financieros'!$O19-'Gastos Financieros'!$O15-'Gastos Financieros'!O$18)
/('Gastos Financieros'!$O7+'Gastos Financieros'!$O9+('Balances anuales'!F33+'Balances anuales'!D33+'Balances anuales'!B33+'Balances anuales'!B38+'Balances anuales'!D38+'Balances anuales'!F38)/2),0)</f>
        <v>0</v>
      </c>
      <c r="D27" s="2907">
        <f ca="1">IFERROR(  SUM('Gastos Financieros'!$O34-'Gastos Financieros'!O30-'Gastos Financieros'!$O33)
/('Gastos Financieros'!$O22+'Gastos Financieros'!$O24+('Balances anuales'!H33+'Balances anuales'!F33+'Balances anuales'!H38+'Balances anuales'!F38)/2),0)</f>
        <v>0</v>
      </c>
      <c r="E27" s="2908">
        <f ca="1">IFERROR(    SUM('Gastos Financieros'!$O49-'Gastos Financieros'!$O45-'Gastos Financieros'!$O48)
/('Gastos Financieros'!$O37+'Gastos Financieros'!$O39+('Balances anuales'!H33+'Balances anuales'!J33+'Balances anuales'!H38+'Balances anuales'!J38)/2),0)</f>
        <v>0</v>
      </c>
      <c r="F27" s="2909">
        <f ca="1">IFERROR(     SUM('Gastos Financieros'!$O64-'Gastos Financieros'!O60-'Gastos Financieros'!$O63)
/('Gastos Financieros'!$O52+'Gastos Financieros'!$O54+('Balances anuales'!L33+'Balances anuales'!J33+'Balances anuales'!L38+'Balances anuales'!J38)/2),0)</f>
        <v>0</v>
      </c>
      <c r="G27" s="2910">
        <f ca="1">IFERROR(     SUM('Gastos Financieros'!$O79-'Gastos Financieros'!$O75-'Gastos Financieros'!$O78)
/('Gastos Financieros'!$O67+'Gastos Financieros'!$O69+('Balances anuales'!L33+'Balances anuales'!N33+'Balances anuales'!L38+'Balances anuales'!N38)/2),0)</f>
        <v>0</v>
      </c>
    </row>
    <row r="28" spans="1:7" ht="15.75" thickBot="1">
      <c r="A28" s="232"/>
      <c r="B28" s="60"/>
      <c r="C28" s="633"/>
      <c r="D28" s="633"/>
      <c r="E28" s="61"/>
      <c r="F28" s="61"/>
      <c r="G28" s="61"/>
    </row>
    <row r="29" spans="1:7" ht="15.75" thickBot="1">
      <c r="A29" s="1428" t="s">
        <v>222</v>
      </c>
      <c r="B29" s="1429" t="s">
        <v>44</v>
      </c>
      <c r="C29" s="1429" t="str">
        <f t="array" ref="C29:G29">C$3:G$3</f>
        <v>Año 0</v>
      </c>
      <c r="D29" s="2690">
        <v>2</v>
      </c>
      <c r="E29" s="2691">
        <v>3</v>
      </c>
      <c r="F29" s="2690">
        <v>4</v>
      </c>
      <c r="G29" s="2692">
        <v>5</v>
      </c>
    </row>
    <row r="30" spans="1:7">
      <c r="A30" s="1266" t="s">
        <v>246</v>
      </c>
      <c r="B30" s="1263" t="s">
        <v>591</v>
      </c>
      <c r="C30" s="1487"/>
      <c r="D30" s="1488"/>
      <c r="E30" s="1489"/>
      <c r="F30" s="1488"/>
      <c r="G30" s="1490"/>
    </row>
    <row r="31" spans="1:7">
      <c r="A31" s="1267"/>
      <c r="B31" s="1264" t="s">
        <v>599</v>
      </c>
      <c r="C31" s="1491">
        <f ca="1">'Balances anuales'!F13-'Balances anuales'!F37</f>
        <v>2470.4875386363633</v>
      </c>
      <c r="D31" s="1492">
        <f ca="1">'Balances anuales'!H13-'Balances anuales'!H37</f>
        <v>7481.5252250000012</v>
      </c>
      <c r="E31" s="1493">
        <f ca="1">'Balances anuales'!J13-'Balances anuales'!J37</f>
        <v>8912.2956093181856</v>
      </c>
      <c r="F31" s="1492">
        <f ca="1">'Balances anuales'!L13-'Balances anuales'!L37</f>
        <v>10845.798660384087</v>
      </c>
      <c r="G31" s="1494">
        <f ca="1">'Balances anuales'!N13-'Balances anuales'!N37</f>
        <v>12962.815545568887</v>
      </c>
    </row>
    <row r="32" spans="1:7" s="48" customFormat="1" ht="21.75" customHeight="1">
      <c r="A32" s="1268" t="s">
        <v>154</v>
      </c>
      <c r="B32" s="1258" t="s">
        <v>155</v>
      </c>
      <c r="C32" s="1481">
        <f>Plantilla!O17</f>
        <v>1</v>
      </c>
      <c r="D32" s="1282">
        <f>Plantilla!O36</f>
        <v>1</v>
      </c>
      <c r="E32" s="1482">
        <f>Plantilla!O55</f>
        <v>1</v>
      </c>
      <c r="F32" s="1282">
        <f>Plantilla!O74</f>
        <v>1</v>
      </c>
      <c r="G32" s="1284">
        <f>Plantilla!O93</f>
        <v>1</v>
      </c>
    </row>
    <row r="33" spans="1:47" s="48" customFormat="1" ht="21.75" customHeight="1">
      <c r="A33" s="1268" t="s">
        <v>247</v>
      </c>
      <c r="B33" s="1258" t="s">
        <v>62</v>
      </c>
      <c r="C33" s="2576">
        <f ca="1">IFERROR('PPyGG anuales'!B18/'PPyGG anuales'!C13,"N/D")</f>
        <v>22490.277777777777</v>
      </c>
      <c r="D33" s="2577">
        <f ca="1">IFERROR('PPyGG anuales'!D18/'PPyGG anuales'!E13,"N/D")</f>
        <v>23792.587878787879</v>
      </c>
      <c r="E33" s="2578">
        <f ca="1">IFERROR('PPyGG anuales'!G18/'PPyGG anuales'!H13,"N/D")</f>
        <v>30201.23583838384</v>
      </c>
      <c r="F33" s="2577">
        <f ca="1">IFERROR('PPyGG anuales'!J18/'PPyGG anuales'!K13,"N/D")</f>
        <v>30147.136271919189</v>
      </c>
      <c r="G33" s="2579">
        <f ca="1">IFERROR('PPyGG anuales'!M18/'PPyGG anuales'!N13,"N/D")</f>
        <v>30618.3415861293</v>
      </c>
    </row>
    <row r="34" spans="1:47" s="48" customFormat="1" ht="21.75" customHeight="1">
      <c r="A34" s="1268" t="s">
        <v>95</v>
      </c>
      <c r="B34" s="1258" t="s">
        <v>146</v>
      </c>
      <c r="C34" s="2601">
        <f ca="1">'P. Equilibrio'!D31</f>
        <v>1.2219926679878508</v>
      </c>
      <c r="D34" s="2602">
        <f ca="1">'P. Equilibrio'!E31</f>
        <v>1.6255062373639664</v>
      </c>
      <c r="E34" s="2603">
        <f ca="1">'P. Equilibrio'!F31</f>
        <v>1.3189940376337828</v>
      </c>
      <c r="F34" s="2602">
        <f ca="1">'P. Equilibrio'!G31</f>
        <v>1.3610018255106386</v>
      </c>
      <c r="G34" s="2604">
        <f ca="1">'P. Equilibrio'!H31</f>
        <v>1.3802581895599844</v>
      </c>
    </row>
    <row r="35" spans="1:47" s="48" customFormat="1" ht="21.75" customHeight="1">
      <c r="A35" s="1268" t="s">
        <v>248</v>
      </c>
      <c r="B35" s="1258" t="s">
        <v>448</v>
      </c>
      <c r="C35" s="1483">
        <f ca="1">'PPyGG anuales'!B5</f>
        <v>27482.95454545454</v>
      </c>
      <c r="D35" s="1484">
        <f ca="1">'PPyGG anuales'!D5</f>
        <v>38675</v>
      </c>
      <c r="E35" s="1485">
        <f ca="1">'PPyGG anuales'!G5</f>
        <v>39835.25</v>
      </c>
      <c r="F35" s="1484">
        <f ca="1">'PPyGG anuales'!J5</f>
        <v>41030.307500000003</v>
      </c>
      <c r="G35" s="1486">
        <f ca="1">'PPyGG anuales'!M5</f>
        <v>42261.216725000006</v>
      </c>
    </row>
    <row r="36" spans="1:47" s="48" customFormat="1" ht="21.75" customHeight="1">
      <c r="A36" s="1269" t="s">
        <v>561</v>
      </c>
      <c r="B36" s="1265" t="s">
        <v>896</v>
      </c>
      <c r="C36" s="1483">
        <f ca="1">IFERROR((C35-C33)*'PPyGG anuales'!C13+'PPyGG anuales'!B27,"N/D")</f>
        <v>2830.6903409090874</v>
      </c>
      <c r="D36" s="1484">
        <f ca="1">IFERROR((D35-D33)*'PPyGG anuales'!E13+'PPyGG anuales'!D27,"N/D")</f>
        <v>11054.33340909091</v>
      </c>
      <c r="E36" s="1485">
        <f ca="1">IFERROR((E35-E33)*'PPyGG anuales'!H13+'PPyGG anuales'!G27,"N/D")</f>
        <v>6260.5801204545442</v>
      </c>
      <c r="F36" s="1484">
        <f ca="1">IFERROR((F35-F33)*'PPyGG anuales'!K13+'PPyGG anuales'!J27,"N/D")</f>
        <v>7312.520501522733</v>
      </c>
      <c r="G36" s="1486">
        <f ca="1">IFERROR((G35-G33)*'PPyGG anuales'!N13+'PPyGG anuales'!M27,"N/D")</f>
        <v>7921.784013121136</v>
      </c>
    </row>
    <row r="37" spans="1:47" s="48" customFormat="1" ht="21.75" customHeight="1" thickBot="1">
      <c r="A37" s="1458" t="s">
        <v>270</v>
      </c>
      <c r="B37" s="1875" t="s">
        <v>271</v>
      </c>
      <c r="C37" s="1876">
        <f ca="1">'Tesorería 0'!$C$40</f>
        <v>1853.1922159090882</v>
      </c>
      <c r="D37" s="1877">
        <f ca="1">'Tesorería 1'!$C$40</f>
        <v>6429.6983181818214</v>
      </c>
      <c r="E37" s="1878">
        <f ca="1">'Tesorería 2'!$C$40</f>
        <v>956.69395618181989</v>
      </c>
      <c r="F37" s="1877">
        <f ca="1">'Tesorería 3'!$C$40</f>
        <v>2232.7710694290854</v>
      </c>
      <c r="G37" s="1879">
        <f ca="1">'Tesorería 4'!$C$40</f>
        <v>2378.613313016258</v>
      </c>
      <c r="AU37" s="634"/>
    </row>
    <row r="38" spans="1:47" ht="15.75" thickBot="1"/>
    <row r="39" spans="1:47" s="48" customFormat="1" ht="21.75" customHeight="1" thickBot="1">
      <c r="A39" s="2580" t="s">
        <v>316</v>
      </c>
      <c r="B39" s="2583" t="s">
        <v>317</v>
      </c>
      <c r="C39" s="1502" t="str">
        <f>Amortizaciones!D21</f>
        <v>N/D</v>
      </c>
      <c r="D39" s="1503" t="str">
        <f>Amortizaciones!E21</f>
        <v>N/D</v>
      </c>
      <c r="E39" s="1503" t="str">
        <f>Amortizaciones!F21</f>
        <v>N/D</v>
      </c>
      <c r="F39" s="1503" t="str">
        <f>Amortizaciones!G21</f>
        <v>N/D</v>
      </c>
      <c r="G39" s="1504" t="str">
        <f>Amortizaciones!H21</f>
        <v>N/D</v>
      </c>
    </row>
    <row r="40" spans="1:47" ht="15.75" thickBot="1"/>
    <row r="41" spans="1:47" ht="17.25" customHeight="1" thickBot="1">
      <c r="A41" s="2581" t="s">
        <v>765</v>
      </c>
      <c r="B41" s="2583" t="s">
        <v>764</v>
      </c>
      <c r="C41" s="2595">
        <f ca="1">+Imp.Sociedades!B32/SUM('Balances anuales'!F27:F34)</f>
        <v>0</v>
      </c>
      <c r="D41" s="2596">
        <f ca="1">+Imp.Sociedades!D32/SUM('Balances anuales'!H27:H34)</f>
        <v>0</v>
      </c>
      <c r="E41" s="2596">
        <f ca="1">+Imp.Sociedades!G32/SUM('Balances anuales'!J27:J34)</f>
        <v>0</v>
      </c>
      <c r="F41" s="2596">
        <f ca="1">+Imp.Sociedades!J32/SUM('Balances anuales'!L27:L34)</f>
        <v>0</v>
      </c>
      <c r="G41" s="2597">
        <f ca="1">+Imp.Sociedades!M32/SUM('Balances anuales'!N27:N34)</f>
        <v>0</v>
      </c>
    </row>
    <row r="42" spans="1:47" ht="17.25" customHeight="1" thickBot="1">
      <c r="A42" s="2582" t="s">
        <v>766</v>
      </c>
      <c r="B42" s="2583" t="s">
        <v>763</v>
      </c>
      <c r="C42" s="2598">
        <f ca="1">IF(('Balances anuales'!D45+'Balances anuales'!F45)&lt;&gt;0,'PPyGG anuales'!B26/(('Balances anuales'!D45+'Balances anuales'!F45)/2),"N/D")</f>
        <v>1.0429015377263566</v>
      </c>
      <c r="D42" s="2599">
        <f ca="1">IF(('Balances anuales'!F45+'Balances anuales'!H45)&lt;&gt;0,'PPyGG anuales'!D26/(('Balances anuales'!F45+'Balances anuales'!H45)/2),"N/D")</f>
        <v>0.66948089895618512</v>
      </c>
      <c r="E42" s="2599">
        <f ca="1">IF(('Balances anuales'!H45+'Balances anuales'!J45)&lt;&gt;0,'PPyGG anuales'!G26/(('Balances anuales'!H45+'Balances anuales'!J45)/2),"N/D")</f>
        <v>0.64744744470176463</v>
      </c>
      <c r="F42" s="2599">
        <f ca="1">IF(('Balances anuales'!J45+'Balances anuales'!L45)&lt;&gt;0,'PPyGG anuales'!J26/(('Balances anuales'!J45+'Balances anuales'!L45)/2),"N/D")</f>
        <v>0.6706373303136377</v>
      </c>
      <c r="G42" s="2600">
        <f ca="1">IF(('Balances anuales'!L45+'Balances anuales'!N45)&lt;&gt;0,'PPyGG anuales'!M26/(('Balances anuales'!L45+'Balances anuales'!N45)/2),"N/D")</f>
        <v>0.66864578349672388</v>
      </c>
    </row>
    <row r="43" spans="1:47" ht="17.25" customHeight="1" thickBot="1">
      <c r="A43" s="2582" t="s">
        <v>767</v>
      </c>
      <c r="B43" s="2583"/>
      <c r="C43" s="2598">
        <f ca="1">(+Imp.Sociedades!B32 +'PPyGG anuales'!B26 ) /
( SUM('Balances anuales'!F27:F34) + ('Balances anuales'!D45+'Balances anuales'!F45)/2 )</f>
        <v>0.40905227266396027</v>
      </c>
      <c r="D43" s="2599">
        <f ca="1">( +Imp.Sociedades!D32 +'PPyGG anuales'!D26 ) /
( SUM('Balances anuales'!H27:H34) +('Balances anuales'!F45+'Balances anuales'!H45)/2 )</f>
        <v>0.21316736328034408</v>
      </c>
      <c r="E43" s="2599">
        <f ca="1">( +Imp.Sociedades!G32 +'PPyGG anuales'!G26 ) /
( SUM('Balances anuales'!J27:J34) + ('Balances anuales'!H45+'Balances anuales'!J45)/2 )</f>
        <v>0.19074778560911909</v>
      </c>
      <c r="F43" s="2599">
        <f ca="1">( +Imp.Sociedades!J32 +'PPyGG anuales'!J26 ) /
( SUM('Balances anuales'!L27:L34) + ('Balances anuales'!J45+'Balances anuales'!L45)/2 )</f>
        <v>0.17063933419650323</v>
      </c>
      <c r="G43" s="2600">
        <f ca="1">( +Imp.Sociedades!M32 +'PPyGG anuales'!M26 ) /
(  SUM('Balances anuales'!N27:N34) + ('Balances anuales'!L45+'Balances anuales'!N45)/2 )</f>
        <v>0.15231155054519016</v>
      </c>
    </row>
    <row r="44" spans="1:47">
      <c r="J44" s="48"/>
      <c r="K44" s="48"/>
      <c r="L44" s="48"/>
      <c r="M44" s="48"/>
    </row>
    <row r="45" spans="1:47">
      <c r="A45" s="1276" t="str">
        <f>IF(mes0=1,"",CONCATENATE("(*) Sólo ",12-mes0+1," meses de actividad en el año ",Parametros!D65," ( de ",LEFT('Datos Básicos'!F21,LEN('Datos Básicos'!F21)-8)," a diciembre )"))</f>
        <v/>
      </c>
      <c r="B45" s="866"/>
      <c r="C45" s="636"/>
      <c r="L45" s="48"/>
      <c r="M45" s="48"/>
    </row>
    <row r="51" spans="1:46" s="48" customFormat="1" ht="21.75" customHeight="1"/>
    <row r="52" spans="1:46" ht="23.25" customHeight="1">
      <c r="J52" s="48"/>
      <c r="K52" s="48"/>
      <c r="L52" s="48"/>
      <c r="M52" s="48"/>
      <c r="N52" s="48"/>
    </row>
    <row r="53" spans="1:46" ht="23.25" customHeight="1">
      <c r="J53" s="48"/>
      <c r="K53" s="48"/>
      <c r="L53" s="48"/>
      <c r="M53" s="48"/>
      <c r="N53" s="48"/>
    </row>
    <row r="54" spans="1:46" ht="23.25" customHeight="1">
      <c r="J54" s="48"/>
      <c r="K54" s="48"/>
      <c r="L54" s="48"/>
      <c r="M54" s="48"/>
      <c r="N54" s="48"/>
      <c r="O54" s="48"/>
      <c r="P54" s="48"/>
    </row>
    <row r="59" spans="1:46" ht="15.75" thickBot="1">
      <c r="G59" s="2341"/>
      <c r="Q59" s="48"/>
      <c r="R59" s="48"/>
      <c r="S59" s="48"/>
      <c r="T59" s="48"/>
      <c r="U59" s="48"/>
      <c r="V59" s="48"/>
      <c r="W59" s="1479"/>
      <c r="X59" s="48"/>
      <c r="Y59" s="48"/>
      <c r="Z59" s="48"/>
      <c r="AA59" s="48"/>
      <c r="AB59" s="48"/>
      <c r="AC59" s="48"/>
      <c r="AD59" s="48"/>
      <c r="AE59" s="48"/>
      <c r="AF59" s="48"/>
      <c r="AG59" s="48"/>
      <c r="AH59" s="48"/>
      <c r="AI59" s="48"/>
      <c r="AJ59" s="48"/>
      <c r="AK59" s="48"/>
      <c r="AL59" s="48"/>
      <c r="AM59" s="48"/>
      <c r="AN59" s="48"/>
      <c r="AO59" s="48"/>
      <c r="AP59" s="48"/>
      <c r="AQ59" s="48"/>
      <c r="AR59" s="48"/>
      <c r="AS59" s="48"/>
      <c r="AT59" s="48"/>
    </row>
    <row r="60" spans="1:46" ht="15.75" thickBot="1">
      <c r="A60" s="2499" t="s">
        <v>61</v>
      </c>
      <c r="B60" s="2342" t="s">
        <v>468</v>
      </c>
      <c r="C60" s="2343">
        <f ca="1">IF(Imp.Sociedades!B24+Imp.Sociedades!D24+Imp.Sociedades!G24+Imp.Sociedades!J24+Imp.Sociedades!M24&lt;0,"N/D",
IF(SUM(inv_propia)&lt;Imp.Sociedades!B24,SUM(inv_propia)/Imp.Sociedades!B24,
IF(SUM(inv_propia)&lt;(Imp.Sociedades!B24+Imp.Sociedades!D24),1+(SUM(inv_propia)-Imp.Sociedades!B24)/Imp.Sociedades!D24,
IF(SUM(inv_propia)&lt;(Imp.Sociedades!B24+Imp.Sociedades!D24+Imp.Sociedades!G24),2+(SUM(inv_propia)-Imp.Sociedades!B24-Imp.Sociedades!D24)/Imp.Sociedades!G24,
IF(SUM(inv_propia)&lt;(Imp.Sociedades!B24+Imp.Sociedades!D24+Imp.Sociedades!G24+Imp.Sociedades!J24),3+(SUM(inv_propia)-Imp.Sociedades!B24-Imp.Sociedades!D24-Imp.Sociedades!G24)/Imp.Sociedades!J24,
4+(SUM(inv_propia)-Imp.Sociedades!B24-Imp.Sociedades!D24-Imp.Sociedades!G24-Imp.Sociedades!J24)/Imp.Sociedades!M24)))))</f>
        <v>1.015316134661876</v>
      </c>
      <c r="D60" s="2344">
        <f ca="1">IF(Imp.Sociedades!B24+Imp.Sociedades!D24+Imp.Sociedades!G24+Imp.Sociedades!J24+Imp.Sociedades!M24&lt;0,"N/D",
IF(SUM('Financiación Inicial'!H7:H13)&lt;Imp.Sociedades!B24,SUM('Financiación Inicial'!H7:H13)/Imp.Sociedades!B24,
IF(SUM('Financiación Inicial'!H7:H13)&lt;(Imp.Sociedades!B24+Imp.Sociedades!D24),1+(SUM('Financiación Inicial'!H7:H13)-Imp.Sociedades!B24)/Imp.Sociedades!D24,
IF(SUM('Financiación Inicial'!H7:H13)&lt;(Imp.Sociedades!B24+Imp.Sociedades!D24+Imp.Sociedades!G24),2+(SUM('Financiación Inicial'!H7:H13)-Imp.Sociedades!B24-Imp.Sociedades!D24)/Imp.Sociedades!G24,
IF(SUM('Financiación Inicial'!H7:H13)&lt;(Imp.Sociedades!B24+Imp.Sociedades!D24+Imp.Sociedades!G24+Imp.Sociedades!J24),3+(SUM('Financiación Inicial'!H7:H13)-Imp.Sociedades!B24-Imp.Sociedades!D24-Imp.Sociedades!G24)/Imp.Sociedades!J24,
4+(SUM('Financiación Inicial'!H7:H13)-Imp.Sociedades!B24-Imp.Sociedades!D24-Imp.Sociedades!G24-Imp.Sociedades!J24)/Imp.Sociedades!M24)))))</f>
        <v>0</v>
      </c>
      <c r="E60" s="2345" t="e">
        <f>ROUNDUP(C39,0)</f>
        <v>#VALUE!</v>
      </c>
      <c r="F60" s="2341"/>
      <c r="Q60" s="48"/>
      <c r="R60" s="48"/>
      <c r="S60" s="48"/>
      <c r="T60" s="48" t="s">
        <v>555</v>
      </c>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row>
    <row r="61" spans="1:46" ht="15.75" thickBot="1">
      <c r="A61" s="2499" t="s">
        <v>312</v>
      </c>
      <c r="B61" s="2346" t="s">
        <v>314</v>
      </c>
      <c r="C61" s="2347" t="str">
        <f ca="1">IF(ISERR(NPV(Parametros!$C$11,OFFSET(R62,0,0,1,E60+0))),"N/D",NPV(Parametros!$C$11,OFFSET(R62,0,0,1,E60+0))+Q62)</f>
        <v>N/D</v>
      </c>
      <c r="F61" s="2348"/>
      <c r="Q61" s="1546"/>
      <c r="R61" s="1546">
        <v>1</v>
      </c>
      <c r="S61" s="1546">
        <v>2</v>
      </c>
      <c r="T61" s="1546">
        <v>3</v>
      </c>
      <c r="U61" s="1546">
        <v>4</v>
      </c>
      <c r="V61" s="1546">
        <v>5</v>
      </c>
      <c r="W61" s="1546">
        <v>6</v>
      </c>
      <c r="X61" s="1546">
        <v>7</v>
      </c>
      <c r="Y61" s="1546">
        <v>8</v>
      </c>
      <c r="Z61" s="1546">
        <v>9</v>
      </c>
      <c r="AA61" s="1546">
        <v>10</v>
      </c>
      <c r="AB61" s="1546">
        <v>11</v>
      </c>
      <c r="AC61" s="1546">
        <v>12</v>
      </c>
      <c r="AD61" s="1546">
        <v>13</v>
      </c>
      <c r="AE61" s="1546">
        <v>14</v>
      </c>
      <c r="AF61" s="1546">
        <v>15</v>
      </c>
      <c r="AG61" s="1546">
        <v>16</v>
      </c>
      <c r="AH61" s="1546">
        <v>17</v>
      </c>
      <c r="AI61" s="1546">
        <v>18</v>
      </c>
      <c r="AJ61" s="1546">
        <v>19</v>
      </c>
      <c r="AK61" s="1546">
        <v>20</v>
      </c>
      <c r="AL61" s="1546">
        <v>21</v>
      </c>
      <c r="AM61" s="1546">
        <v>22</v>
      </c>
      <c r="AN61" s="1546">
        <v>23</v>
      </c>
      <c r="AO61" s="1546">
        <v>24</v>
      </c>
      <c r="AP61" s="1546">
        <v>25</v>
      </c>
      <c r="AQ61" s="1546">
        <v>26</v>
      </c>
      <c r="AR61" s="1546">
        <v>27</v>
      </c>
      <c r="AS61" s="1546">
        <v>28</v>
      </c>
      <c r="AT61" s="1546">
        <v>29</v>
      </c>
    </row>
    <row r="62" spans="1:46" ht="15.75" thickBot="1">
      <c r="A62" s="2499" t="s">
        <v>313</v>
      </c>
      <c r="B62" s="2346" t="s">
        <v>315</v>
      </c>
      <c r="C62" s="2349" t="str">
        <f ca="1">IF(ISERR(IRR(OFFSET(Q62,0,0,1,E60+1))),"N/D",IRR(OFFSET(Q62,0,0,1,E60+1)))</f>
        <v>N/D</v>
      </c>
      <c r="Q62" s="1699">
        <f>-SUM('Financiación Inicial'!$H$7:$H$13)*0
-SUM(Financiación!C14:D17)
-SUM(Financiación!E14:E17)/(1+inflacion)
-SUM(Financiación!F14:F17)/POWER(1+inflacion,2)
-SUM(Financiación!G14:G17)/POWER(1+inflacion,3)
-SUM(Financiación!H14:H17)/POWER(1+inflacion,4)</f>
        <v>-3000</v>
      </c>
      <c r="R62" s="1699">
        <f ca="1">C37-Financiación!E14-Financiación!E17</f>
        <v>1853.1922159090882</v>
      </c>
      <c r="S62" s="1699">
        <f ca="1">D37-Financiación!F14-Financiación!F17</f>
        <v>6429.6983181818214</v>
      </c>
      <c r="T62" s="1699">
        <f ca="1">E37-Financiación!G14-Financiación!G17</f>
        <v>956.69395618181989</v>
      </c>
      <c r="U62" s="1699">
        <f ca="1">F37-Financiación!H14-Financiación!H17</f>
        <v>2232.7710694290854</v>
      </c>
      <c r="V62" s="1699">
        <f ca="1">G37</f>
        <v>2378.613313016258</v>
      </c>
      <c r="W62" s="1699">
        <f t="shared" ref="W62:AT62" ca="1" si="0">V62*(1+($R$66+($R$67-$R$66)*RAND()))</f>
        <v>2081.7041475413939</v>
      </c>
      <c r="X62" s="1699">
        <f t="shared" ca="1" si="0"/>
        <v>1868.9431809050234</v>
      </c>
      <c r="Y62" s="1699">
        <f t="shared" ca="1" si="0"/>
        <v>1734.1138732901813</v>
      </c>
      <c r="Z62" s="1699">
        <f t="shared" ca="1" si="0"/>
        <v>1499.343177934624</v>
      </c>
      <c r="AA62" s="1699">
        <f t="shared" ca="1" si="0"/>
        <v>1559.465704331601</v>
      </c>
      <c r="AB62" s="1699">
        <f t="shared" ca="1" si="0"/>
        <v>1364.5695079291106</v>
      </c>
      <c r="AC62" s="1699">
        <f t="shared" ca="1" si="0"/>
        <v>1393.3673527057808</v>
      </c>
      <c r="AD62" s="1699">
        <f t="shared" ca="1" si="0"/>
        <v>1220.7598643866336</v>
      </c>
      <c r="AE62" s="1699">
        <f t="shared" ca="1" si="0"/>
        <v>1171.5556493727311</v>
      </c>
      <c r="AF62" s="1699">
        <f t="shared" ca="1" si="0"/>
        <v>1077.5859666836216</v>
      </c>
      <c r="AG62" s="1699">
        <f t="shared" ca="1" si="0"/>
        <v>1275.8935019153867</v>
      </c>
      <c r="AH62" s="1699">
        <f t="shared" ca="1" si="0"/>
        <v>1345.8618863395111</v>
      </c>
      <c r="AI62" s="1699">
        <f t="shared" ca="1" si="0"/>
        <v>1579.0652412352479</v>
      </c>
      <c r="AJ62" s="1699">
        <f t="shared" ca="1" si="0"/>
        <v>1877.5690071570668</v>
      </c>
      <c r="AK62" s="1699">
        <f t="shared" ca="1" si="0"/>
        <v>2106.9992078099617</v>
      </c>
      <c r="AL62" s="1699">
        <f t="shared" ca="1" si="0"/>
        <v>2394.8346386860344</v>
      </c>
      <c r="AM62" s="1699">
        <f t="shared" ca="1" si="0"/>
        <v>2079.4957501061735</v>
      </c>
      <c r="AN62" s="1699">
        <f t="shared" ca="1" si="0"/>
        <v>2386.9171962642445</v>
      </c>
      <c r="AO62" s="1699">
        <f t="shared" ca="1" si="0"/>
        <v>2376.5221109547151</v>
      </c>
      <c r="AP62" s="1699">
        <f t="shared" ca="1" si="0"/>
        <v>2160.0580531955557</v>
      </c>
      <c r="AQ62" s="1699">
        <f t="shared" ca="1" si="0"/>
        <v>1958.3997914088006</v>
      </c>
      <c r="AR62" s="1699">
        <f t="shared" ca="1" si="0"/>
        <v>1682.6252271787312</v>
      </c>
      <c r="AS62" s="1699">
        <f t="shared" ca="1" si="0"/>
        <v>1711.5024324431977</v>
      </c>
      <c r="AT62" s="1699">
        <f t="shared" ca="1" si="0"/>
        <v>1827.1490267719739</v>
      </c>
    </row>
    <row r="63" spans="1:46" ht="15.75" thickBot="1">
      <c r="A63" s="2499" t="s">
        <v>562</v>
      </c>
      <c r="B63" s="2346" t="s">
        <v>318</v>
      </c>
      <c r="C63" s="2350" t="str">
        <f ca="1">IF(ISERR(MIRR(OFFSET(Q62,0,0,1,E60+1),Parametros!$C$6,Parametros!$C$7)),"N/D",MIRR(OFFSET(Q62,0,0,1,E60+1),Parametros!$C$6,Parametros!$C$7))</f>
        <v>N/D</v>
      </c>
      <c r="S63" s="1698">
        <f ca="1">(S62-R62)/R62</f>
        <v>2.4695258608280501</v>
      </c>
      <c r="T63" s="1698">
        <f t="shared" ref="T63:AS63" ca="1" si="1">(T62-S62)/S62</f>
        <v>-0.85120702265664738</v>
      </c>
      <c r="U63" s="1698">
        <f t="shared" ca="1" si="1"/>
        <v>1.3338404669557113</v>
      </c>
      <c r="V63" s="1698">
        <f t="shared" ca="1" si="1"/>
        <v>6.5318941822577498E-2</v>
      </c>
      <c r="W63" s="1698">
        <f t="shared" ca="1" si="1"/>
        <v>-0.12482447813190838</v>
      </c>
      <c r="X63" s="1698">
        <f t="shared" ca="1" si="1"/>
        <v>-0.10220518938181146</v>
      </c>
      <c r="Y63" s="1698">
        <f t="shared" ca="1" si="1"/>
        <v>-7.2142004632560222E-2</v>
      </c>
      <c r="Z63" s="1698">
        <f t="shared" ca="1" si="1"/>
        <v>-0.13538366711184918</v>
      </c>
      <c r="AA63" s="1698">
        <f t="shared" ca="1" si="1"/>
        <v>4.00992429763792E-2</v>
      </c>
      <c r="AB63" s="1698">
        <f t="shared" ca="1" si="1"/>
        <v>-0.12497626325551317</v>
      </c>
      <c r="AC63" s="1698">
        <f t="shared" ca="1" si="1"/>
        <v>2.1103977928082406E-2</v>
      </c>
      <c r="AD63" s="1698">
        <f t="shared" ca="1" si="1"/>
        <v>-0.12387794789648306</v>
      </c>
      <c r="AE63" s="1698">
        <f t="shared" ca="1" si="1"/>
        <v>-4.030621946980948E-2</v>
      </c>
      <c r="AF63" s="1698">
        <f t="shared" ca="1" si="1"/>
        <v>-8.0209320606684217E-2</v>
      </c>
      <c r="AG63" s="1698">
        <f t="shared" ca="1" si="1"/>
        <v>0.18402943371847755</v>
      </c>
      <c r="AH63" s="1698">
        <f t="shared" ca="1" si="1"/>
        <v>5.4838734047228138E-2</v>
      </c>
      <c r="AI63" s="1698">
        <f t="shared" ca="1" si="1"/>
        <v>0.1732743584336173</v>
      </c>
      <c r="AJ63" s="1698">
        <f t="shared" ca="1" si="1"/>
        <v>0.1890382728507847</v>
      </c>
      <c r="AK63" s="1698">
        <f t="shared" ca="1" si="1"/>
        <v>0.12219534929386595</v>
      </c>
      <c r="AL63" s="1698">
        <f t="shared" ca="1" si="1"/>
        <v>0.13660917849857762</v>
      </c>
      <c r="AM63" s="1698">
        <f t="shared" ca="1" si="1"/>
        <v>-0.13167459810622947</v>
      </c>
      <c r="AN63" s="1698">
        <f t="shared" ca="1" si="1"/>
        <v>0.14783461141595255</v>
      </c>
      <c r="AO63" s="1698">
        <f t="shared" ca="1" si="1"/>
        <v>-4.3550255223761677E-3</v>
      </c>
      <c r="AP63" s="1698">
        <f t="shared" ca="1" si="1"/>
        <v>-9.108438619668463E-2</v>
      </c>
      <c r="AQ63" s="1698">
        <f t="shared" ca="1" si="1"/>
        <v>-9.3357797253839997E-2</v>
      </c>
      <c r="AR63" s="1698">
        <f t="shared" ca="1" si="1"/>
        <v>-0.14081627532838298</v>
      </c>
      <c r="AS63" s="1698">
        <f t="shared" ca="1" si="1"/>
        <v>1.7161994719932443E-2</v>
      </c>
      <c r="AT63" s="1698">
        <f ca="1">(AT62-AS62)/AS62</f>
        <v>6.7570219087383268E-2</v>
      </c>
    </row>
    <row r="64" spans="1:46">
      <c r="Q64" s="48"/>
      <c r="R64" s="48"/>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c r="AR64" s="48"/>
      <c r="AS64" s="48"/>
      <c r="AT64" s="48"/>
    </row>
    <row r="65" spans="17:46">
      <c r="Q65" s="48" t="s">
        <v>554</v>
      </c>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row>
    <row r="66" spans="17:46">
      <c r="Q66" s="1501" t="s">
        <v>552</v>
      </c>
      <c r="R66" s="1700">
        <v>-0.15</v>
      </c>
      <c r="S66" s="48"/>
      <c r="T66" s="48"/>
      <c r="U66" s="48"/>
      <c r="V66" s="48"/>
      <c r="W66" s="48"/>
      <c r="X66" s="48"/>
      <c r="Y66" s="48"/>
      <c r="Z66" s="48"/>
      <c r="AA66" s="48"/>
      <c r="AB66" s="48"/>
      <c r="AC66" s="48"/>
      <c r="AD66" s="48"/>
      <c r="AE66" s="48"/>
      <c r="AF66" s="48"/>
      <c r="AG66" s="48"/>
      <c r="AH66" s="48"/>
      <c r="AI66" s="48"/>
      <c r="AJ66" s="48"/>
      <c r="AK66" s="48"/>
      <c r="AL66" s="48"/>
      <c r="AM66" s="48"/>
    </row>
    <row r="67" spans="17:46">
      <c r="Q67" s="1501" t="s">
        <v>553</v>
      </c>
      <c r="R67" s="1700">
        <v>0.2</v>
      </c>
      <c r="S67" s="48"/>
      <c r="T67" s="48"/>
      <c r="U67" s="48"/>
      <c r="V67" s="48"/>
      <c r="W67" s="48"/>
      <c r="X67" s="48"/>
      <c r="Y67" s="48"/>
      <c r="Z67" s="48"/>
      <c r="AA67" s="48"/>
      <c r="AB67" s="48"/>
      <c r="AC67" s="48"/>
      <c r="AD67" s="48"/>
      <c r="AE67" s="48"/>
      <c r="AF67" s="48"/>
      <c r="AG67" s="48"/>
      <c r="AH67" s="48"/>
      <c r="AI67" s="48"/>
      <c r="AJ67" s="48"/>
      <c r="AK67" s="48"/>
      <c r="AL67" s="48"/>
      <c r="AM67" s="48"/>
    </row>
    <row r="68" spans="17:46">
      <c r="Q68" s="1501" t="s">
        <v>557</v>
      </c>
      <c r="R68" s="1700">
        <f ca="1">AVERAGE(S63:AT63)</f>
        <v>0.10378644453663714</v>
      </c>
      <c r="S68" s="48"/>
      <c r="T68" s="48"/>
      <c r="U68" s="48"/>
      <c r="V68" s="48"/>
      <c r="W68" s="48"/>
      <c r="X68" s="48"/>
      <c r="Y68" s="48"/>
      <c r="Z68" s="48"/>
      <c r="AA68" s="48"/>
      <c r="AB68" s="48"/>
      <c r="AC68" s="48"/>
      <c r="AD68" s="48"/>
      <c r="AE68" s="48"/>
      <c r="AF68" s="48"/>
      <c r="AG68" s="48"/>
      <c r="AH68" s="48"/>
      <c r="AI68" s="48"/>
      <c r="AJ68" s="48"/>
      <c r="AK68" s="48"/>
      <c r="AL68" s="48"/>
      <c r="AM68" s="48"/>
    </row>
    <row r="69" spans="17:46">
      <c r="R69" s="1480"/>
      <c r="S69" s="48"/>
      <c r="T69" s="48"/>
      <c r="U69" s="48"/>
      <c r="V69" s="48"/>
      <c r="W69" s="48"/>
      <c r="X69" s="48"/>
      <c r="Y69" s="48"/>
      <c r="Z69" s="48"/>
      <c r="AA69" s="48"/>
      <c r="AB69" s="48"/>
      <c r="AC69" s="48"/>
      <c r="AD69" s="48"/>
      <c r="AE69" s="48"/>
      <c r="AF69" s="48"/>
      <c r="AG69" s="48"/>
      <c r="AH69" s="48"/>
      <c r="AI69" s="48"/>
      <c r="AJ69" s="48"/>
      <c r="AK69" s="48"/>
      <c r="AL69" s="48"/>
      <c r="AM69" s="48"/>
    </row>
    <row r="70" spans="17:46">
      <c r="R70" s="48"/>
      <c r="S70" s="48"/>
      <c r="T70" s="48"/>
      <c r="U70" s="48"/>
      <c r="V70" s="48"/>
      <c r="W70" s="48"/>
      <c r="X70" s="48"/>
      <c r="Y70" s="48"/>
      <c r="Z70" s="48"/>
      <c r="AA70" s="48"/>
      <c r="AB70" s="48"/>
      <c r="AC70" s="48"/>
      <c r="AD70" s="48"/>
      <c r="AE70" s="48"/>
      <c r="AF70" s="48"/>
      <c r="AG70" s="48"/>
      <c r="AH70" s="48"/>
      <c r="AI70" s="48"/>
      <c r="AJ70" s="48"/>
      <c r="AK70" s="48"/>
      <c r="AL70" s="48"/>
    </row>
  </sheetData>
  <sheetProtection sheet="1" objects="1" scenarios="1"/>
  <phoneticPr fontId="6" type="noConversion"/>
  <printOptions horizontalCentered="1"/>
  <pageMargins left="0.75" right="0.75" top="0.43" bottom="0.53" header="0.44" footer="0.31496062992125984"/>
  <pageSetup paperSize="9" scale="57" orientation="landscape" horizontalDpi="360" verticalDpi="300" r:id="rId1"/>
  <headerFooter alignWithMargins="0">
    <oddFooter>&amp;C&amp;"Tahoma,Normal"&amp;10&amp;A</oddFooter>
  </headerFooter>
  <legacy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DC68C-83BC-4F16-A27E-59E8D518575F}">
  <sheetPr>
    <tabColor rgb="FF00B050"/>
  </sheetPr>
  <dimension ref="A1:J72"/>
  <sheetViews>
    <sheetView workbookViewId="0"/>
  </sheetViews>
  <sheetFormatPr baseColWidth="10" defaultRowHeight="15"/>
  <cols>
    <col min="1" max="1" width="11" style="35"/>
    <col min="2" max="2" width="46.375" style="35" customWidth="1"/>
    <col min="3" max="3" width="15.375" style="35" customWidth="1"/>
    <col min="4" max="8" width="9" style="1546" customWidth="1"/>
    <col min="9" max="16384" width="11" style="35"/>
  </cols>
  <sheetData>
    <row r="1" spans="1:9" ht="25.5">
      <c r="A1" s="561" t="s">
        <v>1262</v>
      </c>
    </row>
    <row r="2" spans="1:9" ht="25.5">
      <c r="A2" s="561" t="str">
        <f>'Datos Básicos'!B9</f>
        <v>nombre empresa</v>
      </c>
    </row>
    <row r="4" spans="1:9" ht="15.75" thickBot="1"/>
    <row r="5" spans="1:9" ht="36.75" customHeight="1" thickBot="1">
      <c r="A5" s="3260" t="s">
        <v>1263</v>
      </c>
      <c r="C5" s="3276" t="s">
        <v>1268</v>
      </c>
      <c r="D5" s="3277" t="str">
        <f t="array" ref="D5:H5">anni</f>
        <v>Año 0:  2026</v>
      </c>
      <c r="E5" s="3278" t="str">
        <v>Año 1:  2027</v>
      </c>
      <c r="F5" s="3278" t="str">
        <v>Año 2:  2028</v>
      </c>
      <c r="G5" s="3278" t="str">
        <v>Año 3:  2029</v>
      </c>
      <c r="H5" s="3279" t="str">
        <v>Año 4:  2030</v>
      </c>
    </row>
    <row r="6" spans="1:9" ht="26.25" customHeight="1">
      <c r="B6" s="70" t="s">
        <v>1269</v>
      </c>
      <c r="C6" s="3272">
        <v>1.47</v>
      </c>
      <c r="D6" s="3273">
        <f ca="1">'Balances anuales'!F13/'Balances anuales'!F37</f>
        <v>1.7747778308801969</v>
      </c>
      <c r="E6" s="3274">
        <f ca="1">'Balances anuales'!H13/'Balances anuales'!H37</f>
        <v>2.9681152998129501</v>
      </c>
      <c r="F6" s="3274">
        <f ca="1">'Balances anuales'!J13/'Balances anuales'!J37</f>
        <v>3.446178095776137</v>
      </c>
      <c r="G6" s="3274">
        <f ca="1">'Balances anuales'!L13/'Balances anuales'!L37</f>
        <v>3.8848631531917865</v>
      </c>
      <c r="H6" s="3275">
        <f ca="1">'Balances anuales'!N13/'Balances anuales'!N37</f>
        <v>4.333926019597917</v>
      </c>
    </row>
    <row r="7" spans="1:9" ht="26.25" customHeight="1">
      <c r="B7" s="1362" t="s">
        <v>1264</v>
      </c>
      <c r="C7" s="3265">
        <v>0.4</v>
      </c>
      <c r="D7" s="3267">
        <f ca="1">'Balances anuales'!F26/('Balances anuales'!F32+'Balances anuales'!F37)</f>
        <v>0.77477783088019725</v>
      </c>
      <c r="E7" s="3261">
        <f ca="1">'Balances anuales'!H26/('Balances anuales'!H32+'Balances anuales'!H37)</f>
        <v>1.9681152998129503</v>
      </c>
      <c r="F7" s="3261">
        <f ca="1">'Balances anuales'!J26/('Balances anuales'!J32+'Balances anuales'!J37)</f>
        <v>2.446178095776137</v>
      </c>
      <c r="G7" s="3261">
        <f ca="1">'Balances anuales'!L26/('Balances anuales'!L32+'Balances anuales'!L37)</f>
        <v>2.8848631531917879</v>
      </c>
      <c r="H7" s="3268">
        <f ca="1">'Balances anuales'!N26/('Balances anuales'!N32+'Balances anuales'!N37)</f>
        <v>3.3339260195979166</v>
      </c>
    </row>
    <row r="8" spans="1:9" ht="26.25" customHeight="1">
      <c r="B8" s="1362" t="s">
        <v>1265</v>
      </c>
      <c r="C8" s="3265">
        <v>0.03</v>
      </c>
      <c r="D8" s="3267">
        <f ca="1">+'PPyGG anuales'!B33/'Balances anuales'!F24</f>
        <v>-9.3567862371870883E-2</v>
      </c>
      <c r="E8" s="3261">
        <f ca="1">+'PPyGG anuales'!D33/'Balances anuales'!H24</f>
        <v>0.4441271207252202</v>
      </c>
      <c r="F8" s="3261">
        <f ca="1">+'PPyGG anuales'!G33/'Balances anuales'!J24</f>
        <v>0.11395429911122407</v>
      </c>
      <c r="G8" s="3261">
        <f ca="1">+'PPyGG anuales'!J33/'Balances anuales'!L24</f>
        <v>0.13238318188920045</v>
      </c>
      <c r="H8" s="3268">
        <f ca="1">+'PPyGG anuales'!M33/'Balances anuales'!N24</f>
        <v>0.12563176047475053</v>
      </c>
    </row>
    <row r="9" spans="1:9" ht="26.25" customHeight="1">
      <c r="B9" s="1362" t="s">
        <v>1266</v>
      </c>
      <c r="C9" s="3265">
        <v>0.02</v>
      </c>
      <c r="D9" s="3267">
        <f ca="1">+'PPyGG anuales'!B33/'PPyGG anuales'!B5</f>
        <v>-1.9266940913789523E-2</v>
      </c>
      <c r="E9" s="3261">
        <f ca="1">+'PPyGG anuales'!D33/'PPyGG anuales'!D5</f>
        <v>0.12956787812187814</v>
      </c>
      <c r="F9" s="3261">
        <f ca="1">+'PPyGG anuales'!G33/'PPyGG anuales'!G5</f>
        <v>3.5917193548884077E-2</v>
      </c>
      <c r="G9" s="3261">
        <f ca="1">+'PPyGG anuales'!J33/'PPyGG anuales'!J5</f>
        <v>4.7123776761017575E-2</v>
      </c>
      <c r="H9" s="3268">
        <f ca="1">+'PPyGG anuales'!M33/'PPyGG anuales'!M5</f>
        <v>5.0093609442447819E-2</v>
      </c>
      <c r="I9" s="1546"/>
    </row>
    <row r="10" spans="1:9" ht="26.25" customHeight="1" thickBot="1">
      <c r="B10" s="71" t="s">
        <v>1267</v>
      </c>
      <c r="C10" s="3266">
        <v>0.06</v>
      </c>
      <c r="D10" s="3269">
        <f ca="1">+'PPyGG anuales'!B33/'Balances anuales'!F26</f>
        <v>-0.21433520836778272</v>
      </c>
      <c r="E10" s="3270">
        <f ca="1">+'PPyGG anuales'!D33/'Balances anuales'!H26</f>
        <v>0.66978824981020324</v>
      </c>
      <c r="F10" s="3270">
        <f ca="1">+'PPyGG anuales'!G33/'Balances anuales'!J26</f>
        <v>0.16053892813230441</v>
      </c>
      <c r="G10" s="3270">
        <f ca="1">+'PPyGG anuales'!J33/'Balances anuales'!L26</f>
        <v>0.17827207673772477</v>
      </c>
      <c r="H10" s="3271">
        <f ca="1">+'PPyGG anuales'!M33/'Balances anuales'!N26</f>
        <v>0.1633145883888211</v>
      </c>
      <c r="I10" s="1480"/>
    </row>
    <row r="15" spans="1:9">
      <c r="A15" s="3260" t="s">
        <v>1270</v>
      </c>
    </row>
    <row r="17" spans="2:8">
      <c r="B17" s="35" t="s">
        <v>1271</v>
      </c>
    </row>
    <row r="18" spans="2:8">
      <c r="B18" s="35" t="s">
        <v>1272</v>
      </c>
    </row>
    <row r="19" spans="2:8" ht="15.75" thickBot="1"/>
    <row r="20" spans="2:8" ht="30.75" thickBot="1">
      <c r="B20" s="3280" t="s">
        <v>1280</v>
      </c>
      <c r="C20" s="3276" t="s">
        <v>1278</v>
      </c>
      <c r="D20" s="3277" t="str">
        <f t="array" ref="D20:H20">anni</f>
        <v>Año 0:  2026</v>
      </c>
      <c r="E20" s="3278" t="str">
        <v>Año 1:  2027</v>
      </c>
      <c r="F20" s="3278" t="str">
        <v>Año 2:  2028</v>
      </c>
      <c r="G20" s="3278" t="str">
        <v>Año 3:  2029</v>
      </c>
      <c r="H20" s="3279" t="str">
        <v>Año 4:  2030</v>
      </c>
    </row>
    <row r="21" spans="2:8" s="48" customFormat="1" ht="20.25" customHeight="1">
      <c r="B21" s="1389" t="s">
        <v>1273</v>
      </c>
      <c r="C21" s="3272">
        <v>1.2</v>
      </c>
      <c r="D21" s="3273">
        <f ca="1">+'Balances anuales'!F13/'Balances anuales'!F24</f>
        <v>1</v>
      </c>
      <c r="E21" s="3274">
        <f ca="1">+'Balances anuales'!H13/'Balances anuales'!H24</f>
        <v>1</v>
      </c>
      <c r="F21" s="3274">
        <f ca="1">+'Balances anuales'!J13/'Balances anuales'!J24</f>
        <v>1</v>
      </c>
      <c r="G21" s="3274">
        <f ca="1">+'Balances anuales'!L13/'Balances anuales'!L24</f>
        <v>1</v>
      </c>
      <c r="H21" s="3275">
        <f ca="1">+'Balances anuales'!N13/'Balances anuales'!N24</f>
        <v>1</v>
      </c>
    </row>
    <row r="22" spans="2:8" s="48" customFormat="1" ht="20.25" customHeight="1">
      <c r="B22" s="1362" t="s">
        <v>1274</v>
      </c>
      <c r="C22" s="3265">
        <v>1.4</v>
      </c>
      <c r="D22" s="3267">
        <f ca="1">Imp.Sociedades!B31/'Balances anuales'!F24</f>
        <v>0</v>
      </c>
      <c r="E22" s="3261">
        <f ca="1">Imp.Sociedades!D31/'Balances anuales'!H24</f>
        <v>0</v>
      </c>
      <c r="F22" s="3261">
        <f ca="1">Imp.Sociedades!G31/'Balances anuales'!J24</f>
        <v>0</v>
      </c>
      <c r="G22" s="3261">
        <f ca="1">Imp.Sociedades!J31/'Balances anuales'!L24</f>
        <v>0</v>
      </c>
      <c r="H22" s="3268">
        <f ca="1">Imp.Sociedades!M31/'Balances anuales'!N24</f>
        <v>0</v>
      </c>
    </row>
    <row r="23" spans="2:8" s="48" customFormat="1" ht="20.25" customHeight="1">
      <c r="B23" s="1362" t="s">
        <v>1275</v>
      </c>
      <c r="C23" s="3265">
        <v>3.3</v>
      </c>
      <c r="D23" s="3267">
        <f ca="1">'PPyGG anuales'!B20/'Balances anuales'!F24</f>
        <v>0.79401093284179436</v>
      </c>
      <c r="E23" s="3261">
        <f ca="1">'PPyGG anuales'!D20/'Balances anuales'!H24</f>
        <v>1.1871222953569238</v>
      </c>
      <c r="F23" s="3261">
        <f ca="1">'PPyGG anuales'!G20/'Balances anuales'!J24</f>
        <v>0.69057453879572972</v>
      </c>
      <c r="G23" s="3261">
        <f ca="1">'PPyGG anuales'!J20/'Balances anuales'!L24</f>
        <v>0.67063455207979583</v>
      </c>
      <c r="H23" s="3268">
        <f ca="1">'PPyGG anuales'!M20/'Balances anuales'!N24</f>
        <v>0.62183888084610961</v>
      </c>
    </row>
    <row r="24" spans="2:8" s="48" customFormat="1" ht="20.25" customHeight="1">
      <c r="B24" s="1362" t="s">
        <v>1276</v>
      </c>
      <c r="C24" s="3265">
        <v>0.6</v>
      </c>
      <c r="D24" s="3267">
        <v>0</v>
      </c>
      <c r="E24" s="3261">
        <v>0</v>
      </c>
      <c r="F24" s="3261">
        <v>0</v>
      </c>
      <c r="G24" s="3261">
        <v>0</v>
      </c>
      <c r="H24" s="3268">
        <v>0</v>
      </c>
    </row>
    <row r="25" spans="2:8" s="48" customFormat="1" ht="20.25" customHeight="1" thickBot="1">
      <c r="B25" s="71" t="s">
        <v>1277</v>
      </c>
      <c r="C25" s="3281">
        <v>1</v>
      </c>
      <c r="D25" s="3269">
        <f ca="1">'PPyGG anuales'!B5/'Balances anuales'!F24</f>
        <v>4.8563943176315822</v>
      </c>
      <c r="E25" s="3270">
        <f ca="1">'PPyGG anuales'!D5/'Balances anuales'!H24</f>
        <v>3.427756378841456</v>
      </c>
      <c r="F25" s="3270">
        <f ca="1">'PPyGG anuales'!G5/'Balances anuales'!J24</f>
        <v>3.1726949644918614</v>
      </c>
      <c r="G25" s="3270">
        <f ca="1">'PPyGG anuales'!J5/'Balances anuales'!L24</f>
        <v>2.8092651096402017</v>
      </c>
      <c r="H25" s="3271">
        <f ca="1">'PPyGG anuales'!M5/'Balances anuales'!N24</f>
        <v>2.5079398724319906</v>
      </c>
    </row>
    <row r="28" spans="2:8">
      <c r="B28" s="3262" t="s">
        <v>1279</v>
      </c>
      <c r="C28" s="1000"/>
      <c r="D28" s="3263">
        <f ca="1">SUMPRODUCT($C$21:$C$25,D21:D25)</f>
        <v>8.6766303960095037</v>
      </c>
      <c r="E28" s="3263">
        <f t="shared" ref="E28:G28" ca="1" si="0">SUMPRODUCT($C$21:$C$25,E21:E25)</f>
        <v>8.5452599535193041</v>
      </c>
      <c r="F28" s="3263">
        <f t="shared" ca="1" si="0"/>
        <v>6.6515909425177693</v>
      </c>
      <c r="G28" s="3263">
        <f t="shared" ca="1" si="0"/>
        <v>6.222359131503528</v>
      </c>
      <c r="H28" s="3263">
        <f ca="1">SUMPRODUCT($C$21:$C$25,H21:H25)</f>
        <v>5.7600081792241529</v>
      </c>
    </row>
    <row r="30" spans="2:8" ht="43.5" customHeight="1">
      <c r="D30" s="3264" t="str">
        <f ca="1">IF(D28&gt;=3,"Sin riesgo de suspensión",IF(D28&gt;=1.8,"Dudoso riesgo","Riesgo alto"))</f>
        <v>Sin riesgo de suspensión</v>
      </c>
      <c r="E30" s="3264" t="str">
        <f t="shared" ref="E30:H30" ca="1" si="1">IF(E28&gt;=3,"Sin riesgo de suspensión",IF(E28&gt;=1.8,"Dudoso riesgo","Riesgo alto"))</f>
        <v>Sin riesgo de suspensión</v>
      </c>
      <c r="F30" s="3264" t="str">
        <f t="shared" ca="1" si="1"/>
        <v>Sin riesgo de suspensión</v>
      </c>
      <c r="G30" s="3264" t="str">
        <f t="shared" ca="1" si="1"/>
        <v>Sin riesgo de suspensión</v>
      </c>
      <c r="H30" s="3264" t="str">
        <f t="shared" ca="1" si="1"/>
        <v>Sin riesgo de suspensión</v>
      </c>
    </row>
    <row r="33" spans="1:10" s="3282" customFormat="1">
      <c r="D33" s="3283"/>
      <c r="E33" s="3283"/>
      <c r="F33" s="3283"/>
      <c r="G33" s="3283"/>
      <c r="H33" s="3283"/>
    </row>
    <row r="34" spans="1:10" s="3282" customFormat="1" hidden="1">
      <c r="D34" s="3283"/>
      <c r="E34" s="3283"/>
      <c r="F34" s="3283"/>
      <c r="G34" s="3283"/>
      <c r="H34" s="3283"/>
    </row>
    <row r="35" spans="1:10" s="3282" customFormat="1" hidden="1">
      <c r="A35" s="3284" t="s">
        <v>1281</v>
      </c>
      <c r="D35" s="3283"/>
      <c r="E35" s="3283"/>
      <c r="F35" s="3283"/>
      <c r="G35" s="3283"/>
      <c r="H35" s="3283"/>
    </row>
    <row r="36" spans="1:10" s="3282" customFormat="1" hidden="1">
      <c r="A36" s="3284"/>
      <c r="D36" s="3283"/>
      <c r="E36" s="3283"/>
      <c r="F36" s="3283"/>
      <c r="G36" s="3283"/>
      <c r="H36" s="3283"/>
    </row>
    <row r="37" spans="1:10" s="3282" customFormat="1" hidden="1">
      <c r="B37" s="35" t="s">
        <v>1282</v>
      </c>
      <c r="D37" s="3283"/>
      <c r="E37" s="3283"/>
      <c r="F37" s="3283"/>
      <c r="G37" s="3283"/>
      <c r="H37" s="3283"/>
    </row>
    <row r="38" spans="1:10" s="3282" customFormat="1" hidden="1">
      <c r="D38" s="3283"/>
      <c r="E38" s="3283"/>
      <c r="F38" s="3283"/>
      <c r="G38" s="3283"/>
      <c r="H38" s="3283"/>
    </row>
    <row r="39" spans="1:10" s="3282" customFormat="1" ht="15.75" hidden="1" thickBot="1">
      <c r="D39" s="3283"/>
      <c r="E39" s="3283"/>
      <c r="F39" s="3283"/>
      <c r="G39" s="3283"/>
      <c r="H39" s="3283"/>
    </row>
    <row r="40" spans="1:10" s="3282" customFormat="1" ht="30.75" hidden="1" thickBot="1">
      <c r="B40" s="3280" t="s">
        <v>1280</v>
      </c>
      <c r="C40" s="3276" t="s">
        <v>1278</v>
      </c>
      <c r="D40" s="3277" t="str">
        <f t="array" ref="D40:H40">anni</f>
        <v>Año 0:  2026</v>
      </c>
      <c r="E40" s="3278" t="str">
        <v>Año 1:  2027</v>
      </c>
      <c r="F40" s="3278" t="str">
        <v>Año 2:  2028</v>
      </c>
      <c r="G40" s="3278" t="str">
        <v>Año 3:  2029</v>
      </c>
      <c r="H40" s="3279" t="str">
        <v>Año 4:  2030</v>
      </c>
    </row>
    <row r="41" spans="1:10" s="3282" customFormat="1" ht="22.5" hidden="1" customHeight="1">
      <c r="B41" s="3290" t="s">
        <v>1283</v>
      </c>
      <c r="C41" s="3272">
        <v>1.2</v>
      </c>
      <c r="D41" s="3273">
        <f ca="1">('Balances anuales'!F13+'Balances anuales'!F37)/'Balances anuales'!F24</f>
        <v>1.5634508064054711</v>
      </c>
      <c r="E41" s="3274">
        <f ca="1">('Balances anuales'!H13+'Balances anuales'!H37)/'Balances anuales'!H24</f>
        <v>1.3369141353986551</v>
      </c>
      <c r="F41" s="3274">
        <f ca="1">('Balances anuales'!J13+'Balances anuales'!J37)/'Balances anuales'!J24</f>
        <v>1.2901765295373637</v>
      </c>
      <c r="G41" s="3274">
        <f ca="1">('Balances anuales'!L13+'Balances anuales'!L37)/'Balances anuales'!L24</f>
        <v>1.2574093244902087</v>
      </c>
      <c r="H41" s="3275">
        <f ca="1">('Balances anuales'!N13+'Balances anuales'!N37)/'Balances anuales'!N24</f>
        <v>1.2307376719118006</v>
      </c>
      <c r="I41" s="35"/>
      <c r="J41" s="35">
        <f t="shared" ref="J41:J44" ca="1" si="2">D41*C41</f>
        <v>1.8761409676865652</v>
      </c>
    </row>
    <row r="42" spans="1:10" s="3282" customFormat="1" ht="22.5" hidden="1" customHeight="1">
      <c r="B42" s="3291" t="s">
        <v>1284</v>
      </c>
      <c r="C42" s="3265">
        <v>1.4</v>
      </c>
      <c r="D42" s="3267">
        <f ca="1">('Balances anuales'!F26+'Balances anuales'!F32)/'Balances anuales'!F46</f>
        <v>0.43654919359452887</v>
      </c>
      <c r="E42" s="3261">
        <f ca="1">('Balances anuales'!H26+'Balances anuales'!H32)/'Balances anuales'!H46</f>
        <v>0.66308586460134489</v>
      </c>
      <c r="F42" s="3261">
        <f ca="1">('Balances anuales'!J26+'Balances anuales'!J32)/'Balances anuales'!J46</f>
        <v>0.70982347046263627</v>
      </c>
      <c r="G42" s="3261">
        <f ca="1">('Balances anuales'!L26+'Balances anuales'!L32)/'Balances anuales'!L46</f>
        <v>0.74259067550979141</v>
      </c>
      <c r="H42" s="3268">
        <f ca="1">('Balances anuales'!N26+'Balances anuales'!N32)/'Balances anuales'!N46</f>
        <v>0.76926232808819939</v>
      </c>
      <c r="I42" s="35"/>
      <c r="J42" s="35">
        <f t="shared" ca="1" si="2"/>
        <v>0.61116887103234041</v>
      </c>
    </row>
    <row r="43" spans="1:10" s="3282" customFormat="1" ht="22.5" hidden="1" customHeight="1">
      <c r="B43" s="3291" t="s">
        <v>1285</v>
      </c>
      <c r="C43" s="3265">
        <v>3.3</v>
      </c>
      <c r="D43" s="3267">
        <f ca="1">'PPyGG anuales'!B26/'PPyGG anuales'!B5</f>
        <v>6.0500000000000012E-2</v>
      </c>
      <c r="E43" s="3261">
        <f ca="1">'PPyGG anuales'!D26/'PPyGG anuales'!D5</f>
        <v>6.0500000000000005E-2</v>
      </c>
      <c r="F43" s="3261">
        <f ca="1">'PPyGG anuales'!G26/'PPyGG anuales'!G5</f>
        <v>6.0499999999999998E-2</v>
      </c>
      <c r="G43" s="3261">
        <f ca="1">'PPyGG anuales'!J26/'PPyGG anuales'!J5</f>
        <v>6.0499999999999991E-2</v>
      </c>
      <c r="H43" s="3268">
        <f ca="1">'PPyGG anuales'!M26/'PPyGG anuales'!M5</f>
        <v>6.0499999999999991E-2</v>
      </c>
      <c r="I43" s="35"/>
      <c r="J43" s="35">
        <f t="shared" ca="1" si="2"/>
        <v>0.19965000000000002</v>
      </c>
    </row>
    <row r="44" spans="1:10" s="3282" customFormat="1" ht="22.5" hidden="1" customHeight="1">
      <c r="B44" s="3291" t="s">
        <v>1287</v>
      </c>
      <c r="C44" s="3265">
        <v>0.6</v>
      </c>
      <c r="D44" s="3267">
        <f ca="1">('PPyGG anuales'!B15+'PPyGG anuales'!B16)/('PPyGG anuales'!B13-'PPyGG anuales'!B17)</f>
        <v>0.80899762152720767</v>
      </c>
      <c r="E44" s="3261">
        <f ca="1">('PPyGG anuales'!D15+'PPyGG anuales'!D16)/('PPyGG anuales'!D13-'PPyGG anuales'!D17)</f>
        <v>0.59590593598799901</v>
      </c>
      <c r="F44" s="3261">
        <f ca="1">('PPyGG anuales'!G15+'PPyGG anuales'!G16)/('PPyGG anuales'!G13-'PPyGG anuales'!G17)</f>
        <v>0.74602337743466351</v>
      </c>
      <c r="G44" s="3261">
        <f ca="1">('PPyGG anuales'!J15+'PPyGG anuales'!J16)/('PPyGG anuales'!J13-'PPyGG anuales'!J17)</f>
        <v>0.72143959443651484</v>
      </c>
      <c r="H44" s="3268">
        <f ca="1">('PPyGG anuales'!M15+'PPyGG anuales'!M16)/('PPyGG anuales'!M13-'PPyGG anuales'!M17)</f>
        <v>0.71066446989589993</v>
      </c>
      <c r="I44" s="35"/>
      <c r="J44" s="35">
        <f t="shared" ca="1" si="2"/>
        <v>0.4853985729163246</v>
      </c>
    </row>
    <row r="45" spans="1:10" s="3282" customFormat="1" ht="22.5" hidden="1" customHeight="1" thickBot="1">
      <c r="B45" s="3292" t="s">
        <v>1286</v>
      </c>
      <c r="C45" s="3266">
        <v>1</v>
      </c>
      <c r="D45" s="3269">
        <f ca="1">('PPyGG anuales'!B20-'PPyGG anuales'!B10)/('Balances anuales'!F32+'Balances anuales'!F37)</f>
        <v>1.4091930010841214</v>
      </c>
      <c r="E45" s="3270">
        <f ca="1">('PPyGG anuales'!D20-'PPyGG anuales'!D10)/('Balances anuales'!H32+'Balances anuales'!H37)</f>
        <v>3.5235158475979538</v>
      </c>
      <c r="F45" s="3270">
        <f ca="1">('PPyGG anuales'!G20-'PPyGG anuales'!G10)/('Balances anuales'!J32+'Balances anuales'!J37)</f>
        <v>2.3798428490985515</v>
      </c>
      <c r="G45" s="3270">
        <f ca="1">('PPyGG anuales'!J20-'PPyGG anuales'!J10)/('Balances anuales'!L32+'Balances anuales'!L37)</f>
        <v>2.6053234606320772</v>
      </c>
      <c r="H45" s="3271">
        <f ca="1">('PPyGG anuales'!M20-'PPyGG anuales'!M10)/('Balances anuales'!N32+'Balances anuales'!N37)</f>
        <v>2.6950037056966032</v>
      </c>
      <c r="I45" s="35"/>
      <c r="J45" s="35">
        <f ca="1">D45*C45</f>
        <v>1.4091930010841214</v>
      </c>
    </row>
    <row r="46" spans="1:10" s="3282" customFormat="1" hidden="1">
      <c r="D46" s="3283"/>
      <c r="E46" s="3283"/>
      <c r="F46" s="3283"/>
      <c r="G46" s="3283"/>
      <c r="H46" s="3283"/>
    </row>
    <row r="47" spans="1:10" s="3282" customFormat="1" hidden="1">
      <c r="C47" s="3285" t="s">
        <v>1288</v>
      </c>
      <c r="D47" s="3261">
        <f t="shared" ref="D47:H47" ca="1" si="3">SUMPRODUCT($C$41:$C$45,D41:D45)</f>
        <v>4.5815514127193513</v>
      </c>
      <c r="E47" s="3261">
        <f t="shared" ca="1" si="3"/>
        <v>6.6133265821110223</v>
      </c>
      <c r="F47" s="3261">
        <f t="shared" ca="1" si="3"/>
        <v>5.5690715696518769</v>
      </c>
      <c r="G47" s="3261">
        <f ca="1">SUMPRODUCT($C$41:$C$45,G41:G45)</f>
        <v>5.7863553523959448</v>
      </c>
      <c r="H47" s="3261">
        <f t="shared" ca="1" si="3"/>
        <v>5.8749048532517829</v>
      </c>
    </row>
    <row r="48" spans="1:10" s="3282" customFormat="1" hidden="1">
      <c r="D48" s="1546"/>
      <c r="E48" s="1546"/>
      <c r="F48" s="1546"/>
      <c r="G48" s="1546"/>
      <c r="H48" s="1546"/>
    </row>
    <row r="49" spans="2:8" s="3282" customFormat="1" hidden="1">
      <c r="B49" s="35"/>
      <c r="C49" s="1151" t="s">
        <v>1290</v>
      </c>
      <c r="D49" s="3289">
        <f ca="1">VLOOKUP(D47,$C$52:$D$61,2)</f>
        <v>0</v>
      </c>
      <c r="E49" s="3289">
        <f t="shared" ref="E49:H49" ca="1" si="4">VLOOKUP(E47,$C$52:$D$61,2)</f>
        <v>0</v>
      </c>
      <c r="F49" s="3289">
        <f t="shared" ca="1" si="4"/>
        <v>0</v>
      </c>
      <c r="G49" s="3289">
        <f t="shared" ca="1" si="4"/>
        <v>0</v>
      </c>
      <c r="H49" s="3289">
        <f t="shared" ca="1" si="4"/>
        <v>0</v>
      </c>
    </row>
    <row r="50" spans="2:8" s="3282" customFormat="1" hidden="1">
      <c r="B50" s="35"/>
      <c r="C50" s="35"/>
      <c r="D50" s="1546"/>
      <c r="E50" s="1546"/>
      <c r="F50" s="1546"/>
      <c r="G50" s="1546"/>
      <c r="H50" s="1546"/>
    </row>
    <row r="51" spans="2:8" s="3282" customFormat="1" hidden="1">
      <c r="B51" s="35"/>
      <c r="C51" s="3286" t="s">
        <v>1288</v>
      </c>
      <c r="D51" s="3287" t="s">
        <v>1289</v>
      </c>
      <c r="E51" s="1546"/>
      <c r="F51" s="1546" t="s">
        <v>1291</v>
      </c>
      <c r="G51" s="1546"/>
      <c r="H51" s="1546"/>
    </row>
    <row r="52" spans="2:8" s="3282" customFormat="1" hidden="1">
      <c r="B52" s="35"/>
      <c r="C52" s="3288">
        <v>0.21</v>
      </c>
      <c r="D52" s="3289">
        <v>1</v>
      </c>
      <c r="E52" s="1546"/>
      <c r="F52" s="1546"/>
      <c r="G52" s="1546"/>
      <c r="H52" s="1546"/>
    </row>
    <row r="53" spans="2:8" s="3282" customFormat="1" hidden="1">
      <c r="B53" s="35"/>
      <c r="C53" s="3288">
        <v>4.8000000000000001E-2</v>
      </c>
      <c r="D53" s="3289">
        <v>0.9</v>
      </c>
      <c r="E53" s="1546"/>
      <c r="F53" s="1546"/>
      <c r="G53" s="1546"/>
      <c r="H53" s="1546"/>
    </row>
    <row r="54" spans="2:8" s="3282" customFormat="1" hidden="1">
      <c r="B54" s="35"/>
      <c r="C54" s="3288">
        <v>-2E-3</v>
      </c>
      <c r="D54" s="3289">
        <v>0.8</v>
      </c>
      <c r="E54" s="1546"/>
      <c r="F54" s="1546"/>
      <c r="G54" s="1546"/>
      <c r="H54" s="1546"/>
    </row>
    <row r="55" spans="2:8" s="3282" customFormat="1" hidden="1">
      <c r="B55" s="35"/>
      <c r="C55" s="3288">
        <v>-2.5999999999999999E-2</v>
      </c>
      <c r="D55" s="3289">
        <v>0.7</v>
      </c>
      <c r="E55" s="1546"/>
      <c r="F55" s="1546"/>
      <c r="G55" s="1546"/>
      <c r="H55" s="1546"/>
    </row>
    <row r="56" spans="2:8" s="3282" customFormat="1" hidden="1">
      <c r="B56" s="35"/>
      <c r="C56" s="3288">
        <v>-6.8000000000000005E-2</v>
      </c>
      <c r="D56" s="3289">
        <v>0.5</v>
      </c>
      <c r="E56" s="1546"/>
      <c r="F56" s="1546"/>
      <c r="G56" s="1546"/>
      <c r="H56" s="1546"/>
    </row>
    <row r="57" spans="2:8" s="3282" customFormat="1" hidden="1">
      <c r="B57" s="35"/>
      <c r="C57" s="3288">
        <v>-8.6999999999999994E-2</v>
      </c>
      <c r="D57" s="3289">
        <v>0.4</v>
      </c>
      <c r="E57" s="1546"/>
      <c r="F57" s="1546"/>
      <c r="G57" s="1546"/>
      <c r="H57" s="1546"/>
    </row>
    <row r="58" spans="2:8" s="3282" customFormat="1" hidden="1">
      <c r="B58" s="35"/>
      <c r="C58" s="3288">
        <v>-0.107</v>
      </c>
      <c r="D58" s="3289">
        <v>0.3</v>
      </c>
      <c r="E58" s="1546"/>
      <c r="F58" s="1546"/>
      <c r="G58" s="1546"/>
      <c r="H58" s="1546"/>
    </row>
    <row r="59" spans="2:8" s="3282" customFormat="1" hidden="1">
      <c r="B59" s="35"/>
      <c r="C59" s="3288">
        <v>-0.13100000000000001</v>
      </c>
      <c r="D59" s="3289">
        <v>0.2</v>
      </c>
      <c r="E59" s="1546"/>
      <c r="F59" s="1546"/>
      <c r="G59" s="1546"/>
      <c r="H59" s="1546"/>
    </row>
    <row r="60" spans="2:8" s="3282" customFormat="1" hidden="1">
      <c r="B60" s="35"/>
      <c r="C60" s="3288">
        <v>-0.16400000000000001</v>
      </c>
      <c r="D60" s="3289">
        <v>0.1</v>
      </c>
      <c r="E60" s="1546"/>
      <c r="F60" s="1546"/>
      <c r="G60" s="1546"/>
      <c r="H60" s="1546"/>
    </row>
    <row r="61" spans="2:8" s="3282" customFormat="1" hidden="1">
      <c r="B61" s="35"/>
      <c r="C61" s="3288">
        <v>-1</v>
      </c>
      <c r="D61" s="3289">
        <v>0</v>
      </c>
      <c r="E61" s="1546"/>
      <c r="F61" s="1546"/>
      <c r="G61" s="1546"/>
      <c r="H61" s="1546"/>
    </row>
    <row r="62" spans="2:8" s="3282" customFormat="1" hidden="1">
      <c r="B62" s="35"/>
      <c r="C62" s="35"/>
      <c r="D62" s="1546"/>
      <c r="E62" s="1546"/>
      <c r="F62" s="1546"/>
      <c r="G62" s="1546"/>
      <c r="H62" s="1546"/>
    </row>
    <row r="63" spans="2:8" s="3282" customFormat="1">
      <c r="D63" s="3283"/>
      <c r="E63" s="3283"/>
      <c r="F63" s="3283"/>
      <c r="G63" s="3283"/>
      <c r="H63" s="3283"/>
    </row>
    <row r="64" spans="2:8" s="3282" customFormat="1">
      <c r="D64" s="3283"/>
      <c r="E64" s="3283"/>
      <c r="F64" s="3283"/>
      <c r="G64" s="3283"/>
      <c r="H64" s="3283"/>
    </row>
    <row r="65" spans="4:8" s="3282" customFormat="1">
      <c r="D65" s="3283"/>
      <c r="E65" s="3283"/>
      <c r="F65" s="3283"/>
      <c r="G65" s="3283"/>
      <c r="H65" s="3283"/>
    </row>
    <row r="66" spans="4:8" s="3282" customFormat="1">
      <c r="D66" s="3283"/>
      <c r="E66" s="3283"/>
      <c r="F66" s="3283"/>
      <c r="G66" s="3283"/>
      <c r="H66" s="3283"/>
    </row>
    <row r="67" spans="4:8" s="3282" customFormat="1">
      <c r="D67" s="3283"/>
      <c r="E67" s="3283"/>
      <c r="F67" s="3283"/>
      <c r="G67" s="3283"/>
      <c r="H67" s="3283"/>
    </row>
    <row r="68" spans="4:8" s="3282" customFormat="1">
      <c r="D68" s="3283"/>
      <c r="E68" s="3283"/>
      <c r="F68" s="3283"/>
      <c r="G68" s="3283"/>
      <c r="H68" s="3283"/>
    </row>
    <row r="69" spans="4:8" s="3282" customFormat="1">
      <c r="D69" s="3283"/>
      <c r="E69" s="3283"/>
      <c r="F69" s="3283"/>
      <c r="G69" s="3283"/>
      <c r="H69" s="3283"/>
    </row>
    <row r="70" spans="4:8" s="3282" customFormat="1">
      <c r="D70" s="3283"/>
      <c r="E70" s="3283"/>
      <c r="F70" s="3283"/>
      <c r="G70" s="3283"/>
      <c r="H70" s="3283"/>
    </row>
    <row r="71" spans="4:8" s="3282" customFormat="1">
      <c r="D71" s="3283"/>
      <c r="E71" s="3283"/>
      <c r="F71" s="3283"/>
      <c r="G71" s="3283"/>
      <c r="H71" s="3283"/>
    </row>
    <row r="72" spans="4:8" s="3282" customFormat="1">
      <c r="D72" s="3283"/>
      <c r="E72" s="3283"/>
      <c r="F72" s="3283"/>
      <c r="G72" s="3283"/>
      <c r="H72" s="3283"/>
    </row>
  </sheetData>
  <sheetProtection sheet="1" objects="1" scenarios="1"/>
  <conditionalFormatting sqref="D6:H10">
    <cfRule type="expression" dxfId="4" priority="1" stopIfTrue="1">
      <formula>D6&lt;$C6</formula>
    </cfRule>
    <cfRule type="expression" dxfId="3" priority="2">
      <formula>D6&gt;=$C6</formula>
    </cfRule>
  </conditionalFormatting>
  <conditionalFormatting sqref="D28:H28 D30:H30">
    <cfRule type="expression" dxfId="2" priority="5" stopIfTrue="1">
      <formula>D$28&gt;=3</formula>
    </cfRule>
    <cfRule type="expression" dxfId="1" priority="9">
      <formula>D$28&gt;=1.8</formula>
    </cfRule>
  </conditionalFormatting>
  <printOptions horizontalCentered="1"/>
  <pageMargins left="0.64" right="0.82" top="0.74803149606299213" bottom="0.74803149606299213" header="0.31496062992125984" footer="0.31496062992125984"/>
  <pageSetup paperSize="9" scale="59" orientation="portrait" horizontalDpi="300" verticalDpi="300" r:id="rId1"/>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indexed="61"/>
    <outlinePr summaryBelow="0"/>
    <pageSetUpPr fitToPage="1"/>
  </sheetPr>
  <dimension ref="A1:O699"/>
  <sheetViews>
    <sheetView workbookViewId="0"/>
  </sheetViews>
  <sheetFormatPr baseColWidth="10" defaultColWidth="8" defaultRowHeight="12.75"/>
  <cols>
    <col min="1" max="1" width="35.5" style="1849" customWidth="1"/>
    <col min="2" max="7" width="15.125" style="1849" customWidth="1"/>
    <col min="8" max="8" width="8" style="1849" customWidth="1"/>
    <col min="9" max="9" width="11.875" style="1849" customWidth="1"/>
    <col min="10" max="11" width="8" style="1849" customWidth="1"/>
    <col min="12" max="12" width="11.625" style="1849" customWidth="1"/>
    <col min="13" max="13" width="11.25" style="1849" bestFit="1" customWidth="1"/>
    <col min="14" max="14" width="8" style="1849" customWidth="1"/>
    <col min="15" max="15" width="9.875" style="1849" bestFit="1" customWidth="1"/>
    <col min="16" max="16384" width="8" style="1849"/>
  </cols>
  <sheetData>
    <row r="1" spans="1:15" ht="27" customHeight="1">
      <c r="A1" s="1855" t="s">
        <v>772</v>
      </c>
      <c r="B1" s="1848"/>
      <c r="C1" s="1848"/>
      <c r="D1" s="1848"/>
      <c r="E1" s="1848"/>
      <c r="F1" s="1848"/>
      <c r="G1" s="1848"/>
      <c r="H1" s="1848"/>
    </row>
    <row r="2" spans="1:15" ht="22.5">
      <c r="A2" s="1855" t="str">
        <f>'Datos Básicos'!B9</f>
        <v>nombre empresa</v>
      </c>
      <c r="B2" s="1850"/>
      <c r="C2" s="1848"/>
      <c r="D2" s="1848"/>
      <c r="E2" s="1848"/>
      <c r="F2" s="1848"/>
      <c r="G2" s="1848"/>
      <c r="H2" s="1848"/>
    </row>
    <row r="3" spans="1:15" ht="22.5">
      <c r="A3" s="1855"/>
      <c r="B3" s="1850"/>
      <c r="C3" s="1848"/>
      <c r="D3" s="1848"/>
      <c r="E3" s="1848"/>
      <c r="F3" s="1848"/>
      <c r="G3" s="1848"/>
      <c r="H3" s="1848"/>
    </row>
    <row r="4" spans="1:15" ht="13.5" thickBot="1">
      <c r="A4" s="1852"/>
      <c r="H4" s="1848"/>
    </row>
    <row r="5" spans="1:15" ht="37.5" customHeight="1">
      <c r="A5" s="1923" t="s">
        <v>752</v>
      </c>
      <c r="B5" s="1868" t="str">
        <f>"Inicial : 
"&amp;'Balances anuales'!D3</f>
        <v>Inicial : 
 mes de enero de 2026 (*)</v>
      </c>
      <c r="C5" s="1869" t="str">
        <f t="array" ref="C5:G5">anni</f>
        <v>Año 0:  2026</v>
      </c>
      <c r="D5" s="1868" t="str">
        <v>Año 1:  2027</v>
      </c>
      <c r="E5" s="1869" t="str">
        <v>Año 2:  2028</v>
      </c>
      <c r="F5" s="1868" t="str">
        <v>Año 3:  2029</v>
      </c>
      <c r="G5" s="1913" t="str">
        <v>Año 4:  2030</v>
      </c>
      <c r="H5" s="1851"/>
    </row>
    <row r="6" spans="1:15" ht="17.25" customHeight="1">
      <c r="A6" s="1860"/>
      <c r="B6" s="1870" t="s">
        <v>746</v>
      </c>
      <c r="C6" s="1871" t="s">
        <v>747</v>
      </c>
      <c r="D6" s="1870" t="s">
        <v>748</v>
      </c>
      <c r="E6" s="1871" t="s">
        <v>749</v>
      </c>
      <c r="F6" s="1870" t="s">
        <v>750</v>
      </c>
      <c r="G6" s="1914" t="s">
        <v>751</v>
      </c>
      <c r="H6" s="1853"/>
    </row>
    <row r="7" spans="1:15" ht="17.25" customHeight="1">
      <c r="A7" s="1866" t="s">
        <v>738</v>
      </c>
      <c r="B7" s="1864">
        <f>'Balances anuales'!D30</f>
        <v>0</v>
      </c>
      <c r="C7" s="1863">
        <f ca="1">+'Balances anuales'!F30</f>
        <v>-529.51246136363579</v>
      </c>
      <c r="D7" s="1864">
        <f ca="1">+'Balances anuales'!H30</f>
        <v>5011.0376863636375</v>
      </c>
      <c r="E7" s="1863">
        <f ca="1">+'Balances anuales'!J30</f>
        <v>1430.7703843181844</v>
      </c>
      <c r="F7" s="1864">
        <f ca="1">+'Balances anuales'!L30</f>
        <v>1933.5030510659053</v>
      </c>
      <c r="G7" s="1915">
        <f ca="1">+'Balances anuales'!N30</f>
        <v>2117.0168851847939</v>
      </c>
      <c r="H7" s="1853"/>
    </row>
    <row r="8" spans="1:15" ht="17.25" customHeight="1">
      <c r="A8" s="1867" t="s">
        <v>739</v>
      </c>
      <c r="B8" s="1864">
        <v>0</v>
      </c>
      <c r="C8" s="1863">
        <f ca="1">-'PPyGG anuales'!B27</f>
        <v>1662.71875</v>
      </c>
      <c r="D8" s="1864">
        <f ca="1">-'PPyGG anuales'!D27</f>
        <v>2339.8375000000001</v>
      </c>
      <c r="E8" s="1863">
        <f ca="1">-'PPyGG anuales'!G27</f>
        <v>2410.0326249999998</v>
      </c>
      <c r="F8" s="1864">
        <f ca="1">-'PPyGG anuales'!J27</f>
        <v>2482.3336037499998</v>
      </c>
      <c r="G8" s="1915">
        <f ca="1">-'PPyGG anuales'!M27</f>
        <v>2556.8036118625</v>
      </c>
      <c r="H8" s="1853"/>
      <c r="J8" s="1849" t="s">
        <v>789</v>
      </c>
    </row>
    <row r="9" spans="1:15" ht="17.25" customHeight="1">
      <c r="A9" s="1867" t="s">
        <v>740</v>
      </c>
      <c r="B9" s="1864">
        <v>0</v>
      </c>
      <c r="C9" s="1863">
        <f>'PPyGG anuales'!B22</f>
        <v>0</v>
      </c>
      <c r="D9" s="1864">
        <f>'PPyGG anuales'!D22</f>
        <v>0</v>
      </c>
      <c r="E9" s="1863">
        <f>'PPyGG anuales'!G22</f>
        <v>0</v>
      </c>
      <c r="F9" s="1864">
        <f>'PPyGG anuales'!J22</f>
        <v>0</v>
      </c>
      <c r="G9" s="1915">
        <f>+'PPyGG anuales'!M22</f>
        <v>0</v>
      </c>
      <c r="H9" s="1853"/>
      <c r="L9" s="1849" t="s">
        <v>816</v>
      </c>
      <c r="M9" s="1849" t="s">
        <v>817</v>
      </c>
    </row>
    <row r="10" spans="1:15" ht="17.25" customHeight="1">
      <c r="A10" s="1867" t="s">
        <v>780</v>
      </c>
      <c r="B10" s="1864">
        <f>-Amortizaciones!D6</f>
        <v>0</v>
      </c>
      <c r="C10" s="1863">
        <f>-Amortizaciones!D6*0</f>
        <v>0</v>
      </c>
      <c r="D10" s="1864">
        <f t="array" ref="D10:G10">-Amortizaciones!E6:H6</f>
        <v>0</v>
      </c>
      <c r="E10" s="1863">
        <v>0</v>
      </c>
      <c r="F10" s="1864">
        <v>0</v>
      </c>
      <c r="G10" s="1915">
        <v>0</v>
      </c>
      <c r="H10" s="1853"/>
      <c r="J10" s="1849">
        <v>0</v>
      </c>
      <c r="K10" s="1849" t="s">
        <v>790</v>
      </c>
      <c r="L10" s="2351">
        <f>B14</f>
        <v>0</v>
      </c>
      <c r="M10" s="2351">
        <f>L10/(1+$B$27)^J10</f>
        <v>0</v>
      </c>
    </row>
    <row r="11" spans="1:15" ht="17.25" customHeight="1">
      <c r="A11" s="1867" t="s">
        <v>781</v>
      </c>
      <c r="B11" s="1864">
        <f>-Amortizaciones!D17</f>
        <v>0</v>
      </c>
      <c r="C11" s="1863">
        <f>-Amortizaciones!D17*0</f>
        <v>0</v>
      </c>
      <c r="D11" s="1864">
        <f t="array" ref="D11:G11">-Amortizaciones!E17:H17</f>
        <v>0</v>
      </c>
      <c r="E11" s="1863">
        <v>0</v>
      </c>
      <c r="F11" s="1864">
        <v>0</v>
      </c>
      <c r="G11" s="1915">
        <v>0</v>
      </c>
      <c r="H11" s="1853"/>
      <c r="J11" s="1849">
        <v>1</v>
      </c>
      <c r="K11" s="1849" t="s">
        <v>791</v>
      </c>
      <c r="L11" s="2351">
        <f ca="1">C14</f>
        <v>1133.2062886363642</v>
      </c>
      <c r="M11" s="2351">
        <f t="shared" ref="M11:M35" ca="1" si="0">L11/(1+$B$27)^J11</f>
        <v>1002.8374235720038</v>
      </c>
      <c r="N11" s="1849" t="s">
        <v>818</v>
      </c>
      <c r="O11" s="2351">
        <f ca="1">SUM(M10:M15)</f>
        <v>14666.597927173998</v>
      </c>
    </row>
    <row r="12" spans="1:15" ht="17.25" customHeight="1">
      <c r="A12" s="1867" t="s">
        <v>741</v>
      </c>
      <c r="B12" s="1864">
        <f>-SUM('Inversiones AC'!H12:H15)-'Inversiones AC'!G24+'Financiación Inicial'!B27</f>
        <v>0</v>
      </c>
      <c r="C12" s="1863">
        <f t="array" aca="1" ref="C12:G12" ca="1">-'Datos Evaluación'!B45:F45</f>
        <v>0</v>
      </c>
      <c r="D12" s="1864">
        <f ca="1"/>
        <v>0</v>
      </c>
      <c r="E12" s="1863">
        <f ca="1"/>
        <v>0</v>
      </c>
      <c r="F12" s="1864">
        <f ca="1"/>
        <v>0</v>
      </c>
      <c r="G12" s="1915">
        <f ca="1"/>
        <v>0</v>
      </c>
      <c r="H12" s="1854"/>
      <c r="J12" s="1849">
        <v>2</v>
      </c>
      <c r="K12" s="1849" t="s">
        <v>792</v>
      </c>
      <c r="L12" s="2351">
        <f ca="1">D14</f>
        <v>7350.8751863636371</v>
      </c>
      <c r="M12" s="2351">
        <f t="shared" ca="1" si="0"/>
        <v>5756.8135220954173</v>
      </c>
      <c r="N12" s="1849" t="s">
        <v>819</v>
      </c>
      <c r="O12" s="2351">
        <f>SUMIF(J16:J35,"&lt;="&amp;TEXT(B29,"##0"),M16:M35)</f>
        <v>0</v>
      </c>
    </row>
    <row r="13" spans="1:15" ht="17.25" customHeight="1" thickBot="1">
      <c r="A13" s="1861"/>
      <c r="B13" s="1865"/>
      <c r="C13" s="1862"/>
      <c r="D13" s="1865"/>
      <c r="E13" s="1862"/>
      <c r="F13" s="1865"/>
      <c r="G13" s="1916"/>
      <c r="H13" s="1853"/>
      <c r="J13" s="1849">
        <v>3</v>
      </c>
      <c r="K13" s="1849" t="s">
        <v>793</v>
      </c>
      <c r="L13" s="2351">
        <f ca="1">E14</f>
        <v>3840.8030093181842</v>
      </c>
      <c r="M13" s="2351">
        <f t="shared" ca="1" si="0"/>
        <v>2661.8691488846298</v>
      </c>
    </row>
    <row r="14" spans="1:15" ht="17.25" customHeight="1" thickBot="1">
      <c r="A14" s="1896" t="s">
        <v>752</v>
      </c>
      <c r="B14" s="1919">
        <f t="shared" ref="B14:G14" si="1">SUM(B7:B13)</f>
        <v>0</v>
      </c>
      <c r="C14" s="1911">
        <f t="shared" ca="1" si="1"/>
        <v>1133.2062886363642</v>
      </c>
      <c r="D14" s="1919">
        <f t="shared" ca="1" si="1"/>
        <v>7350.8751863636371</v>
      </c>
      <c r="E14" s="1911">
        <f t="shared" ca="1" si="1"/>
        <v>3840.8030093181842</v>
      </c>
      <c r="F14" s="1919">
        <f t="shared" ca="1" si="1"/>
        <v>4415.8366548159047</v>
      </c>
      <c r="G14" s="1917">
        <f t="shared" ca="1" si="1"/>
        <v>4673.8204970472943</v>
      </c>
      <c r="H14" s="1853"/>
      <c r="J14" s="1849">
        <v>4</v>
      </c>
      <c r="K14" s="1849" t="s">
        <v>794</v>
      </c>
      <c r="L14" s="2351">
        <f ca="1">F14</f>
        <v>4415.8366548159047</v>
      </c>
      <c r="M14" s="2351">
        <f t="shared" ca="1" si="0"/>
        <v>2708.3153187716462</v>
      </c>
    </row>
    <row r="15" spans="1:15" ht="13.5" thickBot="1">
      <c r="A15" s="1910"/>
      <c r="B15" s="1920"/>
      <c r="C15" s="1912"/>
      <c r="D15" s="1920"/>
      <c r="E15" s="1912"/>
      <c r="F15" s="1920"/>
      <c r="G15" s="1918"/>
      <c r="H15" s="1853"/>
      <c r="J15" s="1849">
        <v>5</v>
      </c>
      <c r="K15" s="1849" t="s">
        <v>795</v>
      </c>
      <c r="L15" s="2351">
        <f ca="1">G14</f>
        <v>4673.8204970472943</v>
      </c>
      <c r="M15" s="2351">
        <f t="shared" ca="1" si="0"/>
        <v>2536.7625138503004</v>
      </c>
    </row>
    <row r="16" spans="1:15" ht="18" customHeight="1" thickBot="1">
      <c r="A16" s="1896" t="s">
        <v>782</v>
      </c>
      <c r="B16" s="1919">
        <f>B14</f>
        <v>0</v>
      </c>
      <c r="C16" s="1911">
        <f ca="1">C14+B16</f>
        <v>1133.2062886363642</v>
      </c>
      <c r="D16" s="1919">
        <f ca="1">D14+C16</f>
        <v>8484.0814750000009</v>
      </c>
      <c r="E16" s="1911">
        <f ca="1">E14+D16</f>
        <v>12324.884484318185</v>
      </c>
      <c r="F16" s="1919">
        <f ca="1">F14+E16</f>
        <v>16740.72113913409</v>
      </c>
      <c r="G16" s="1917">
        <f ca="1">G14+F16</f>
        <v>21414.541636181384</v>
      </c>
      <c r="H16" s="1853"/>
      <c r="J16" s="1849">
        <v>6</v>
      </c>
      <c r="K16" s="1849" t="s">
        <v>796</v>
      </c>
      <c r="L16" s="2351">
        <f ca="1">L15*(1+$B$32)</f>
        <v>4814.0351119587131</v>
      </c>
      <c r="M16" s="2351">
        <f t="shared" ca="1" si="0"/>
        <v>2312.2702559874424</v>
      </c>
    </row>
    <row r="17" spans="1:13">
      <c r="A17" s="1857"/>
      <c r="H17" s="1853"/>
      <c r="J17" s="1849">
        <v>7</v>
      </c>
      <c r="K17" s="1849" t="s">
        <v>797</v>
      </c>
      <c r="L17" s="2351">
        <f t="shared" ref="L17:L35" ca="1" si="2">L16*(1+$B$32)</f>
        <v>4958.4561653174742</v>
      </c>
      <c r="M17" s="2351">
        <f t="shared" ca="1" si="0"/>
        <v>2107.6445696168726</v>
      </c>
    </row>
    <row r="18" spans="1:13" ht="15.75" thickBot="1">
      <c r="A18" s="1874"/>
      <c r="B18" s="1872"/>
      <c r="C18" s="1873"/>
      <c r="D18" s="1873"/>
      <c r="H18" s="1853"/>
      <c r="J18" s="1849">
        <v>8</v>
      </c>
      <c r="K18" s="1849" t="s">
        <v>798</v>
      </c>
      <c r="L18" s="2351">
        <f t="shared" ca="1" si="2"/>
        <v>5107.2098502769986</v>
      </c>
      <c r="M18" s="2351">
        <f t="shared" ca="1" si="0"/>
        <v>1921.1273510667068</v>
      </c>
    </row>
    <row r="19" spans="1:13" ht="17.25" customHeight="1" thickBot="1">
      <c r="A19" s="1907" t="s">
        <v>745</v>
      </c>
      <c r="B19" s="1908"/>
      <c r="C19" s="1909"/>
      <c r="D19" s="1873"/>
      <c r="E19" s="1924"/>
      <c r="F19" s="1942" t="s">
        <v>774</v>
      </c>
      <c r="G19" s="1922">
        <f ca="1">IF(G16&lt;0,"N/D",
IF(B16&gt;0,"N/D ( 0 )",
IF(C16&gt;0,0-B16/C14,
IF(D16&gt;0,1-C16/D14,
IF(E16&gt;0,2-D16/E14,
IF(F16&gt;0,3-E16/F14,
              4-F16/G14   ))))))</f>
        <v>0</v>
      </c>
      <c r="H19" s="1853"/>
      <c r="J19" s="1849">
        <v>9</v>
      </c>
      <c r="K19" s="1849" t="s">
        <v>799</v>
      </c>
      <c r="L19" s="2351">
        <f t="shared" ca="1" si="2"/>
        <v>5260.426145785309</v>
      </c>
      <c r="M19" s="2351">
        <f t="shared" ca="1" si="0"/>
        <v>1751.1160810608039</v>
      </c>
    </row>
    <row r="20" spans="1:13" ht="21.75" customHeight="1" thickBot="1">
      <c r="A20" s="1882" t="s">
        <v>742</v>
      </c>
      <c r="B20" s="1883">
        <v>0.03</v>
      </c>
      <c r="C20" s="1884" t="s">
        <v>755</v>
      </c>
      <c r="D20" s="1848"/>
      <c r="E20" s="1853"/>
      <c r="F20" s="1853"/>
      <c r="G20" s="1853"/>
      <c r="H20" s="1853"/>
      <c r="J20" s="1849">
        <v>10</v>
      </c>
      <c r="K20" s="1849" t="s">
        <v>800</v>
      </c>
      <c r="L20" s="2351">
        <f t="shared" ca="1" si="2"/>
        <v>5418.2389301588682</v>
      </c>
      <c r="M20" s="2351">
        <f t="shared" ca="1" si="0"/>
        <v>1596.1500561881667</v>
      </c>
    </row>
    <row r="21" spans="1:13" ht="21" customHeight="1" thickBot="1">
      <c r="A21" s="1885" t="s">
        <v>753</v>
      </c>
      <c r="B21" s="1886"/>
      <c r="C21" s="1887"/>
      <c r="D21" s="1858"/>
      <c r="E21" s="1921"/>
      <c r="F21" s="1941" t="s">
        <v>743</v>
      </c>
      <c r="G21" s="1899" t="str">
        <f ca="1">IF(ISERR(IRR(OFFSET(L10,0,0,IF($B$29="perpetuidad",50,$B$29),1))),"N/D",IRR(OFFSET(L10,0,0,IF($B$29="perpetuidad",50,$B$29),1)))</f>
        <v>N/D</v>
      </c>
      <c r="H21" s="1853"/>
      <c r="J21" s="1849">
        <v>11</v>
      </c>
      <c r="K21" s="1849" t="s">
        <v>801</v>
      </c>
      <c r="L21" s="2351">
        <f t="shared" ca="1" si="2"/>
        <v>5580.7860980636342</v>
      </c>
      <c r="M21" s="2351">
        <f t="shared" ca="1" si="0"/>
        <v>1454.8978388263822</v>
      </c>
    </row>
    <row r="22" spans="1:13" ht="17.25" customHeight="1" thickBot="1">
      <c r="A22" s="1888" t="s">
        <v>759</v>
      </c>
      <c r="B22" s="1881">
        <v>0.06</v>
      </c>
      <c r="C22" s="1889" t="s">
        <v>754</v>
      </c>
      <c r="D22" s="1858"/>
      <c r="H22" s="1853"/>
      <c r="J22" s="1849">
        <v>12</v>
      </c>
      <c r="K22" s="1849" t="s">
        <v>802</v>
      </c>
      <c r="L22" s="2351">
        <f t="shared" ca="1" si="2"/>
        <v>5748.2096810055436</v>
      </c>
      <c r="M22" s="2351">
        <f t="shared" ca="1" si="0"/>
        <v>1326.1458176913043</v>
      </c>
    </row>
    <row r="23" spans="1:13" ht="17.25" customHeight="1" thickBot="1">
      <c r="A23" s="1888" t="s">
        <v>756</v>
      </c>
      <c r="B23" s="1881">
        <f>50%*B22</f>
        <v>0.03</v>
      </c>
      <c r="C23" s="1889" t="s">
        <v>760</v>
      </c>
      <c r="D23" s="1858"/>
      <c r="E23" s="1921" t="s">
        <v>762</v>
      </c>
      <c r="F23" s="1902"/>
      <c r="G23" s="1899" t="str">
        <f ca="1">IF(ISERR(MIRR(OFFSET(L10,0,0,IF($B$29="perpetuidad",50,$B$29),1),G25,G26)),"N/D",MIRR(OFFSET(L10,0,0,IF($B$29="perpetuidad",50,$B$29),1),G25,G26))</f>
        <v>N/D</v>
      </c>
      <c r="H23" s="1853"/>
      <c r="J23" s="1849">
        <v>13</v>
      </c>
      <c r="K23" s="1849" t="s">
        <v>803</v>
      </c>
      <c r="L23" s="2351">
        <f t="shared" ca="1" si="2"/>
        <v>5920.6559714357099</v>
      </c>
      <c r="M23" s="2351">
        <f t="shared" ca="1" si="0"/>
        <v>1208.787780727472</v>
      </c>
    </row>
    <row r="24" spans="1:13" ht="17.25" customHeight="1" thickBot="1">
      <c r="A24" s="1890" t="s">
        <v>757</v>
      </c>
      <c r="B24" s="1891">
        <v>0.01</v>
      </c>
      <c r="C24" s="1892" t="s">
        <v>758</v>
      </c>
      <c r="D24" s="1858"/>
      <c r="E24" s="1930" t="s">
        <v>770</v>
      </c>
      <c r="F24" s="1903"/>
      <c r="G24" s="1901"/>
      <c r="H24" s="1853"/>
      <c r="J24" s="1849">
        <v>14</v>
      </c>
      <c r="K24" s="1849" t="s">
        <v>804</v>
      </c>
      <c r="L24" s="2351">
        <f t="shared" ca="1" si="2"/>
        <v>6098.2756505787811</v>
      </c>
      <c r="M24" s="2351">
        <f t="shared" ca="1" si="0"/>
        <v>1101.81541075159</v>
      </c>
    </row>
    <row r="25" spans="1:13" ht="18.75" customHeight="1" thickBot="1">
      <c r="A25" s="1893" t="s">
        <v>761</v>
      </c>
      <c r="B25" s="1894">
        <f>SUM(B22:B24)</f>
        <v>9.9999999999999992E-2</v>
      </c>
      <c r="C25" s="1895"/>
      <c r="D25" s="1858"/>
      <c r="E25" s="1888" t="s">
        <v>769</v>
      </c>
      <c r="F25" s="1880"/>
      <c r="G25" s="1937">
        <f ca="1">IF(ISERR(MAX('Ratios Básicos'!C42:G43,B27,0)),"N/D",MAX('Ratios Básicos'!C42:G43,B27,0))</f>
        <v>1.0429015377263566</v>
      </c>
      <c r="H25" s="1853"/>
      <c r="J25" s="1849">
        <v>15</v>
      </c>
      <c r="K25" s="1849" t="s">
        <v>805</v>
      </c>
      <c r="L25" s="2351">
        <f t="shared" ca="1" si="2"/>
        <v>6281.2239200961449</v>
      </c>
      <c r="M25" s="2351">
        <f t="shared" ca="1" si="0"/>
        <v>1004.3096221895023</v>
      </c>
    </row>
    <row r="26" spans="1:13" ht="19.5" customHeight="1" thickBot="1">
      <c r="A26" s="1861"/>
      <c r="B26" s="1905"/>
      <c r="C26" s="1906"/>
      <c r="D26" s="1858"/>
      <c r="E26" s="1890" t="s">
        <v>768</v>
      </c>
      <c r="F26" s="1904"/>
      <c r="G26" s="1900">
        <v>0</v>
      </c>
      <c r="H26" s="1853"/>
      <c r="J26" s="1849">
        <v>16</v>
      </c>
      <c r="K26" s="1849" t="s">
        <v>806</v>
      </c>
      <c r="L26" s="2351">
        <f t="shared" ca="1" si="2"/>
        <v>6469.6606376990294</v>
      </c>
      <c r="M26" s="2351">
        <f t="shared" ca="1" si="0"/>
        <v>915.43266447361725</v>
      </c>
    </row>
    <row r="27" spans="1:13" ht="19.5" customHeight="1" thickBot="1">
      <c r="A27" s="1896" t="s">
        <v>771</v>
      </c>
      <c r="B27" s="1898">
        <f>+B20+B25</f>
        <v>0.13</v>
      </c>
      <c r="C27" s="1897"/>
      <c r="D27" s="1858"/>
      <c r="H27" s="1853"/>
      <c r="J27" s="1849">
        <v>17</v>
      </c>
      <c r="K27" s="1849" t="s">
        <v>807</v>
      </c>
      <c r="L27" s="2351">
        <f t="shared" ca="1" si="2"/>
        <v>6663.7504568300001</v>
      </c>
      <c r="M27" s="2351">
        <f t="shared" ca="1" si="0"/>
        <v>834.4209242547131</v>
      </c>
    </row>
    <row r="28" spans="1:13" ht="20.25" customHeight="1" thickBot="1">
      <c r="D28" s="1858"/>
      <c r="E28" s="1927" t="s">
        <v>776</v>
      </c>
      <c r="F28" s="1929"/>
      <c r="G28" s="1928"/>
      <c r="H28" s="1853"/>
      <c r="J28" s="1849">
        <v>18</v>
      </c>
      <c r="K28" s="1849" t="s">
        <v>808</v>
      </c>
      <c r="L28" s="2351">
        <f t="shared" ca="1" si="2"/>
        <v>6863.6629705349005</v>
      </c>
      <c r="M28" s="2351">
        <f t="shared" ca="1" si="0"/>
        <v>760.57836458615463</v>
      </c>
    </row>
    <row r="29" spans="1:13" ht="19.5" customHeight="1" thickBot="1">
      <c r="A29" s="1910" t="s">
        <v>820</v>
      </c>
      <c r="B29" s="1947" t="s">
        <v>788</v>
      </c>
      <c r="C29" s="1943" t="str">
        <f>IF(B29="perpetuidad","","años")</f>
        <v/>
      </c>
      <c r="D29" s="1859"/>
      <c r="E29" s="1931" t="s">
        <v>775</v>
      </c>
      <c r="F29" s="1880"/>
      <c r="G29" s="1925">
        <f ca="1">NPV($B$27,C14:G14) + B14</f>
        <v>14666.597927173996</v>
      </c>
      <c r="H29" s="1853"/>
      <c r="J29" s="1849">
        <v>19</v>
      </c>
      <c r="K29" s="1849" t="s">
        <v>809</v>
      </c>
      <c r="L29" s="2351">
        <f t="shared" ca="1" si="2"/>
        <v>7069.572859650948</v>
      </c>
      <c r="M29" s="2351">
        <f t="shared" ca="1" si="0"/>
        <v>693.27054471127383</v>
      </c>
    </row>
    <row r="30" spans="1:13" ht="18.75" customHeight="1" thickBot="1">
      <c r="D30" s="1853"/>
      <c r="E30" s="1931" t="str">
        <f>"Valor residual  "&amp; IF(B29=5,"","( CF5 a "&amp;B29&amp;" "&amp;C29&amp;")")</f>
        <v>Valor residual  ( CF5 a perpetuidad )</v>
      </c>
      <c r="F30" s="1880"/>
      <c r="G30" s="1925">
        <f ca="1">G14* (  (1+B32 ) / (1+ B27) ^ 5 ) /  ( B27 -B32 )  - IF(B29="perpetuidad",0, G14 * (1+B32)^(B29-4) / (1+B27 )^B29 /  ( B27 -B32 )  )</f>
        <v>26128.653892658094</v>
      </c>
      <c r="H30" s="1853"/>
      <c r="J30" s="1849">
        <v>20</v>
      </c>
      <c r="K30" s="1849" t="s">
        <v>810</v>
      </c>
      <c r="L30" s="2351">
        <f t="shared" ca="1" si="2"/>
        <v>7281.660045440477</v>
      </c>
      <c r="M30" s="2351">
        <f t="shared" ca="1" si="0"/>
        <v>631.91916907310815</v>
      </c>
    </row>
    <row r="31" spans="1:13" ht="21" customHeight="1" thickBot="1">
      <c r="A31" s="1934" t="s">
        <v>783</v>
      </c>
      <c r="B31" s="1940">
        <f>+inflacion</f>
        <v>0.04</v>
      </c>
      <c r="C31" s="1884" t="s">
        <v>784</v>
      </c>
      <c r="D31" s="1853"/>
      <c r="E31" s="1938" t="s">
        <v>856</v>
      </c>
      <c r="F31" s="1939"/>
      <c r="G31" s="1926">
        <f ca="1">SUM(G29:G30)</f>
        <v>40795.25181983209</v>
      </c>
      <c r="H31" s="1853"/>
      <c r="J31" s="1849">
        <v>21</v>
      </c>
      <c r="K31" s="1849" t="s">
        <v>811</v>
      </c>
      <c r="L31" s="2351">
        <f t="shared" ca="1" si="2"/>
        <v>7500.1098468036917</v>
      </c>
      <c r="M31" s="2351">
        <f t="shared" ca="1" si="0"/>
        <v>575.99711871265617</v>
      </c>
    </row>
    <row r="32" spans="1:13" ht="18.75" customHeight="1" thickBot="1">
      <c r="A32" s="1934" t="s">
        <v>778</v>
      </c>
      <c r="B32" s="1935">
        <v>0.03</v>
      </c>
      <c r="C32" s="1936" t="s">
        <v>779</v>
      </c>
      <c r="D32" s="1853"/>
      <c r="E32" s="1924" t="s">
        <v>777</v>
      </c>
      <c r="F32" s="1932"/>
      <c r="G32" s="1933">
        <f ca="1">IF(MIN(G31,SUM(G7:G9))&lt;0,"N/D",G31/SUM(G7:G9))</f>
        <v>8.7284592648786283</v>
      </c>
      <c r="H32" s="1853"/>
      <c r="J32" s="1849">
        <v>22</v>
      </c>
      <c r="K32" s="1849" t="s">
        <v>812</v>
      </c>
      <c r="L32" s="2351">
        <f t="shared" ca="1" si="2"/>
        <v>7725.1131422078024</v>
      </c>
      <c r="M32" s="2351">
        <f t="shared" ca="1" si="0"/>
        <v>525.02392236640355</v>
      </c>
    </row>
    <row r="33" spans="1:13" ht="18.75" customHeight="1">
      <c r="C33" s="1853"/>
      <c r="D33" s="1853"/>
      <c r="H33" s="1853"/>
      <c r="J33" s="1849">
        <v>23</v>
      </c>
      <c r="K33" s="1849" t="s">
        <v>813</v>
      </c>
      <c r="L33" s="2351">
        <f t="shared" ca="1" si="2"/>
        <v>7956.8665364740364</v>
      </c>
      <c r="M33" s="2351">
        <f t="shared" ca="1" si="0"/>
        <v>478.56162835167754</v>
      </c>
    </row>
    <row r="34" spans="1:13" ht="18.75" customHeight="1" thickBot="1">
      <c r="C34" s="1853"/>
      <c r="J34" s="1849">
        <v>24</v>
      </c>
      <c r="K34" s="1849" t="s">
        <v>814</v>
      </c>
      <c r="L34" s="2351">
        <f t="shared" ca="1" si="2"/>
        <v>8195.5725325682579</v>
      </c>
      <c r="M34" s="2351">
        <f t="shared" ca="1" si="0"/>
        <v>436.21104177188312</v>
      </c>
    </row>
    <row r="35" spans="1:13" ht="21.75" customHeight="1">
      <c r="A35" s="1853"/>
      <c r="B35" s="1853"/>
      <c r="C35" s="1853"/>
      <c r="D35" s="1853"/>
      <c r="E35" s="1927" t="s">
        <v>1138</v>
      </c>
      <c r="F35" s="1929"/>
      <c r="G35" s="1928"/>
      <c r="J35" s="1849">
        <v>25</v>
      </c>
      <c r="K35" s="1849" t="s">
        <v>815</v>
      </c>
      <c r="L35" s="2351">
        <f t="shared" ca="1" si="2"/>
        <v>8441.4397085453056</v>
      </c>
      <c r="M35" s="2351">
        <f t="shared" ca="1" si="0"/>
        <v>397.60829471242442</v>
      </c>
    </row>
    <row r="36" spans="1:13" ht="15.75" customHeight="1">
      <c r="A36" s="1853"/>
      <c r="B36" s="1853"/>
      <c r="C36" s="1853"/>
      <c r="D36" s="1853"/>
      <c r="E36" s="2949"/>
      <c r="F36" s="2951" t="s">
        <v>1137</v>
      </c>
      <c r="G36" s="1925">
        <f>'Balances anuales'!B26</f>
        <v>0</v>
      </c>
      <c r="H36" s="1853"/>
      <c r="J36" s="1849">
        <v>26</v>
      </c>
      <c r="K36" s="1849" t="s">
        <v>831</v>
      </c>
      <c r="L36" s="2351">
        <f t="shared" ref="L36:L60" ca="1" si="3">L35*(1+$B$32)</f>
        <v>8694.6828998016645</v>
      </c>
      <c r="M36" s="2351">
        <f t="shared" ref="M36:M60" ca="1" si="4">L36/(1+$B$27)^J36</f>
        <v>362.42171995911258</v>
      </c>
    </row>
    <row r="37" spans="1:13" ht="15.75" customHeight="1">
      <c r="A37" s="1853"/>
      <c r="B37" s="1853"/>
      <c r="C37" s="1853"/>
      <c r="D37" s="1853"/>
      <c r="E37" s="2949"/>
      <c r="F37" s="2951"/>
      <c r="G37" s="1925"/>
      <c r="H37" s="1853"/>
      <c r="J37" s="1849">
        <v>27</v>
      </c>
      <c r="K37" s="1849" t="s">
        <v>832</v>
      </c>
      <c r="L37" s="2351">
        <f t="shared" ca="1" si="3"/>
        <v>8955.523386795714</v>
      </c>
      <c r="M37" s="2351">
        <f t="shared" ca="1" si="4"/>
        <v>330.3490013786602</v>
      </c>
    </row>
    <row r="38" spans="1:13" ht="15.75" customHeight="1">
      <c r="A38" s="1853"/>
      <c r="B38" s="1853"/>
      <c r="C38" s="1853"/>
      <c r="E38" s="2949"/>
      <c r="F38" s="2951" t="s">
        <v>1139</v>
      </c>
      <c r="G38" s="2948">
        <f>+Financiación!D14</f>
        <v>3000</v>
      </c>
      <c r="H38" s="1853"/>
      <c r="J38" s="1849">
        <v>28</v>
      </c>
      <c r="K38" s="1849" t="s">
        <v>833</v>
      </c>
      <c r="L38" s="2351">
        <f t="shared" ca="1" si="3"/>
        <v>9224.1890883995857</v>
      </c>
      <c r="M38" s="2351">
        <f t="shared" ca="1" si="4"/>
        <v>301.11457647789388</v>
      </c>
    </row>
    <row r="39" spans="1:13" ht="15.75" customHeight="1">
      <c r="A39" s="1853"/>
      <c r="B39" s="1944" t="s">
        <v>788</v>
      </c>
      <c r="C39" s="1853"/>
      <c r="D39" s="1853"/>
      <c r="E39" s="2949"/>
      <c r="F39" s="2951" t="s">
        <v>1140</v>
      </c>
      <c r="G39" s="2953">
        <f>G38/(G36+G38)</f>
        <v>1</v>
      </c>
      <c r="H39" s="1853"/>
      <c r="J39" s="1849">
        <v>29</v>
      </c>
      <c r="K39" s="1849" t="s">
        <v>834</v>
      </c>
      <c r="L39" s="2351">
        <f t="shared" ca="1" si="3"/>
        <v>9500.9147610515738</v>
      </c>
      <c r="M39" s="2351">
        <f t="shared" ca="1" si="4"/>
        <v>274.46726882498291</v>
      </c>
    </row>
    <row r="40" spans="1:13" ht="15.75" customHeight="1">
      <c r="A40" s="1853"/>
      <c r="B40" s="1944">
        <v>5</v>
      </c>
      <c r="C40" s="1853"/>
      <c r="D40" s="1853"/>
      <c r="E40" s="2949"/>
      <c r="F40" s="2951"/>
      <c r="G40" s="1925"/>
      <c r="H40" s="1853"/>
      <c r="J40" s="1849">
        <v>30</v>
      </c>
      <c r="K40" s="1849" t="s">
        <v>835</v>
      </c>
      <c r="L40" s="2351">
        <f t="shared" ca="1" si="3"/>
        <v>9785.9422038831217</v>
      </c>
      <c r="M40" s="2351">
        <f t="shared" ca="1" si="4"/>
        <v>250.1781299909137</v>
      </c>
    </row>
    <row r="41" spans="1:13" ht="18.75" customHeight="1" thickBot="1">
      <c r="A41" s="1853"/>
      <c r="B41" s="1944">
        <v>6</v>
      </c>
      <c r="C41" s="1853"/>
      <c r="D41" s="1853"/>
      <c r="E41" s="2950"/>
      <c r="F41" s="2952" t="s">
        <v>1136</v>
      </c>
      <c r="G41" s="1926">
        <f>G36+G38</f>
        <v>3000</v>
      </c>
      <c r="H41" s="1853"/>
      <c r="J41" s="1849">
        <v>31</v>
      </c>
      <c r="K41" s="1849" t="s">
        <v>836</v>
      </c>
      <c r="L41" s="2351">
        <f t="shared" ca="1" si="3"/>
        <v>10079.520469999616</v>
      </c>
      <c r="M41" s="2351">
        <f t="shared" ca="1" si="4"/>
        <v>228.03847246959393</v>
      </c>
    </row>
    <row r="42" spans="1:13">
      <c r="A42" s="1853"/>
      <c r="B42" s="1944">
        <v>7</v>
      </c>
      <c r="C42" s="1853"/>
      <c r="D42" s="1853"/>
      <c r="E42" s="1853"/>
      <c r="F42" s="1853"/>
      <c r="G42" s="2947"/>
      <c r="H42" s="1853"/>
      <c r="J42" s="1849">
        <v>32</v>
      </c>
      <c r="K42" s="1849" t="s">
        <v>837</v>
      </c>
      <c r="L42" s="2351">
        <f t="shared" ca="1" si="3"/>
        <v>10381.906084099604</v>
      </c>
      <c r="M42" s="2351">
        <f t="shared" ca="1" si="4"/>
        <v>207.85807667582458</v>
      </c>
    </row>
    <row r="43" spans="1:13">
      <c r="A43" s="1853"/>
      <c r="B43" s="1944">
        <v>8</v>
      </c>
      <c r="C43" s="1853"/>
      <c r="D43" s="1853"/>
      <c r="E43" s="1853"/>
      <c r="F43" s="1853"/>
      <c r="G43" s="2947"/>
      <c r="H43" s="1853"/>
      <c r="J43" s="1849">
        <v>33</v>
      </c>
      <c r="K43" s="1849" t="s">
        <v>838</v>
      </c>
      <c r="L43" s="2351">
        <f t="shared" ca="1" si="3"/>
        <v>10693.363266622593</v>
      </c>
      <c r="M43" s="2351">
        <f t="shared" ca="1" si="4"/>
        <v>189.46355661601712</v>
      </c>
    </row>
    <row r="44" spans="1:13">
      <c r="A44" s="1853"/>
      <c r="B44" s="1944">
        <v>9</v>
      </c>
      <c r="C44" s="1853"/>
      <c r="D44" s="1853"/>
      <c r="E44" s="1853"/>
      <c r="F44" s="1853"/>
      <c r="G44" s="2947"/>
      <c r="H44" s="1853"/>
      <c r="J44" s="1849">
        <v>34</v>
      </c>
      <c r="K44" s="1849" t="s">
        <v>839</v>
      </c>
      <c r="L44" s="2351">
        <f t="shared" ca="1" si="3"/>
        <v>11014.164164621272</v>
      </c>
      <c r="M44" s="2351">
        <f t="shared" ca="1" si="4"/>
        <v>172.69687018982094</v>
      </c>
    </row>
    <row r="45" spans="1:13">
      <c r="A45" s="1853"/>
      <c r="B45" s="1944">
        <v>10</v>
      </c>
      <c r="C45" s="1853"/>
      <c r="D45" s="1853"/>
      <c r="E45" s="1853"/>
      <c r="F45" s="1853"/>
      <c r="G45" s="1853"/>
      <c r="H45" s="1853"/>
      <c r="J45" s="1849">
        <v>35</v>
      </c>
      <c r="K45" s="1849" t="s">
        <v>840</v>
      </c>
      <c r="L45" s="2351">
        <f t="shared" ca="1" si="3"/>
        <v>11344.58908955991</v>
      </c>
      <c r="M45" s="2351">
        <f t="shared" ca="1" si="4"/>
        <v>157.41396132346512</v>
      </c>
    </row>
    <row r="46" spans="1:13">
      <c r="A46" s="1853"/>
      <c r="B46" s="1944">
        <v>12</v>
      </c>
      <c r="C46" s="1853"/>
      <c r="D46" s="1853"/>
      <c r="E46" s="1853"/>
      <c r="F46" s="1853"/>
      <c r="G46" s="1853"/>
      <c r="H46" s="1853"/>
      <c r="J46" s="1849">
        <v>36</v>
      </c>
      <c r="K46" s="1849" t="s">
        <v>841</v>
      </c>
      <c r="L46" s="2351">
        <f t="shared" ca="1" si="3"/>
        <v>11684.926762246707</v>
      </c>
      <c r="M46" s="2351">
        <f t="shared" ca="1" si="4"/>
        <v>143.48352226829124</v>
      </c>
    </row>
    <row r="47" spans="1:13">
      <c r="A47" s="1853"/>
      <c r="B47" s="1944">
        <v>14</v>
      </c>
      <c r="C47" s="1853"/>
      <c r="D47" s="1853"/>
      <c r="E47" s="1853"/>
      <c r="F47" s="1853"/>
      <c r="G47" s="1853"/>
      <c r="H47" s="1853"/>
      <c r="J47" s="1849">
        <v>37</v>
      </c>
      <c r="K47" s="1849" t="s">
        <v>842</v>
      </c>
      <c r="L47" s="2351">
        <f t="shared" ca="1" si="3"/>
        <v>12035.474565114109</v>
      </c>
      <c r="M47" s="2351">
        <f t="shared" ca="1" si="4"/>
        <v>130.78586543038938</v>
      </c>
    </row>
    <row r="48" spans="1:13">
      <c r="A48" s="1853"/>
      <c r="B48" s="1944">
        <v>16</v>
      </c>
      <c r="C48" s="1853"/>
      <c r="D48" s="1853"/>
      <c r="E48" s="1853"/>
      <c r="F48" s="1853"/>
      <c r="G48" s="1853"/>
      <c r="H48" s="1853"/>
      <c r="J48" s="1849">
        <v>38</v>
      </c>
      <c r="K48" s="1849" t="s">
        <v>843</v>
      </c>
      <c r="L48" s="2351">
        <f t="shared" ca="1" si="3"/>
        <v>12396.538802067533</v>
      </c>
      <c r="M48" s="2351">
        <f t="shared" ca="1" si="4"/>
        <v>119.21189503831955</v>
      </c>
    </row>
    <row r="49" spans="1:13">
      <c r="A49" s="1853"/>
      <c r="B49" s="1944">
        <v>18</v>
      </c>
      <c r="C49" s="1853"/>
      <c r="D49" s="1853"/>
      <c r="E49" s="1853"/>
      <c r="F49" s="1853"/>
      <c r="G49" s="1853"/>
      <c r="H49" s="1853"/>
      <c r="J49" s="1849">
        <v>39</v>
      </c>
      <c r="K49" s="1849" t="s">
        <v>844</v>
      </c>
      <c r="L49" s="2351">
        <f t="shared" ca="1" si="3"/>
        <v>12768.434966129558</v>
      </c>
      <c r="M49" s="2351">
        <f t="shared" ca="1" si="4"/>
        <v>108.66216981368952</v>
      </c>
    </row>
    <row r="50" spans="1:13">
      <c r="A50" s="1853"/>
      <c r="B50" s="1944">
        <v>20</v>
      </c>
      <c r="C50" s="1853"/>
      <c r="D50" s="1853"/>
      <c r="E50" s="1853"/>
      <c r="F50" s="1853"/>
      <c r="G50" s="1853"/>
      <c r="H50" s="1853"/>
      <c r="J50" s="1849">
        <v>40</v>
      </c>
      <c r="K50" s="1849" t="s">
        <v>845</v>
      </c>
      <c r="L50" s="2351">
        <f t="shared" ca="1" si="3"/>
        <v>13151.488015113446</v>
      </c>
      <c r="M50" s="2351">
        <f t="shared" ca="1" si="4"/>
        <v>99.046048591239114</v>
      </c>
    </row>
    <row r="51" spans="1:13">
      <c r="A51" s="1853"/>
      <c r="B51" s="1944">
        <v>25</v>
      </c>
      <c r="C51" s="1853"/>
      <c r="D51" s="1853"/>
      <c r="E51" s="1853"/>
      <c r="F51" s="1853"/>
      <c r="G51" s="1853"/>
      <c r="H51" s="1853"/>
      <c r="J51" s="1849">
        <v>41</v>
      </c>
      <c r="K51" s="1849" t="s">
        <v>846</v>
      </c>
      <c r="L51" s="2351">
        <f t="shared" ca="1" si="3"/>
        <v>13546.032655566849</v>
      </c>
      <c r="M51" s="2351">
        <f t="shared" ca="1" si="4"/>
        <v>90.280911547766635</v>
      </c>
    </row>
    <row r="52" spans="1:13">
      <c r="A52" s="1853"/>
      <c r="B52" s="1944">
        <v>30</v>
      </c>
      <c r="C52" s="1853"/>
      <c r="D52" s="1853"/>
      <c r="E52" s="1853"/>
      <c r="F52" s="1853"/>
      <c r="G52" s="1853"/>
      <c r="H52" s="1853"/>
      <c r="J52" s="1849">
        <v>42</v>
      </c>
      <c r="K52" s="1849" t="s">
        <v>847</v>
      </c>
      <c r="L52" s="2351">
        <f t="shared" ca="1" si="3"/>
        <v>13952.413635233856</v>
      </c>
      <c r="M52" s="2351">
        <f t="shared" ca="1" si="4"/>
        <v>82.291450348849253</v>
      </c>
    </row>
    <row r="53" spans="1:13">
      <c r="A53" s="1853"/>
      <c r="B53" s="1944">
        <v>35</v>
      </c>
      <c r="C53" s="1853"/>
      <c r="D53" s="1853"/>
      <c r="E53" s="1853"/>
      <c r="F53" s="1853"/>
      <c r="G53" s="1853"/>
      <c r="H53" s="1853"/>
      <c r="J53" s="1849">
        <v>43</v>
      </c>
      <c r="K53" s="1849" t="s">
        <v>848</v>
      </c>
      <c r="L53" s="2351">
        <f t="shared" ca="1" si="3"/>
        <v>14370.986044290872</v>
      </c>
      <c r="M53" s="2351">
        <f t="shared" ca="1" si="4"/>
        <v>75.009021114437829</v>
      </c>
    </row>
    <row r="54" spans="1:13">
      <c r="A54" s="1853"/>
      <c r="B54" s="1944">
        <v>40</v>
      </c>
      <c r="C54" s="1853"/>
      <c r="D54" s="1853"/>
      <c r="E54" s="1853"/>
      <c r="F54" s="1853"/>
      <c r="G54" s="1853"/>
      <c r="H54" s="1853"/>
      <c r="J54" s="1849">
        <v>44</v>
      </c>
      <c r="K54" s="1849" t="s">
        <v>849</v>
      </c>
      <c r="L54" s="2351">
        <f t="shared" ca="1" si="3"/>
        <v>14802.115625619599</v>
      </c>
      <c r="M54" s="2351">
        <f t="shared" ca="1" si="4"/>
        <v>68.371054644133608</v>
      </c>
    </row>
    <row r="55" spans="1:13">
      <c r="A55" s="1853"/>
      <c r="B55" s="1944">
        <v>45</v>
      </c>
      <c r="C55" s="1853"/>
      <c r="D55" s="1853"/>
      <c r="E55" s="1853"/>
      <c r="F55" s="1853"/>
      <c r="G55" s="1853"/>
      <c r="H55" s="1853"/>
      <c r="J55" s="1849">
        <v>45</v>
      </c>
      <c r="K55" s="1849" t="s">
        <v>850</v>
      </c>
      <c r="L55" s="2351">
        <f t="shared" ca="1" si="3"/>
        <v>15246.179094388188</v>
      </c>
      <c r="M55" s="2351">
        <f t="shared" ca="1" si="4"/>
        <v>62.320518834918246</v>
      </c>
    </row>
    <row r="56" spans="1:13">
      <c r="A56" s="1853"/>
      <c r="B56" s="1944">
        <v>50</v>
      </c>
      <c r="C56" s="1853"/>
      <c r="D56" s="1853"/>
      <c r="E56" s="1853"/>
      <c r="F56" s="1853"/>
      <c r="G56" s="1853"/>
      <c r="H56" s="1853"/>
      <c r="J56" s="1849">
        <v>46</v>
      </c>
      <c r="K56" s="1849" t="s">
        <v>851</v>
      </c>
      <c r="L56" s="2351">
        <f t="shared" ca="1" si="3"/>
        <v>15703.564467219834</v>
      </c>
      <c r="M56" s="2351">
        <f t="shared" ca="1" si="4"/>
        <v>56.805428672536131</v>
      </c>
    </row>
    <row r="57" spans="1:13">
      <c r="A57" s="1853"/>
      <c r="B57" s="1944">
        <v>60</v>
      </c>
      <c r="C57" s="1853"/>
      <c r="D57" s="1853"/>
      <c r="E57" s="1853"/>
      <c r="F57" s="1853"/>
      <c r="G57" s="1853"/>
      <c r="H57" s="1853"/>
      <c r="J57" s="1849">
        <v>47</v>
      </c>
      <c r="K57" s="1849" t="s">
        <v>852</v>
      </c>
      <c r="L57" s="2351">
        <f t="shared" ca="1" si="3"/>
        <v>16174.67140123643</v>
      </c>
      <c r="M57" s="2351">
        <f t="shared" ca="1" si="4"/>
        <v>51.778399586470982</v>
      </c>
    </row>
    <row r="58" spans="1:13">
      <c r="A58" s="1853"/>
      <c r="B58" s="1944">
        <v>75</v>
      </c>
      <c r="C58" s="1853"/>
      <c r="D58" s="1853"/>
      <c r="E58" s="1853"/>
      <c r="F58" s="1853"/>
      <c r="G58" s="1853"/>
      <c r="H58" s="1853"/>
      <c r="J58" s="1849">
        <v>48</v>
      </c>
      <c r="K58" s="1849" t="s">
        <v>853</v>
      </c>
      <c r="L58" s="2351">
        <f t="shared" ca="1" si="3"/>
        <v>16659.911543273523</v>
      </c>
      <c r="M58" s="2351">
        <f t="shared" ca="1" si="4"/>
        <v>47.196240331031078</v>
      </c>
    </row>
    <row r="59" spans="1:13">
      <c r="A59" s="1853"/>
      <c r="B59" s="1944">
        <v>99</v>
      </c>
      <c r="C59" s="1853"/>
      <c r="D59" s="1853"/>
      <c r="E59" s="1853"/>
      <c r="F59" s="1853"/>
      <c r="G59" s="1853"/>
      <c r="H59" s="1853"/>
      <c r="J59" s="1849">
        <v>49</v>
      </c>
      <c r="K59" s="1849" t="s">
        <v>854</v>
      </c>
      <c r="L59" s="2351">
        <f t="shared" ca="1" si="3"/>
        <v>17159.708889571728</v>
      </c>
      <c r="M59" s="2351">
        <f t="shared" ca="1" si="4"/>
        <v>43.019581894656646</v>
      </c>
    </row>
    <row r="60" spans="1:13">
      <c r="A60" s="1853"/>
      <c r="B60" s="1853"/>
      <c r="C60" s="1853"/>
      <c r="D60" s="1853"/>
      <c r="E60" s="1853"/>
      <c r="F60" s="1853"/>
      <c r="G60" s="1853"/>
      <c r="H60" s="1853"/>
      <c r="J60" s="1849">
        <v>50</v>
      </c>
      <c r="K60" s="1849" t="s">
        <v>855</v>
      </c>
      <c r="L60" s="2351">
        <f t="shared" ca="1" si="3"/>
        <v>17674.50015625888</v>
      </c>
      <c r="M60" s="2351">
        <f t="shared" ca="1" si="4"/>
        <v>39.212539249111813</v>
      </c>
    </row>
    <row r="61" spans="1:13">
      <c r="A61" s="1853"/>
      <c r="B61" s="1853"/>
      <c r="C61" s="1853"/>
      <c r="D61" s="1853"/>
      <c r="E61" s="1853"/>
      <c r="F61" s="1853"/>
      <c r="G61" s="1853"/>
      <c r="H61" s="1853"/>
      <c r="J61" s="1945"/>
      <c r="K61" s="1945"/>
      <c r="L61" s="1946"/>
      <c r="M61" s="1946"/>
    </row>
    <row r="62" spans="1:13">
      <c r="A62" s="1853"/>
      <c r="B62" s="1853"/>
      <c r="C62" s="1853"/>
      <c r="D62" s="1853"/>
      <c r="E62" s="1853"/>
      <c r="F62" s="1853"/>
      <c r="G62" s="1853"/>
      <c r="H62" s="1853"/>
      <c r="J62" s="1945"/>
      <c r="K62" s="1945"/>
      <c r="L62" s="1946"/>
      <c r="M62" s="1946"/>
    </row>
    <row r="63" spans="1:13">
      <c r="A63" s="1853"/>
      <c r="B63" s="1853"/>
      <c r="C63" s="1853"/>
      <c r="D63" s="1853"/>
      <c r="E63" s="1853"/>
      <c r="F63" s="1853"/>
      <c r="G63" s="1853"/>
      <c r="H63" s="1853"/>
      <c r="J63" s="1945"/>
      <c r="K63" s="1945"/>
      <c r="L63" s="1946"/>
      <c r="M63" s="1946"/>
    </row>
    <row r="64" spans="1:13">
      <c r="A64" s="1853"/>
      <c r="B64" s="1853"/>
      <c r="C64" s="1853"/>
      <c r="D64" s="1853"/>
      <c r="E64" s="1853"/>
      <c r="F64" s="1853"/>
      <c r="G64" s="1853"/>
      <c r="H64" s="1853"/>
      <c r="J64" s="1945"/>
      <c r="K64" s="1945"/>
      <c r="L64" s="1946"/>
      <c r="M64" s="1946"/>
    </row>
    <row r="65" spans="1:13">
      <c r="A65" s="1853"/>
      <c r="B65" s="1853"/>
      <c r="C65" s="1853"/>
      <c r="D65" s="1853"/>
      <c r="E65" s="1853"/>
      <c r="F65" s="1853"/>
      <c r="G65" s="1853"/>
      <c r="H65" s="1853"/>
      <c r="J65" s="1945"/>
      <c r="K65" s="1945"/>
      <c r="L65" s="1946"/>
      <c r="M65" s="1946"/>
    </row>
    <row r="66" spans="1:13">
      <c r="A66" s="1853"/>
      <c r="B66" s="1853"/>
      <c r="C66" s="1853"/>
      <c r="D66" s="1853"/>
      <c r="E66" s="1853"/>
      <c r="F66" s="1853"/>
      <c r="G66" s="1853"/>
      <c r="H66" s="1853"/>
      <c r="J66" s="1945"/>
      <c r="K66" s="1945"/>
      <c r="L66" s="1946"/>
      <c r="M66" s="1946"/>
    </row>
    <row r="67" spans="1:13">
      <c r="A67" s="1853"/>
      <c r="B67" s="1853"/>
      <c r="C67" s="1853"/>
      <c r="D67" s="1853"/>
      <c r="E67" s="1853"/>
      <c r="F67" s="1853"/>
      <c r="G67" s="1853"/>
      <c r="H67" s="1853"/>
    </row>
    <row r="68" spans="1:13">
      <c r="A68" s="1853"/>
      <c r="B68" s="1853"/>
      <c r="C68" s="1853"/>
      <c r="D68" s="1853"/>
      <c r="E68" s="1853"/>
      <c r="F68" s="1853"/>
      <c r="G68" s="1853"/>
      <c r="H68" s="1853"/>
    </row>
    <row r="69" spans="1:13">
      <c r="A69" s="1853"/>
      <c r="B69" s="1853"/>
      <c r="C69" s="1853"/>
      <c r="D69" s="1853"/>
      <c r="E69" s="1853"/>
      <c r="F69" s="1853"/>
      <c r="G69" s="1853"/>
      <c r="H69" s="1853"/>
    </row>
    <row r="70" spans="1:13">
      <c r="A70" s="1853"/>
      <c r="B70" s="1853"/>
      <c r="C70" s="1853"/>
      <c r="D70" s="1853"/>
      <c r="E70" s="1853"/>
      <c r="F70" s="1853"/>
      <c r="G70" s="1853"/>
      <c r="H70" s="1853"/>
    </row>
    <row r="71" spans="1:13">
      <c r="A71" s="1853"/>
      <c r="B71" s="1853"/>
      <c r="C71" s="1853"/>
      <c r="D71" s="1853"/>
      <c r="E71" s="1853"/>
      <c r="F71" s="1853"/>
      <c r="G71" s="1853"/>
      <c r="H71" s="1853"/>
    </row>
    <row r="72" spans="1:13">
      <c r="A72" s="1853"/>
      <c r="B72" s="1853"/>
      <c r="C72" s="1853"/>
      <c r="D72" s="1853"/>
      <c r="E72" s="1853"/>
      <c r="F72" s="1853"/>
      <c r="G72" s="1853"/>
      <c r="H72" s="1853"/>
    </row>
    <row r="73" spans="1:13">
      <c r="A73" s="1853"/>
      <c r="B73" s="1853"/>
      <c r="C73" s="1853"/>
      <c r="D73" s="1853"/>
      <c r="E73" s="1853"/>
      <c r="F73" s="1853"/>
      <c r="G73" s="1853"/>
      <c r="H73" s="1853"/>
    </row>
    <row r="74" spans="1:13">
      <c r="A74" s="1853"/>
      <c r="B74" s="1853"/>
      <c r="C74" s="1853"/>
      <c r="D74" s="1853"/>
      <c r="E74" s="1853"/>
      <c r="F74" s="1853"/>
      <c r="G74" s="1853"/>
      <c r="H74" s="1853"/>
    </row>
    <row r="75" spans="1:13">
      <c r="A75" s="1853"/>
      <c r="B75" s="1853"/>
      <c r="C75" s="1853"/>
      <c r="D75" s="1853"/>
      <c r="E75" s="1853"/>
      <c r="F75" s="1853"/>
      <c r="G75" s="1853"/>
      <c r="H75" s="1853"/>
    </row>
    <row r="76" spans="1:13">
      <c r="A76" s="1853"/>
      <c r="B76" s="1853"/>
      <c r="C76" s="1853"/>
      <c r="D76" s="1853"/>
      <c r="E76" s="1853"/>
      <c r="F76" s="1853"/>
      <c r="G76" s="1853"/>
      <c r="H76" s="1853"/>
    </row>
    <row r="77" spans="1:13">
      <c r="A77" s="1853"/>
      <c r="B77" s="1853"/>
      <c r="C77" s="1853"/>
      <c r="D77" s="1853"/>
      <c r="E77" s="1853"/>
      <c r="F77" s="1853"/>
      <c r="G77" s="1853"/>
      <c r="H77" s="1853"/>
    </row>
    <row r="78" spans="1:13">
      <c r="A78" s="1853"/>
      <c r="B78" s="1853"/>
      <c r="C78" s="1853"/>
      <c r="D78" s="1853"/>
      <c r="E78" s="1853"/>
      <c r="F78" s="1853"/>
      <c r="G78" s="1853"/>
      <c r="H78" s="1853"/>
    </row>
    <row r="79" spans="1:13">
      <c r="A79" s="1853"/>
      <c r="B79" s="1853"/>
      <c r="C79" s="1853"/>
      <c r="D79" s="1853"/>
      <c r="E79" s="1853"/>
      <c r="F79" s="1853"/>
      <c r="G79" s="1853"/>
      <c r="H79" s="1853"/>
    </row>
    <row r="80" spans="1:13">
      <c r="A80" s="1853"/>
      <c r="B80" s="1853"/>
      <c r="C80" s="1853"/>
      <c r="D80" s="1853"/>
      <c r="E80" s="1853"/>
      <c r="F80" s="1853"/>
      <c r="G80" s="1853"/>
      <c r="H80" s="1853"/>
    </row>
    <row r="81" spans="1:8">
      <c r="A81" s="1853"/>
      <c r="B81" s="1853"/>
      <c r="C81" s="1853"/>
      <c r="D81" s="1853"/>
      <c r="E81" s="1853"/>
      <c r="F81" s="1853"/>
      <c r="G81" s="1853"/>
      <c r="H81" s="1853"/>
    </row>
    <row r="82" spans="1:8">
      <c r="A82" s="1853"/>
      <c r="B82" s="1853"/>
      <c r="C82" s="1853"/>
      <c r="D82" s="1853"/>
      <c r="E82" s="1853"/>
      <c r="F82" s="1853"/>
      <c r="G82" s="1853"/>
      <c r="H82" s="1853"/>
    </row>
    <row r="83" spans="1:8">
      <c r="A83" s="1853"/>
      <c r="B83" s="1853"/>
      <c r="C83" s="1853"/>
      <c r="D83" s="1853"/>
      <c r="E83" s="1853"/>
      <c r="F83" s="1853"/>
      <c r="G83" s="1853"/>
      <c r="H83" s="1853"/>
    </row>
    <row r="84" spans="1:8">
      <c r="A84" s="1853"/>
      <c r="B84" s="1853"/>
      <c r="C84" s="1853"/>
      <c r="D84" s="1853"/>
      <c r="E84" s="1853"/>
      <c r="F84" s="1853"/>
      <c r="G84" s="1853"/>
      <c r="H84" s="1853"/>
    </row>
    <row r="85" spans="1:8">
      <c r="A85" s="1853"/>
      <c r="B85" s="1853"/>
      <c r="C85" s="1853"/>
      <c r="D85" s="1853"/>
      <c r="E85" s="1853"/>
      <c r="F85" s="1853"/>
      <c r="G85" s="1853"/>
      <c r="H85" s="1853"/>
    </row>
    <row r="86" spans="1:8">
      <c r="A86" s="1853"/>
      <c r="B86" s="1853"/>
      <c r="C86" s="1853"/>
      <c r="D86" s="1853"/>
      <c r="E86" s="1853"/>
      <c r="F86" s="1853"/>
      <c r="G86" s="1853"/>
      <c r="H86" s="1853"/>
    </row>
    <row r="87" spans="1:8">
      <c r="A87" s="1853"/>
      <c r="B87" s="1853"/>
      <c r="C87" s="1853"/>
      <c r="D87" s="1853"/>
      <c r="E87" s="1853"/>
      <c r="F87" s="1853"/>
      <c r="G87" s="1853"/>
      <c r="H87" s="1853"/>
    </row>
    <row r="88" spans="1:8">
      <c r="A88" s="1853"/>
      <c r="B88" s="1853"/>
      <c r="C88" s="1853"/>
      <c r="D88" s="1853"/>
      <c r="E88" s="1853"/>
      <c r="F88" s="1853"/>
      <c r="G88" s="1853"/>
      <c r="H88" s="1853"/>
    </row>
    <row r="89" spans="1:8">
      <c r="A89" s="1853"/>
      <c r="B89" s="1853"/>
      <c r="C89" s="1853"/>
      <c r="D89" s="1853"/>
      <c r="E89" s="1853"/>
      <c r="F89" s="1853"/>
      <c r="G89" s="1853"/>
      <c r="H89" s="1853"/>
    </row>
    <row r="90" spans="1:8">
      <c r="A90" s="1853"/>
      <c r="B90" s="1853"/>
      <c r="C90" s="1853"/>
      <c r="D90" s="1853"/>
      <c r="E90" s="1853"/>
      <c r="F90" s="1853"/>
      <c r="G90" s="1853"/>
      <c r="H90" s="1853"/>
    </row>
    <row r="91" spans="1:8">
      <c r="A91" s="1853"/>
      <c r="B91" s="1853"/>
      <c r="C91" s="1853"/>
      <c r="D91" s="1853"/>
      <c r="E91" s="1853"/>
      <c r="F91" s="1853"/>
      <c r="G91" s="1853"/>
      <c r="H91" s="1853"/>
    </row>
    <row r="92" spans="1:8">
      <c r="A92" s="1853"/>
      <c r="B92" s="1853"/>
      <c r="C92" s="1853"/>
      <c r="D92" s="1853"/>
      <c r="E92" s="1853"/>
      <c r="F92" s="1853"/>
      <c r="G92" s="1853"/>
      <c r="H92" s="1853"/>
    </row>
    <row r="93" spans="1:8">
      <c r="A93" s="1853"/>
      <c r="B93" s="1853"/>
      <c r="C93" s="1853"/>
      <c r="D93" s="1853"/>
      <c r="E93" s="1853"/>
      <c r="F93" s="1853"/>
      <c r="G93" s="1853"/>
      <c r="H93" s="1853"/>
    </row>
    <row r="94" spans="1:8">
      <c r="A94" s="1853"/>
      <c r="B94" s="1853"/>
      <c r="C94" s="1853"/>
      <c r="D94" s="1853"/>
      <c r="E94" s="1853"/>
      <c r="F94" s="1853"/>
      <c r="G94" s="1853"/>
      <c r="H94" s="1853"/>
    </row>
    <row r="95" spans="1:8">
      <c r="A95" s="1853"/>
      <c r="B95" s="1853"/>
      <c r="C95" s="1853"/>
      <c r="D95" s="1853"/>
      <c r="E95" s="1853"/>
      <c r="F95" s="1853"/>
      <c r="G95" s="1853"/>
      <c r="H95" s="1853"/>
    </row>
    <row r="96" spans="1:8">
      <c r="A96" s="1853"/>
      <c r="B96" s="1853"/>
      <c r="C96" s="1853"/>
      <c r="D96" s="1853"/>
      <c r="E96" s="1853"/>
      <c r="F96" s="1853"/>
      <c r="G96" s="1853"/>
      <c r="H96" s="1853"/>
    </row>
    <row r="97" spans="1:8">
      <c r="A97" s="1853"/>
      <c r="B97" s="1853"/>
      <c r="C97" s="1853"/>
      <c r="D97" s="1853"/>
      <c r="E97" s="1853"/>
      <c r="F97" s="1853"/>
      <c r="G97" s="1853"/>
      <c r="H97" s="1853"/>
    </row>
    <row r="98" spans="1:8">
      <c r="A98" s="1853"/>
      <c r="B98" s="1853"/>
      <c r="C98" s="1853"/>
      <c r="D98" s="1853"/>
      <c r="E98" s="1853"/>
      <c r="F98" s="1853"/>
      <c r="G98" s="1853"/>
      <c r="H98" s="1853"/>
    </row>
    <row r="99" spans="1:8">
      <c r="A99" s="1853"/>
      <c r="B99" s="1853"/>
      <c r="C99" s="1853"/>
      <c r="D99" s="1853"/>
      <c r="E99" s="1853"/>
      <c r="F99" s="1853"/>
      <c r="G99" s="1853"/>
      <c r="H99" s="1853"/>
    </row>
    <row r="100" spans="1:8">
      <c r="A100" s="1853"/>
      <c r="B100" s="1853"/>
      <c r="C100" s="1853"/>
      <c r="D100" s="1853"/>
      <c r="E100" s="1853"/>
      <c r="F100" s="1853"/>
      <c r="G100" s="1853"/>
      <c r="H100" s="1853"/>
    </row>
    <row r="101" spans="1:8">
      <c r="A101" s="1853"/>
      <c r="B101" s="1853"/>
      <c r="C101" s="1853"/>
      <c r="D101" s="1853"/>
      <c r="E101" s="1853"/>
      <c r="F101" s="1853"/>
      <c r="G101" s="1853"/>
      <c r="H101" s="1853"/>
    </row>
    <row r="102" spans="1:8">
      <c r="A102" s="1853"/>
      <c r="B102" s="1853"/>
      <c r="C102" s="1853"/>
      <c r="D102" s="1853"/>
      <c r="E102" s="1853"/>
      <c r="F102" s="1853"/>
      <c r="G102" s="1853"/>
      <c r="H102" s="1853"/>
    </row>
    <row r="103" spans="1:8">
      <c r="A103" s="1853"/>
      <c r="B103" s="1853"/>
      <c r="C103" s="1853"/>
      <c r="D103" s="1853"/>
      <c r="E103" s="1853"/>
      <c r="F103" s="1853"/>
      <c r="G103" s="1853"/>
      <c r="H103" s="1853"/>
    </row>
    <row r="104" spans="1:8">
      <c r="A104" s="1853"/>
      <c r="B104" s="1853"/>
      <c r="C104" s="1853"/>
      <c r="D104" s="1853"/>
      <c r="E104" s="1853"/>
      <c r="F104" s="1853"/>
      <c r="G104" s="1853"/>
      <c r="H104" s="1853"/>
    </row>
    <row r="105" spans="1:8">
      <c r="A105" s="1853"/>
      <c r="B105" s="1853"/>
      <c r="C105" s="1853"/>
      <c r="D105" s="1853"/>
      <c r="E105" s="1853"/>
      <c r="F105" s="1853"/>
      <c r="G105" s="1853"/>
      <c r="H105" s="1853"/>
    </row>
    <row r="106" spans="1:8">
      <c r="A106" s="1853"/>
      <c r="B106" s="1853"/>
      <c r="C106" s="1853"/>
      <c r="D106" s="1853"/>
      <c r="E106" s="1853"/>
      <c r="F106" s="1853"/>
      <c r="G106" s="1853"/>
      <c r="H106" s="1853"/>
    </row>
    <row r="107" spans="1:8">
      <c r="A107" s="1853"/>
      <c r="B107" s="1853"/>
      <c r="C107" s="1853"/>
      <c r="D107" s="1853"/>
      <c r="E107" s="1853"/>
      <c r="F107" s="1853"/>
      <c r="G107" s="1853"/>
      <c r="H107" s="1853"/>
    </row>
    <row r="108" spans="1:8">
      <c r="A108" s="1853"/>
      <c r="B108" s="1853"/>
      <c r="C108" s="1853"/>
      <c r="D108" s="1853"/>
      <c r="E108" s="1853"/>
      <c r="F108" s="1853"/>
      <c r="G108" s="1853"/>
      <c r="H108" s="1853"/>
    </row>
    <row r="109" spans="1:8">
      <c r="A109" s="1853"/>
      <c r="B109" s="1853"/>
      <c r="C109" s="1853"/>
      <c r="D109" s="1853"/>
      <c r="E109" s="1853"/>
      <c r="F109" s="1853"/>
      <c r="G109" s="1853"/>
      <c r="H109" s="1853"/>
    </row>
    <row r="110" spans="1:8">
      <c r="A110" s="1853"/>
      <c r="B110" s="1853"/>
      <c r="C110" s="1853"/>
      <c r="D110" s="1853"/>
      <c r="E110" s="1853"/>
      <c r="F110" s="1853"/>
      <c r="G110" s="1853"/>
      <c r="H110" s="1853"/>
    </row>
    <row r="111" spans="1:8">
      <c r="A111" s="1853"/>
      <c r="B111" s="1853"/>
      <c r="C111" s="1853"/>
      <c r="D111" s="1853"/>
      <c r="E111" s="1853"/>
      <c r="F111" s="1853"/>
      <c r="G111" s="1853"/>
      <c r="H111" s="1853"/>
    </row>
    <row r="112" spans="1:8">
      <c r="A112" s="1853"/>
      <c r="B112" s="1853"/>
      <c r="C112" s="1853"/>
      <c r="D112" s="1853"/>
      <c r="E112" s="1853"/>
      <c r="F112" s="1853"/>
      <c r="G112" s="1853"/>
      <c r="H112" s="1853"/>
    </row>
    <row r="113" spans="1:8">
      <c r="A113" s="1853"/>
      <c r="B113" s="1853"/>
      <c r="C113" s="1853"/>
      <c r="D113" s="1853"/>
      <c r="E113" s="1853"/>
      <c r="F113" s="1853"/>
      <c r="G113" s="1853"/>
      <c r="H113" s="1853"/>
    </row>
    <row r="114" spans="1:8">
      <c r="A114" s="1853"/>
      <c r="B114" s="1853"/>
      <c r="C114" s="1853"/>
      <c r="D114" s="1853"/>
      <c r="E114" s="1853"/>
      <c r="F114" s="1853"/>
      <c r="G114" s="1853"/>
      <c r="H114" s="1853"/>
    </row>
    <row r="115" spans="1:8">
      <c r="A115" s="1853"/>
      <c r="B115" s="1853"/>
      <c r="C115" s="1853"/>
      <c r="D115" s="1853"/>
      <c r="E115" s="1853"/>
      <c r="F115" s="1853"/>
      <c r="G115" s="1853"/>
      <c r="H115" s="1853"/>
    </row>
    <row r="116" spans="1:8">
      <c r="A116" s="1853"/>
      <c r="B116" s="1853"/>
      <c r="C116" s="1853"/>
      <c r="D116" s="1853"/>
      <c r="E116" s="1853"/>
      <c r="F116" s="1853"/>
      <c r="G116" s="1853"/>
      <c r="H116" s="1853"/>
    </row>
    <row r="117" spans="1:8">
      <c r="A117" s="1853"/>
      <c r="B117" s="1853"/>
      <c r="C117" s="1853"/>
      <c r="D117" s="1853"/>
      <c r="E117" s="1853"/>
      <c r="F117" s="1853"/>
      <c r="G117" s="1853"/>
      <c r="H117" s="1853"/>
    </row>
    <row r="118" spans="1:8">
      <c r="A118" s="1853"/>
      <c r="B118" s="1853"/>
      <c r="C118" s="1853"/>
      <c r="D118" s="1853"/>
      <c r="E118" s="1853"/>
      <c r="F118" s="1853"/>
      <c r="G118" s="1853"/>
      <c r="H118" s="1853"/>
    </row>
    <row r="119" spans="1:8">
      <c r="A119" s="1853"/>
      <c r="B119" s="1853"/>
      <c r="C119" s="1853"/>
      <c r="D119" s="1853"/>
      <c r="E119" s="1853"/>
      <c r="F119" s="1853"/>
      <c r="G119" s="1853"/>
      <c r="H119" s="1853"/>
    </row>
    <row r="120" spans="1:8">
      <c r="A120" s="1853"/>
      <c r="B120" s="1853"/>
      <c r="C120" s="1853"/>
      <c r="D120" s="1853"/>
      <c r="E120" s="1853"/>
      <c r="F120" s="1853"/>
      <c r="G120" s="1853"/>
      <c r="H120" s="1853"/>
    </row>
    <row r="121" spans="1:8">
      <c r="A121" s="1853"/>
      <c r="B121" s="1853"/>
      <c r="C121" s="1853"/>
      <c r="D121" s="1853"/>
      <c r="E121" s="1853"/>
      <c r="F121" s="1853"/>
      <c r="G121" s="1853"/>
      <c r="H121" s="1853"/>
    </row>
    <row r="122" spans="1:8">
      <c r="A122" s="1853"/>
      <c r="B122" s="1853"/>
      <c r="C122" s="1853"/>
      <c r="D122" s="1853"/>
      <c r="E122" s="1853"/>
      <c r="F122" s="1853"/>
      <c r="G122" s="1853"/>
      <c r="H122" s="1853"/>
    </row>
    <row r="123" spans="1:8">
      <c r="A123" s="1853"/>
      <c r="B123" s="1853"/>
      <c r="C123" s="1853"/>
      <c r="D123" s="1853"/>
      <c r="E123" s="1853"/>
      <c r="F123" s="1853"/>
      <c r="G123" s="1853"/>
      <c r="H123" s="1853"/>
    </row>
    <row r="124" spans="1:8">
      <c r="A124" s="1853"/>
      <c r="B124" s="1853"/>
      <c r="C124" s="1853"/>
      <c r="D124" s="1853"/>
      <c r="E124" s="1853"/>
      <c r="F124" s="1853"/>
      <c r="G124" s="1853"/>
      <c r="H124" s="1853"/>
    </row>
    <row r="125" spans="1:8">
      <c r="A125" s="1853"/>
      <c r="B125" s="1853"/>
      <c r="C125" s="1853"/>
      <c r="D125" s="1853"/>
      <c r="E125" s="1853"/>
      <c r="F125" s="1853"/>
      <c r="G125" s="1853"/>
      <c r="H125" s="1853"/>
    </row>
    <row r="126" spans="1:8">
      <c r="A126" s="1853"/>
      <c r="B126" s="1853"/>
      <c r="C126" s="1853"/>
      <c r="D126" s="1853"/>
      <c r="E126" s="1853"/>
      <c r="F126" s="1853"/>
      <c r="G126" s="1853"/>
      <c r="H126" s="1853"/>
    </row>
    <row r="127" spans="1:8">
      <c r="A127" s="1853"/>
      <c r="B127" s="1853"/>
      <c r="C127" s="1853"/>
      <c r="D127" s="1853"/>
      <c r="E127" s="1853"/>
      <c r="F127" s="1853"/>
      <c r="G127" s="1853"/>
      <c r="H127" s="1853"/>
    </row>
    <row r="128" spans="1:8">
      <c r="A128" s="1853"/>
      <c r="B128" s="1853"/>
      <c r="C128" s="1853"/>
      <c r="D128" s="1853"/>
      <c r="E128" s="1853"/>
      <c r="F128" s="1853"/>
      <c r="G128" s="1853"/>
      <c r="H128" s="1853"/>
    </row>
    <row r="129" spans="1:8">
      <c r="A129" s="1853"/>
      <c r="B129" s="1853"/>
      <c r="C129" s="1853"/>
      <c r="D129" s="1853"/>
      <c r="E129" s="1853"/>
      <c r="F129" s="1853"/>
      <c r="G129" s="1853"/>
      <c r="H129" s="1853"/>
    </row>
    <row r="130" spans="1:8">
      <c r="A130" s="1853"/>
      <c r="B130" s="1853"/>
      <c r="C130" s="1853"/>
      <c r="D130" s="1853"/>
      <c r="E130" s="1853"/>
      <c r="F130" s="1853"/>
      <c r="G130" s="1853"/>
      <c r="H130" s="1853"/>
    </row>
    <row r="131" spans="1:8">
      <c r="A131" s="1853"/>
      <c r="B131" s="1853"/>
      <c r="C131" s="1853"/>
      <c r="D131" s="1853"/>
      <c r="E131" s="1853"/>
      <c r="F131" s="1853"/>
      <c r="G131" s="1853"/>
      <c r="H131" s="1853"/>
    </row>
    <row r="132" spans="1:8">
      <c r="A132" s="1853"/>
      <c r="B132" s="1853"/>
      <c r="C132" s="1853"/>
      <c r="D132" s="1853"/>
      <c r="E132" s="1853"/>
      <c r="F132" s="1853"/>
      <c r="G132" s="1853"/>
      <c r="H132" s="1853"/>
    </row>
    <row r="133" spans="1:8">
      <c r="A133" s="1853"/>
      <c r="B133" s="1853"/>
      <c r="C133" s="1853"/>
      <c r="D133" s="1853"/>
      <c r="E133" s="1853"/>
      <c r="F133" s="1853"/>
      <c r="G133" s="1853"/>
      <c r="H133" s="1853"/>
    </row>
    <row r="134" spans="1:8">
      <c r="A134" s="1853"/>
      <c r="B134" s="1853"/>
      <c r="C134" s="1853"/>
      <c r="D134" s="1853"/>
      <c r="E134" s="1853"/>
      <c r="F134" s="1853"/>
      <c r="G134" s="1853"/>
      <c r="H134" s="1853"/>
    </row>
    <row r="135" spans="1:8">
      <c r="A135" s="1853"/>
      <c r="B135" s="1853"/>
      <c r="C135" s="1853"/>
      <c r="D135" s="1853"/>
      <c r="E135" s="1853"/>
      <c r="F135" s="1853"/>
      <c r="G135" s="1853"/>
      <c r="H135" s="1853"/>
    </row>
    <row r="136" spans="1:8">
      <c r="A136" s="1853"/>
      <c r="B136" s="1853"/>
      <c r="C136" s="1853"/>
      <c r="D136" s="1853"/>
      <c r="E136" s="1853"/>
      <c r="F136" s="1853"/>
      <c r="G136" s="1853"/>
      <c r="H136" s="1853"/>
    </row>
    <row r="137" spans="1:8">
      <c r="A137" s="1853"/>
      <c r="B137" s="1853"/>
      <c r="C137" s="1853"/>
      <c r="D137" s="1853"/>
      <c r="E137" s="1853"/>
      <c r="F137" s="1853"/>
      <c r="G137" s="1853"/>
      <c r="H137" s="1853"/>
    </row>
    <row r="138" spans="1:8">
      <c r="A138" s="1853"/>
      <c r="B138" s="1853"/>
      <c r="C138" s="1853"/>
      <c r="D138" s="1853"/>
      <c r="E138" s="1853"/>
      <c r="F138" s="1853"/>
      <c r="G138" s="1853"/>
      <c r="H138" s="1853"/>
    </row>
    <row r="139" spans="1:8">
      <c r="A139" s="1853"/>
      <c r="B139" s="1853"/>
      <c r="C139" s="1853"/>
      <c r="D139" s="1853"/>
      <c r="E139" s="1853"/>
      <c r="F139" s="1853"/>
      <c r="G139" s="1853"/>
      <c r="H139" s="1853"/>
    </row>
    <row r="140" spans="1:8">
      <c r="A140" s="1853"/>
      <c r="B140" s="1853"/>
      <c r="C140" s="1853"/>
      <c r="D140" s="1853"/>
      <c r="E140" s="1853"/>
      <c r="F140" s="1853"/>
      <c r="G140" s="1853"/>
      <c r="H140" s="1853"/>
    </row>
    <row r="141" spans="1:8">
      <c r="A141" s="1853"/>
      <c r="B141" s="1853"/>
      <c r="C141" s="1853"/>
      <c r="D141" s="1853"/>
      <c r="E141" s="1853"/>
      <c r="F141" s="1853"/>
      <c r="G141" s="1853"/>
      <c r="H141" s="1853"/>
    </row>
    <row r="142" spans="1:8">
      <c r="A142" s="1853"/>
      <c r="B142" s="1853"/>
      <c r="C142" s="1853"/>
      <c r="D142" s="1853"/>
      <c r="E142" s="1853"/>
      <c r="F142" s="1853"/>
      <c r="G142" s="1853"/>
      <c r="H142" s="1853"/>
    </row>
    <row r="143" spans="1:8">
      <c r="A143" s="1853"/>
      <c r="B143" s="1853"/>
      <c r="C143" s="1853"/>
      <c r="D143" s="1853"/>
      <c r="E143" s="1853"/>
      <c r="F143" s="1853"/>
      <c r="G143" s="1853"/>
      <c r="H143" s="1853"/>
    </row>
    <row r="144" spans="1:8">
      <c r="A144" s="1853"/>
      <c r="B144" s="1853"/>
      <c r="C144" s="1853"/>
      <c r="D144" s="1853"/>
      <c r="E144" s="1853"/>
      <c r="F144" s="1853"/>
      <c r="G144" s="1853"/>
      <c r="H144" s="1853"/>
    </row>
    <row r="145" spans="1:8">
      <c r="A145" s="1853"/>
      <c r="B145" s="1853"/>
      <c r="C145" s="1853"/>
      <c r="D145" s="1853"/>
      <c r="E145" s="1853"/>
      <c r="F145" s="1853"/>
      <c r="G145" s="1853"/>
      <c r="H145" s="1853"/>
    </row>
    <row r="146" spans="1:8">
      <c r="A146" s="1853"/>
      <c r="B146" s="1853"/>
      <c r="C146" s="1853"/>
      <c r="D146" s="1853"/>
      <c r="E146" s="1853"/>
      <c r="F146" s="1853"/>
      <c r="G146" s="1853"/>
      <c r="H146" s="1853"/>
    </row>
    <row r="147" spans="1:8">
      <c r="A147" s="1853"/>
      <c r="B147" s="1853"/>
      <c r="C147" s="1853"/>
      <c r="D147" s="1853"/>
      <c r="E147" s="1853"/>
      <c r="F147" s="1853"/>
      <c r="G147" s="1853"/>
      <c r="H147" s="1853"/>
    </row>
    <row r="148" spans="1:8">
      <c r="A148" s="1853"/>
      <c r="B148" s="1853"/>
      <c r="C148" s="1853"/>
      <c r="D148" s="1853"/>
      <c r="E148" s="1853"/>
      <c r="F148" s="1853"/>
      <c r="G148" s="1853"/>
      <c r="H148" s="1853"/>
    </row>
    <row r="149" spans="1:8">
      <c r="A149" s="1853"/>
      <c r="B149" s="1853"/>
      <c r="C149" s="1853"/>
      <c r="D149" s="1853"/>
      <c r="E149" s="1853"/>
      <c r="F149" s="1853"/>
      <c r="G149" s="1853"/>
      <c r="H149" s="1853"/>
    </row>
    <row r="150" spans="1:8">
      <c r="A150" s="1853"/>
      <c r="B150" s="1853"/>
      <c r="C150" s="1853"/>
      <c r="D150" s="1853"/>
      <c r="E150" s="1853"/>
      <c r="F150" s="1853"/>
      <c r="G150" s="1853"/>
      <c r="H150" s="1853"/>
    </row>
    <row r="151" spans="1:8">
      <c r="A151" s="1853"/>
      <c r="B151" s="1853"/>
      <c r="C151" s="1853"/>
      <c r="D151" s="1853"/>
      <c r="E151" s="1853"/>
      <c r="F151" s="1853"/>
      <c r="G151" s="1853"/>
      <c r="H151" s="1853"/>
    </row>
    <row r="152" spans="1:8">
      <c r="A152" s="1853"/>
      <c r="B152" s="1853"/>
      <c r="C152" s="1853"/>
      <c r="D152" s="1853"/>
      <c r="E152" s="1853"/>
      <c r="F152" s="1853"/>
      <c r="G152" s="1853"/>
      <c r="H152" s="1853"/>
    </row>
    <row r="153" spans="1:8">
      <c r="A153" s="1853"/>
      <c r="B153" s="1853"/>
      <c r="C153" s="1853"/>
      <c r="D153" s="1853"/>
      <c r="E153" s="1853"/>
      <c r="F153" s="1853"/>
      <c r="G153" s="1853"/>
      <c r="H153" s="1853"/>
    </row>
    <row r="154" spans="1:8">
      <c r="A154" s="1853"/>
      <c r="B154" s="1853"/>
      <c r="C154" s="1853"/>
      <c r="D154" s="1853"/>
      <c r="E154" s="1853"/>
      <c r="F154" s="1853"/>
      <c r="G154" s="1853"/>
      <c r="H154" s="1853"/>
    </row>
    <row r="155" spans="1:8">
      <c r="A155" s="1853"/>
      <c r="B155" s="1853"/>
      <c r="C155" s="1853"/>
      <c r="D155" s="1853"/>
      <c r="E155" s="1853"/>
      <c r="F155" s="1853"/>
      <c r="G155" s="1853"/>
      <c r="H155" s="1853"/>
    </row>
    <row r="156" spans="1:8">
      <c r="A156" s="1853"/>
      <c r="B156" s="1853"/>
      <c r="C156" s="1853"/>
      <c r="D156" s="1853"/>
      <c r="E156" s="1853"/>
      <c r="F156" s="1853"/>
      <c r="G156" s="1853"/>
      <c r="H156" s="1853"/>
    </row>
    <row r="157" spans="1:8">
      <c r="A157" s="1853"/>
      <c r="B157" s="1853"/>
      <c r="C157" s="1853"/>
      <c r="D157" s="1853"/>
      <c r="E157" s="1853"/>
      <c r="F157" s="1853"/>
      <c r="G157" s="1853"/>
      <c r="H157" s="1853"/>
    </row>
    <row r="158" spans="1:8">
      <c r="A158" s="1853"/>
      <c r="B158" s="1853"/>
      <c r="C158" s="1853"/>
      <c r="D158" s="1853"/>
      <c r="E158" s="1853"/>
      <c r="F158" s="1853"/>
      <c r="G158" s="1853"/>
      <c r="H158" s="1853"/>
    </row>
    <row r="159" spans="1:8">
      <c r="A159" s="1853"/>
      <c r="B159" s="1853"/>
      <c r="C159" s="1853"/>
      <c r="D159" s="1853"/>
      <c r="E159" s="1853"/>
      <c r="F159" s="1853"/>
      <c r="G159" s="1853"/>
      <c r="H159" s="1853"/>
    </row>
    <row r="160" spans="1:8">
      <c r="A160" s="1853"/>
      <c r="B160" s="1853"/>
      <c r="C160" s="1853"/>
      <c r="D160" s="1853"/>
      <c r="E160" s="1853"/>
      <c r="F160" s="1853"/>
      <c r="G160" s="1853"/>
      <c r="H160" s="1853"/>
    </row>
    <row r="161" spans="1:8">
      <c r="A161" s="1853"/>
      <c r="B161" s="1853"/>
      <c r="C161" s="1853"/>
      <c r="D161" s="1853"/>
      <c r="E161" s="1853"/>
      <c r="F161" s="1853"/>
      <c r="G161" s="1853"/>
      <c r="H161" s="1853"/>
    </row>
    <row r="162" spans="1:8">
      <c r="A162" s="1853"/>
      <c r="B162" s="1853"/>
      <c r="C162" s="1853"/>
      <c r="D162" s="1853"/>
      <c r="E162" s="1853"/>
      <c r="F162" s="1853"/>
      <c r="G162" s="1853"/>
      <c r="H162" s="1853"/>
    </row>
    <row r="163" spans="1:8">
      <c r="A163" s="1853"/>
      <c r="B163" s="1853"/>
      <c r="C163" s="1853"/>
      <c r="D163" s="1853"/>
      <c r="E163" s="1853"/>
      <c r="F163" s="1853"/>
      <c r="G163" s="1853"/>
      <c r="H163" s="1853"/>
    </row>
    <row r="164" spans="1:8">
      <c r="A164" s="1853"/>
      <c r="B164" s="1853"/>
      <c r="C164" s="1853"/>
      <c r="D164" s="1853"/>
      <c r="E164" s="1853"/>
      <c r="F164" s="1853"/>
      <c r="G164" s="1853"/>
      <c r="H164" s="1853"/>
    </row>
    <row r="165" spans="1:8">
      <c r="A165" s="1853"/>
      <c r="B165" s="1853"/>
      <c r="C165" s="1853"/>
      <c r="D165" s="1853"/>
      <c r="E165" s="1853"/>
      <c r="F165" s="1853"/>
      <c r="G165" s="1853"/>
      <c r="H165" s="1853"/>
    </row>
    <row r="166" spans="1:8">
      <c r="A166" s="1853"/>
      <c r="B166" s="1853"/>
      <c r="C166" s="1853"/>
      <c r="D166" s="1853"/>
      <c r="E166" s="1853"/>
      <c r="F166" s="1853"/>
      <c r="G166" s="1853"/>
      <c r="H166" s="1853"/>
    </row>
    <row r="167" spans="1:8">
      <c r="A167" s="1853"/>
      <c r="B167" s="1853"/>
      <c r="C167" s="1853"/>
      <c r="D167" s="1853"/>
      <c r="E167" s="1853"/>
      <c r="F167" s="1853"/>
      <c r="G167" s="1853"/>
      <c r="H167" s="1853"/>
    </row>
    <row r="168" spans="1:8">
      <c r="A168" s="1853"/>
      <c r="B168" s="1853"/>
      <c r="C168" s="1853"/>
      <c r="D168" s="1853"/>
      <c r="E168" s="1853"/>
      <c r="F168" s="1853"/>
      <c r="G168" s="1853"/>
      <c r="H168" s="1853"/>
    </row>
    <row r="169" spans="1:8">
      <c r="A169" s="1853"/>
      <c r="B169" s="1853"/>
      <c r="C169" s="1853"/>
      <c r="D169" s="1853"/>
      <c r="E169" s="1853"/>
      <c r="F169" s="1853"/>
      <c r="G169" s="1853"/>
      <c r="H169" s="1853"/>
    </row>
    <row r="170" spans="1:8">
      <c r="A170" s="1853"/>
      <c r="B170" s="1853"/>
      <c r="C170" s="1853"/>
      <c r="D170" s="1853"/>
      <c r="E170" s="1853"/>
      <c r="F170" s="1853"/>
      <c r="G170" s="1853"/>
      <c r="H170" s="1853"/>
    </row>
    <row r="171" spans="1:8">
      <c r="A171" s="1853"/>
      <c r="B171" s="1853"/>
      <c r="C171" s="1853"/>
      <c r="D171" s="1853"/>
      <c r="E171" s="1853"/>
      <c r="F171" s="1853"/>
      <c r="G171" s="1853"/>
      <c r="H171" s="1853"/>
    </row>
    <row r="172" spans="1:8">
      <c r="A172" s="1853"/>
      <c r="B172" s="1853"/>
      <c r="C172" s="1853"/>
      <c r="D172" s="1853"/>
      <c r="E172" s="1853"/>
      <c r="F172" s="1853"/>
      <c r="G172" s="1853"/>
      <c r="H172" s="1853"/>
    </row>
    <row r="173" spans="1:8">
      <c r="A173" s="1853"/>
      <c r="B173" s="1853"/>
      <c r="C173" s="1853"/>
      <c r="D173" s="1853"/>
      <c r="E173" s="1853"/>
      <c r="F173" s="1853"/>
      <c r="G173" s="1853"/>
      <c r="H173" s="1853"/>
    </row>
    <row r="174" spans="1:8">
      <c r="A174" s="1853"/>
      <c r="B174" s="1853"/>
      <c r="C174" s="1853"/>
      <c r="D174" s="1853"/>
      <c r="E174" s="1853"/>
      <c r="F174" s="1853"/>
      <c r="G174" s="1853"/>
      <c r="H174" s="1853"/>
    </row>
    <row r="175" spans="1:8">
      <c r="A175" s="1853"/>
      <c r="B175" s="1853"/>
      <c r="C175" s="1853"/>
      <c r="D175" s="1853"/>
      <c r="E175" s="1853"/>
      <c r="F175" s="1853"/>
      <c r="G175" s="1853"/>
      <c r="H175" s="1853"/>
    </row>
    <row r="176" spans="1:8">
      <c r="A176" s="1853"/>
      <c r="B176" s="1853"/>
      <c r="C176" s="1853"/>
      <c r="D176" s="1853"/>
      <c r="E176" s="1853"/>
      <c r="F176" s="1853"/>
      <c r="G176" s="1853"/>
      <c r="H176" s="1853"/>
    </row>
    <row r="177" spans="1:8">
      <c r="A177" s="1853"/>
      <c r="B177" s="1853"/>
      <c r="C177" s="1853"/>
      <c r="D177" s="1853"/>
      <c r="E177" s="1853"/>
      <c r="F177" s="1853"/>
      <c r="G177" s="1853"/>
      <c r="H177" s="1853"/>
    </row>
    <row r="178" spans="1:8">
      <c r="A178" s="1853"/>
      <c r="B178" s="1853"/>
      <c r="C178" s="1853"/>
      <c r="D178" s="1853"/>
      <c r="E178" s="1853"/>
      <c r="F178" s="1853"/>
      <c r="G178" s="1853"/>
      <c r="H178" s="1853"/>
    </row>
    <row r="179" spans="1:8">
      <c r="A179" s="1853"/>
      <c r="B179" s="1853"/>
      <c r="C179" s="1853"/>
      <c r="D179" s="1853"/>
      <c r="E179" s="1853"/>
      <c r="F179" s="1853"/>
      <c r="G179" s="1853"/>
      <c r="H179" s="1853"/>
    </row>
    <row r="180" spans="1:8">
      <c r="A180" s="1853"/>
      <c r="B180" s="1853"/>
      <c r="C180" s="1853"/>
      <c r="D180" s="1853"/>
      <c r="E180" s="1853"/>
      <c r="F180" s="1853"/>
      <c r="G180" s="1853"/>
      <c r="H180" s="1853"/>
    </row>
    <row r="181" spans="1:8">
      <c r="A181" s="1853"/>
      <c r="B181" s="1853"/>
      <c r="C181" s="1853"/>
      <c r="D181" s="1853"/>
      <c r="E181" s="1853"/>
      <c r="F181" s="1853"/>
      <c r="G181" s="1853"/>
      <c r="H181" s="1853"/>
    </row>
    <row r="182" spans="1:8">
      <c r="A182" s="1853"/>
      <c r="B182" s="1853"/>
      <c r="C182" s="1853"/>
      <c r="D182" s="1853"/>
      <c r="E182" s="1853"/>
      <c r="F182" s="1853"/>
      <c r="G182" s="1853"/>
      <c r="H182" s="1853"/>
    </row>
    <row r="183" spans="1:8">
      <c r="A183" s="1853"/>
      <c r="B183" s="1853"/>
      <c r="C183" s="1853"/>
      <c r="D183" s="1853"/>
      <c r="E183" s="1853"/>
      <c r="F183" s="1853"/>
      <c r="G183" s="1853"/>
      <c r="H183" s="1853"/>
    </row>
    <row r="184" spans="1:8">
      <c r="A184" s="1853"/>
      <c r="B184" s="1853"/>
      <c r="C184" s="1853"/>
      <c r="D184" s="1853"/>
      <c r="E184" s="1853"/>
      <c r="F184" s="1853"/>
      <c r="G184" s="1853"/>
      <c r="H184" s="1853"/>
    </row>
    <row r="185" spans="1:8">
      <c r="A185" s="1853"/>
      <c r="B185" s="1853"/>
      <c r="C185" s="1853"/>
      <c r="D185" s="1853"/>
      <c r="E185" s="1853"/>
      <c r="F185" s="1853"/>
      <c r="G185" s="1853"/>
      <c r="H185" s="1853"/>
    </row>
    <row r="186" spans="1:8">
      <c r="A186" s="1853"/>
      <c r="B186" s="1853"/>
      <c r="C186" s="1853"/>
      <c r="D186" s="1853"/>
      <c r="E186" s="1853"/>
      <c r="F186" s="1853"/>
      <c r="G186" s="1853"/>
      <c r="H186" s="1853"/>
    </row>
    <row r="187" spans="1:8">
      <c r="A187" s="1853"/>
      <c r="B187" s="1853"/>
      <c r="C187" s="1853"/>
      <c r="D187" s="1853"/>
      <c r="E187" s="1853"/>
      <c r="F187" s="1853"/>
      <c r="G187" s="1853"/>
      <c r="H187" s="1853"/>
    </row>
    <row r="188" spans="1:8">
      <c r="A188" s="1853"/>
      <c r="B188" s="1853"/>
      <c r="C188" s="1853"/>
      <c r="D188" s="1853"/>
      <c r="E188" s="1853"/>
      <c r="F188" s="1853"/>
      <c r="G188" s="1853"/>
      <c r="H188" s="1853"/>
    </row>
    <row r="189" spans="1:8">
      <c r="A189" s="1853"/>
      <c r="B189" s="1853"/>
      <c r="C189" s="1853"/>
      <c r="D189" s="1853"/>
      <c r="E189" s="1853"/>
      <c r="F189" s="1853"/>
      <c r="G189" s="1853"/>
      <c r="H189" s="1853"/>
    </row>
    <row r="190" spans="1:8">
      <c r="A190" s="1853"/>
      <c r="B190" s="1853"/>
      <c r="C190" s="1853"/>
      <c r="D190" s="1853"/>
      <c r="E190" s="1853"/>
      <c r="F190" s="1853"/>
      <c r="G190" s="1853"/>
      <c r="H190" s="1853"/>
    </row>
    <row r="191" spans="1:8">
      <c r="A191" s="1853"/>
      <c r="B191" s="1853"/>
      <c r="C191" s="1853"/>
      <c r="D191" s="1853"/>
      <c r="E191" s="1853"/>
      <c r="F191" s="1853"/>
      <c r="G191" s="1853"/>
      <c r="H191" s="1853"/>
    </row>
    <row r="192" spans="1:8">
      <c r="A192" s="1853"/>
      <c r="B192" s="1853"/>
      <c r="C192" s="1853"/>
      <c r="D192" s="1853"/>
      <c r="E192" s="1853"/>
      <c r="F192" s="1853"/>
      <c r="G192" s="1853"/>
      <c r="H192" s="1853"/>
    </row>
    <row r="193" spans="1:8">
      <c r="A193" s="1853"/>
      <c r="B193" s="1853"/>
      <c r="C193" s="1853"/>
      <c r="D193" s="1853"/>
      <c r="E193" s="1853"/>
      <c r="F193" s="1853"/>
      <c r="G193" s="1853"/>
      <c r="H193" s="1853"/>
    </row>
    <row r="194" spans="1:8">
      <c r="A194" s="1853"/>
      <c r="B194" s="1853"/>
      <c r="C194" s="1853"/>
      <c r="D194" s="1853"/>
      <c r="E194" s="1853"/>
      <c r="F194" s="1853"/>
      <c r="G194" s="1853"/>
      <c r="H194" s="1853"/>
    </row>
    <row r="195" spans="1:8">
      <c r="A195" s="1853"/>
      <c r="B195" s="1853"/>
      <c r="C195" s="1853"/>
      <c r="D195" s="1853"/>
      <c r="E195" s="1853"/>
      <c r="F195" s="1853"/>
      <c r="G195" s="1853"/>
      <c r="H195" s="1853"/>
    </row>
    <row r="196" spans="1:8">
      <c r="A196" s="1853"/>
      <c r="B196" s="1853"/>
      <c r="C196" s="1853"/>
      <c r="D196" s="1853"/>
      <c r="E196" s="1853"/>
      <c r="F196" s="1853"/>
      <c r="G196" s="1853"/>
      <c r="H196" s="1853"/>
    </row>
    <row r="197" spans="1:8">
      <c r="A197" s="1853"/>
      <c r="B197" s="1853"/>
      <c r="C197" s="1853"/>
      <c r="D197" s="1853"/>
      <c r="E197" s="1853"/>
      <c r="F197" s="1853"/>
      <c r="G197" s="1853"/>
      <c r="H197" s="1853"/>
    </row>
    <row r="198" spans="1:8">
      <c r="A198" s="1853"/>
      <c r="B198" s="1853"/>
      <c r="C198" s="1853"/>
      <c r="D198" s="1853"/>
      <c r="E198" s="1853"/>
      <c r="F198" s="1853"/>
      <c r="G198" s="1853"/>
      <c r="H198" s="1853"/>
    </row>
    <row r="199" spans="1:8">
      <c r="A199" s="1853"/>
      <c r="B199" s="1853"/>
      <c r="C199" s="1853"/>
      <c r="D199" s="1853"/>
      <c r="E199" s="1853"/>
      <c r="F199" s="1853"/>
      <c r="G199" s="1853"/>
      <c r="H199" s="1853"/>
    </row>
    <row r="200" spans="1:8">
      <c r="A200" s="1853"/>
      <c r="B200" s="1853"/>
      <c r="C200" s="1853"/>
      <c r="D200" s="1853"/>
      <c r="E200" s="1853"/>
      <c r="F200" s="1853"/>
      <c r="G200" s="1853"/>
      <c r="H200" s="1853"/>
    </row>
    <row r="201" spans="1:8">
      <c r="A201" s="1853"/>
      <c r="B201" s="1853"/>
      <c r="C201" s="1853"/>
      <c r="D201" s="1853"/>
      <c r="E201" s="1853"/>
      <c r="F201" s="1853"/>
      <c r="G201" s="1853"/>
      <c r="H201" s="1853"/>
    </row>
    <row r="202" spans="1:8">
      <c r="A202" s="1853"/>
      <c r="B202" s="1853"/>
      <c r="C202" s="1853"/>
      <c r="D202" s="1853"/>
      <c r="E202" s="1853"/>
      <c r="F202" s="1853"/>
      <c r="G202" s="1853"/>
      <c r="H202" s="1853"/>
    </row>
    <row r="203" spans="1:8">
      <c r="A203" s="1853"/>
      <c r="B203" s="1853"/>
      <c r="C203" s="1853"/>
      <c r="D203" s="1853"/>
      <c r="E203" s="1853"/>
      <c r="F203" s="1853"/>
      <c r="G203" s="1853"/>
      <c r="H203" s="1853"/>
    </row>
    <row r="204" spans="1:8">
      <c r="A204" s="1853"/>
      <c r="B204" s="1853"/>
      <c r="C204" s="1853"/>
      <c r="D204" s="1853"/>
      <c r="E204" s="1853"/>
      <c r="F204" s="1853"/>
      <c r="G204" s="1853"/>
      <c r="H204" s="1853"/>
    </row>
    <row r="205" spans="1:8">
      <c r="A205" s="1853"/>
      <c r="B205" s="1853"/>
      <c r="C205" s="1853"/>
      <c r="D205" s="1853"/>
      <c r="E205" s="1853"/>
      <c r="F205" s="1853"/>
      <c r="G205" s="1853"/>
      <c r="H205" s="1853"/>
    </row>
    <row r="206" spans="1:8">
      <c r="A206" s="1853"/>
      <c r="B206" s="1853"/>
      <c r="C206" s="1853"/>
      <c r="D206" s="1853"/>
      <c r="E206" s="1853"/>
      <c r="F206" s="1853"/>
      <c r="G206" s="1853"/>
      <c r="H206" s="1853"/>
    </row>
    <row r="207" spans="1:8">
      <c r="A207" s="1853"/>
      <c r="B207" s="1853"/>
      <c r="C207" s="1853"/>
      <c r="D207" s="1853"/>
      <c r="E207" s="1853"/>
      <c r="F207" s="1853"/>
      <c r="G207" s="1853"/>
      <c r="H207" s="1853"/>
    </row>
    <row r="208" spans="1:8">
      <c r="A208" s="1853"/>
      <c r="B208" s="1853"/>
      <c r="C208" s="1853"/>
      <c r="D208" s="1853"/>
      <c r="E208" s="1853"/>
      <c r="F208" s="1853"/>
      <c r="G208" s="1853"/>
      <c r="H208" s="1853"/>
    </row>
    <row r="209" spans="1:8">
      <c r="A209" s="1853"/>
      <c r="B209" s="1853"/>
      <c r="C209" s="1853"/>
      <c r="D209" s="1853"/>
      <c r="E209" s="1853"/>
      <c r="F209" s="1853"/>
      <c r="G209" s="1853"/>
      <c r="H209" s="1853"/>
    </row>
    <row r="210" spans="1:8">
      <c r="A210" s="1853"/>
      <c r="B210" s="1853"/>
      <c r="C210" s="1853"/>
      <c r="D210" s="1853"/>
      <c r="E210" s="1853"/>
      <c r="F210" s="1853"/>
      <c r="G210" s="1853"/>
      <c r="H210" s="1853"/>
    </row>
    <row r="211" spans="1:8">
      <c r="A211" s="1853"/>
      <c r="B211" s="1853"/>
      <c r="C211" s="1853"/>
      <c r="D211" s="1853"/>
      <c r="E211" s="1853"/>
      <c r="F211" s="1853"/>
      <c r="G211" s="1853"/>
      <c r="H211" s="1853"/>
    </row>
    <row r="212" spans="1:8">
      <c r="A212" s="1853"/>
      <c r="B212" s="1853"/>
      <c r="C212" s="1853"/>
      <c r="D212" s="1853"/>
      <c r="E212" s="1853"/>
      <c r="F212" s="1853"/>
      <c r="G212" s="1853"/>
      <c r="H212" s="1853"/>
    </row>
    <row r="213" spans="1:8">
      <c r="A213" s="1853"/>
      <c r="B213" s="1853"/>
      <c r="C213" s="1853"/>
      <c r="D213" s="1853"/>
      <c r="E213" s="1853"/>
      <c r="F213" s="1853"/>
      <c r="G213" s="1853"/>
      <c r="H213" s="1853"/>
    </row>
    <row r="214" spans="1:8">
      <c r="A214" s="1853"/>
      <c r="B214" s="1853"/>
      <c r="C214" s="1853"/>
      <c r="D214" s="1853"/>
      <c r="E214" s="1853"/>
      <c r="F214" s="1853"/>
      <c r="G214" s="1853"/>
      <c r="H214" s="1853"/>
    </row>
    <row r="215" spans="1:8">
      <c r="A215" s="1853"/>
      <c r="B215" s="1853"/>
      <c r="C215" s="1853"/>
      <c r="D215" s="1853"/>
      <c r="E215" s="1853"/>
      <c r="F215" s="1853"/>
      <c r="G215" s="1853"/>
      <c r="H215" s="1853"/>
    </row>
    <row r="216" spans="1:8">
      <c r="A216" s="1853"/>
      <c r="B216" s="1853"/>
      <c r="C216" s="1853"/>
      <c r="D216" s="1853"/>
      <c r="E216" s="1853"/>
      <c r="F216" s="1853"/>
      <c r="G216" s="1853"/>
      <c r="H216" s="1853"/>
    </row>
    <row r="217" spans="1:8">
      <c r="A217" s="1853"/>
      <c r="B217" s="1853"/>
      <c r="C217" s="1853"/>
      <c r="D217" s="1853"/>
      <c r="E217" s="1853"/>
      <c r="F217" s="1853"/>
      <c r="G217" s="1853"/>
      <c r="H217" s="1853"/>
    </row>
    <row r="218" spans="1:8">
      <c r="A218" s="1853"/>
      <c r="B218" s="1853"/>
      <c r="C218" s="1853"/>
      <c r="D218" s="1853"/>
      <c r="E218" s="1853"/>
      <c r="F218" s="1853"/>
      <c r="G218" s="1853"/>
      <c r="H218" s="1853"/>
    </row>
    <row r="219" spans="1:8">
      <c r="A219" s="1853"/>
      <c r="B219" s="1853"/>
      <c r="C219" s="1853"/>
      <c r="D219" s="1853"/>
      <c r="E219" s="1853"/>
      <c r="F219" s="1853"/>
      <c r="G219" s="1853"/>
      <c r="H219" s="1853"/>
    </row>
    <row r="220" spans="1:8">
      <c r="A220" s="1853"/>
      <c r="B220" s="1853"/>
      <c r="C220" s="1853"/>
      <c r="D220" s="1853"/>
      <c r="E220" s="1853"/>
      <c r="F220" s="1853"/>
      <c r="G220" s="1853"/>
      <c r="H220" s="1853"/>
    </row>
    <row r="221" spans="1:8">
      <c r="A221" s="1853"/>
      <c r="B221" s="1853"/>
      <c r="C221" s="1853"/>
      <c r="D221" s="1853"/>
      <c r="E221" s="1853"/>
      <c r="F221" s="1853"/>
      <c r="G221" s="1853"/>
      <c r="H221" s="1853"/>
    </row>
    <row r="222" spans="1:8">
      <c r="A222" s="1853"/>
      <c r="B222" s="1853"/>
      <c r="C222" s="1853"/>
      <c r="D222" s="1853"/>
      <c r="E222" s="1853"/>
      <c r="F222" s="1853"/>
      <c r="G222" s="1853"/>
      <c r="H222" s="1853"/>
    </row>
    <row r="223" spans="1:8">
      <c r="A223" s="1853"/>
      <c r="B223" s="1853"/>
      <c r="C223" s="1853"/>
      <c r="D223" s="1853"/>
      <c r="E223" s="1853"/>
      <c r="F223" s="1853"/>
      <c r="G223" s="1853"/>
      <c r="H223" s="1853"/>
    </row>
    <row r="224" spans="1:8">
      <c r="A224" s="1853"/>
      <c r="B224" s="1853"/>
      <c r="C224" s="1853"/>
      <c r="D224" s="1853"/>
      <c r="E224" s="1853"/>
      <c r="F224" s="1853"/>
      <c r="G224" s="1853"/>
      <c r="H224" s="1853"/>
    </row>
    <row r="225" spans="1:8">
      <c r="A225" s="1853"/>
      <c r="B225" s="1853"/>
      <c r="C225" s="1853"/>
      <c r="D225" s="1853"/>
      <c r="E225" s="1853"/>
      <c r="F225" s="1853"/>
      <c r="G225" s="1853"/>
      <c r="H225" s="1853"/>
    </row>
    <row r="226" spans="1:8">
      <c r="A226" s="1853"/>
      <c r="B226" s="1853"/>
      <c r="C226" s="1853"/>
      <c r="D226" s="1853"/>
      <c r="E226" s="1853"/>
      <c r="F226" s="1853"/>
      <c r="G226" s="1853"/>
      <c r="H226" s="1853"/>
    </row>
    <row r="227" spans="1:8">
      <c r="A227" s="1853"/>
      <c r="B227" s="1853"/>
      <c r="C227" s="1853"/>
      <c r="D227" s="1853"/>
      <c r="E227" s="1853"/>
      <c r="F227" s="1853"/>
      <c r="G227" s="1853"/>
      <c r="H227" s="1853"/>
    </row>
    <row r="228" spans="1:8">
      <c r="A228" s="1853"/>
      <c r="B228" s="1853"/>
      <c r="C228" s="1853"/>
      <c r="D228" s="1853"/>
      <c r="E228" s="1853"/>
      <c r="F228" s="1853"/>
      <c r="G228" s="1853"/>
      <c r="H228" s="1853"/>
    </row>
    <row r="229" spans="1:8">
      <c r="A229" s="1853"/>
      <c r="B229" s="1853"/>
      <c r="C229" s="1853"/>
      <c r="D229" s="1853"/>
      <c r="E229" s="1853"/>
      <c r="F229" s="1853"/>
      <c r="G229" s="1853"/>
      <c r="H229" s="1853"/>
    </row>
    <row r="230" spans="1:8">
      <c r="A230" s="1853"/>
      <c r="B230" s="1853"/>
      <c r="C230" s="1853"/>
      <c r="D230" s="1853"/>
      <c r="E230" s="1853"/>
      <c r="F230" s="1853"/>
      <c r="G230" s="1853"/>
      <c r="H230" s="1853"/>
    </row>
    <row r="231" spans="1:8">
      <c r="A231" s="1853"/>
      <c r="B231" s="1853"/>
      <c r="C231" s="1853"/>
      <c r="D231" s="1853"/>
      <c r="E231" s="1853"/>
      <c r="F231" s="1853"/>
      <c r="G231" s="1853"/>
      <c r="H231" s="1853"/>
    </row>
    <row r="232" spans="1:8">
      <c r="A232" s="1853"/>
      <c r="B232" s="1853"/>
      <c r="C232" s="1853"/>
      <c r="D232" s="1853"/>
      <c r="E232" s="1853"/>
      <c r="F232" s="1853"/>
      <c r="G232" s="1853"/>
      <c r="H232" s="1853"/>
    </row>
    <row r="233" spans="1:8">
      <c r="A233" s="1853"/>
      <c r="B233" s="1853"/>
      <c r="C233" s="1853"/>
      <c r="D233" s="1853"/>
      <c r="E233" s="1853"/>
      <c r="F233" s="1853"/>
      <c r="G233" s="1853"/>
      <c r="H233" s="1853"/>
    </row>
    <row r="234" spans="1:8">
      <c r="A234" s="1853"/>
      <c r="B234" s="1853"/>
      <c r="C234" s="1853"/>
      <c r="D234" s="1853"/>
      <c r="E234" s="1853"/>
      <c r="F234" s="1853"/>
      <c r="G234" s="1853"/>
      <c r="H234" s="1853"/>
    </row>
    <row r="235" spans="1:8">
      <c r="A235" s="1853"/>
      <c r="B235" s="1853"/>
      <c r="C235" s="1853"/>
      <c r="D235" s="1853"/>
      <c r="E235" s="1853"/>
      <c r="F235" s="1853"/>
      <c r="G235" s="1853"/>
      <c r="H235" s="1853"/>
    </row>
    <row r="236" spans="1:8">
      <c r="A236" s="1853"/>
      <c r="B236" s="1853"/>
      <c r="C236" s="1853"/>
      <c r="D236" s="1853"/>
      <c r="E236" s="1853"/>
      <c r="F236" s="1853"/>
      <c r="G236" s="1853"/>
      <c r="H236" s="1853"/>
    </row>
    <row r="237" spans="1:8">
      <c r="A237" s="1853"/>
      <c r="B237" s="1853"/>
      <c r="C237" s="1853"/>
      <c r="D237" s="1853"/>
      <c r="E237" s="1853"/>
      <c r="F237" s="1853"/>
      <c r="G237" s="1853"/>
      <c r="H237" s="1853"/>
    </row>
    <row r="238" spans="1:8">
      <c r="A238" s="1853"/>
      <c r="B238" s="1853"/>
      <c r="C238" s="1853"/>
      <c r="D238" s="1853"/>
      <c r="E238" s="1853"/>
      <c r="F238" s="1853"/>
      <c r="G238" s="1853"/>
      <c r="H238" s="1853"/>
    </row>
    <row r="239" spans="1:8">
      <c r="A239" s="1853"/>
      <c r="B239" s="1853"/>
      <c r="C239" s="1853"/>
      <c r="D239" s="1853"/>
      <c r="E239" s="1853"/>
      <c r="F239" s="1853"/>
      <c r="G239" s="1853"/>
      <c r="H239" s="1853"/>
    </row>
    <row r="240" spans="1:8">
      <c r="A240" s="1853"/>
      <c r="B240" s="1853"/>
      <c r="C240" s="1853"/>
      <c r="D240" s="1853"/>
      <c r="E240" s="1853"/>
      <c r="F240" s="1853"/>
      <c r="G240" s="1853"/>
      <c r="H240" s="1853"/>
    </row>
    <row r="241" spans="1:8">
      <c r="A241" s="1853"/>
      <c r="B241" s="1853"/>
      <c r="C241" s="1853"/>
      <c r="D241" s="1853"/>
      <c r="E241" s="1853"/>
      <c r="F241" s="1853"/>
      <c r="G241" s="1853"/>
      <c r="H241" s="1853"/>
    </row>
    <row r="242" spans="1:8">
      <c r="A242" s="1853"/>
      <c r="B242" s="1853"/>
      <c r="C242" s="1853"/>
      <c r="D242" s="1853"/>
      <c r="E242" s="1853"/>
      <c r="F242" s="1853"/>
      <c r="G242" s="1853"/>
      <c r="H242" s="1853"/>
    </row>
    <row r="243" spans="1:8">
      <c r="A243" s="1853"/>
      <c r="B243" s="1853"/>
      <c r="C243" s="1853"/>
      <c r="D243" s="1853"/>
      <c r="E243" s="1853"/>
      <c r="F243" s="1853"/>
      <c r="G243" s="1853"/>
      <c r="H243" s="1853"/>
    </row>
    <row r="244" spans="1:8">
      <c r="A244" s="1853"/>
      <c r="B244" s="1853"/>
      <c r="C244" s="1853"/>
      <c r="D244" s="1853"/>
      <c r="E244" s="1853"/>
      <c r="F244" s="1853"/>
      <c r="G244" s="1853"/>
      <c r="H244" s="1853"/>
    </row>
    <row r="245" spans="1:8">
      <c r="A245" s="1853"/>
      <c r="B245" s="1853"/>
      <c r="C245" s="1853"/>
      <c r="D245" s="1853"/>
      <c r="E245" s="1853"/>
      <c r="F245" s="1853"/>
      <c r="G245" s="1853"/>
      <c r="H245" s="1853"/>
    </row>
    <row r="246" spans="1:8">
      <c r="A246" s="1853"/>
      <c r="B246" s="1853"/>
      <c r="C246" s="1853"/>
      <c r="D246" s="1853"/>
      <c r="E246" s="1853"/>
      <c r="F246" s="1853"/>
      <c r="G246" s="1853"/>
      <c r="H246" s="1853"/>
    </row>
    <row r="247" spans="1:8">
      <c r="A247" s="1853"/>
      <c r="B247" s="1853"/>
      <c r="C247" s="1853"/>
      <c r="D247" s="1853"/>
      <c r="E247" s="1853"/>
      <c r="F247" s="1853"/>
      <c r="G247" s="1853"/>
      <c r="H247" s="1853"/>
    </row>
    <row r="248" spans="1:8">
      <c r="A248" s="1853"/>
      <c r="B248" s="1853"/>
      <c r="C248" s="1853"/>
      <c r="D248" s="1853"/>
      <c r="E248" s="1853"/>
      <c r="F248" s="1853"/>
      <c r="G248" s="1853"/>
      <c r="H248" s="1853"/>
    </row>
    <row r="249" spans="1:8">
      <c r="A249" s="1853"/>
      <c r="B249" s="1853"/>
      <c r="C249" s="1853"/>
      <c r="D249" s="1853"/>
      <c r="E249" s="1853"/>
      <c r="F249" s="1853"/>
      <c r="G249" s="1853"/>
      <c r="H249" s="1853"/>
    </row>
    <row r="250" spans="1:8">
      <c r="A250" s="1853"/>
      <c r="B250" s="1853"/>
      <c r="C250" s="1853"/>
      <c r="D250" s="1853"/>
      <c r="E250" s="1853"/>
      <c r="F250" s="1853"/>
      <c r="G250" s="1853"/>
      <c r="H250" s="1853"/>
    </row>
    <row r="251" spans="1:8">
      <c r="A251" s="1853"/>
      <c r="B251" s="1853"/>
      <c r="C251" s="1853"/>
      <c r="D251" s="1853"/>
      <c r="E251" s="1853"/>
      <c r="F251" s="1853"/>
      <c r="G251" s="1853"/>
      <c r="H251" s="1853"/>
    </row>
    <row r="252" spans="1:8">
      <c r="A252" s="1853"/>
      <c r="B252" s="1853"/>
      <c r="C252" s="1853"/>
      <c r="D252" s="1853"/>
      <c r="E252" s="1853"/>
      <c r="F252" s="1853"/>
      <c r="G252" s="1853"/>
      <c r="H252" s="1853"/>
    </row>
    <row r="253" spans="1:8">
      <c r="A253" s="1853"/>
      <c r="B253" s="1853"/>
      <c r="C253" s="1853"/>
      <c r="D253" s="1853"/>
      <c r="E253" s="1853"/>
      <c r="F253" s="1853"/>
      <c r="G253" s="1853"/>
      <c r="H253" s="1853"/>
    </row>
    <row r="254" spans="1:8">
      <c r="A254" s="1853"/>
      <c r="B254" s="1853"/>
      <c r="C254" s="1853"/>
      <c r="D254" s="1853"/>
      <c r="E254" s="1853"/>
      <c r="F254" s="1853"/>
      <c r="G254" s="1853"/>
      <c r="H254" s="1853"/>
    </row>
    <row r="255" spans="1:8">
      <c r="A255" s="1853"/>
      <c r="B255" s="1853"/>
      <c r="C255" s="1853"/>
      <c r="D255" s="1853"/>
      <c r="E255" s="1853"/>
      <c r="F255" s="1853"/>
      <c r="G255" s="1853"/>
      <c r="H255" s="1853"/>
    </row>
    <row r="256" spans="1:8">
      <c r="A256" s="1853"/>
      <c r="B256" s="1853"/>
      <c r="C256" s="1853"/>
      <c r="D256" s="1853"/>
      <c r="E256" s="1853"/>
      <c r="F256" s="1853"/>
      <c r="G256" s="1853"/>
      <c r="H256" s="1853"/>
    </row>
    <row r="257" spans="1:8">
      <c r="A257" s="1853"/>
      <c r="B257" s="1853"/>
      <c r="C257" s="1853"/>
      <c r="D257" s="1853"/>
      <c r="E257" s="1853"/>
      <c r="F257" s="1853"/>
      <c r="G257" s="1853"/>
      <c r="H257" s="1853"/>
    </row>
    <row r="258" spans="1:8">
      <c r="A258" s="1853"/>
      <c r="B258" s="1853"/>
      <c r="C258" s="1853"/>
      <c r="D258" s="1853"/>
      <c r="E258" s="1853"/>
      <c r="F258" s="1853"/>
      <c r="G258" s="1853"/>
      <c r="H258" s="1853"/>
    </row>
    <row r="259" spans="1:8">
      <c r="A259" s="1853"/>
      <c r="B259" s="1853"/>
      <c r="C259" s="1853"/>
      <c r="D259" s="1853"/>
      <c r="E259" s="1853"/>
      <c r="F259" s="1853"/>
      <c r="G259" s="1853"/>
      <c r="H259" s="1853"/>
    </row>
    <row r="260" spans="1:8">
      <c r="A260" s="1853"/>
      <c r="B260" s="1853"/>
      <c r="C260" s="1853"/>
      <c r="D260" s="1853"/>
      <c r="E260" s="1853"/>
      <c r="F260" s="1853"/>
      <c r="G260" s="1853"/>
      <c r="H260" s="1853"/>
    </row>
    <row r="261" spans="1:8">
      <c r="A261" s="1853"/>
      <c r="B261" s="1853"/>
      <c r="C261" s="1853"/>
      <c r="D261" s="1853"/>
      <c r="E261" s="1853"/>
      <c r="F261" s="1853"/>
      <c r="G261" s="1853"/>
      <c r="H261" s="1853"/>
    </row>
    <row r="262" spans="1:8">
      <c r="A262" s="1853"/>
      <c r="B262" s="1853"/>
      <c r="C262" s="1853"/>
      <c r="D262" s="1853"/>
      <c r="E262" s="1853"/>
      <c r="F262" s="1853"/>
      <c r="G262" s="1853"/>
      <c r="H262" s="1853"/>
    </row>
    <row r="263" spans="1:8">
      <c r="A263" s="1853"/>
      <c r="B263" s="1853"/>
      <c r="C263" s="1853"/>
      <c r="D263" s="1853"/>
      <c r="E263" s="1853"/>
      <c r="F263" s="1853"/>
      <c r="G263" s="1853"/>
      <c r="H263" s="1853"/>
    </row>
    <row r="264" spans="1:8">
      <c r="A264" s="1853"/>
      <c r="B264" s="1853"/>
      <c r="C264" s="1853"/>
      <c r="D264" s="1853"/>
      <c r="E264" s="1853"/>
      <c r="F264" s="1853"/>
      <c r="G264" s="1853"/>
      <c r="H264" s="1853"/>
    </row>
    <row r="265" spans="1:8">
      <c r="A265" s="1853"/>
      <c r="B265" s="1853"/>
      <c r="C265" s="1853"/>
      <c r="D265" s="1853"/>
      <c r="E265" s="1853"/>
      <c r="F265" s="1853"/>
      <c r="G265" s="1853"/>
      <c r="H265" s="1853"/>
    </row>
    <row r="266" spans="1:8">
      <c r="A266" s="1853"/>
      <c r="B266" s="1853"/>
      <c r="C266" s="1853"/>
      <c r="D266" s="1853"/>
      <c r="E266" s="1853"/>
      <c r="F266" s="1853"/>
      <c r="G266" s="1853"/>
      <c r="H266" s="1853"/>
    </row>
    <row r="267" spans="1:8">
      <c r="A267" s="1853"/>
      <c r="B267" s="1853"/>
      <c r="C267" s="1853"/>
      <c r="D267" s="1853"/>
      <c r="E267" s="1853"/>
      <c r="F267" s="1853"/>
      <c r="G267" s="1853"/>
      <c r="H267" s="1853"/>
    </row>
    <row r="268" spans="1:8">
      <c r="A268" s="1853"/>
      <c r="B268" s="1853"/>
      <c r="C268" s="1853"/>
      <c r="D268" s="1853"/>
      <c r="E268" s="1853"/>
      <c r="F268" s="1853"/>
      <c r="G268" s="1853"/>
      <c r="H268" s="1853"/>
    </row>
    <row r="269" spans="1:8">
      <c r="A269" s="1853"/>
      <c r="B269" s="1853"/>
      <c r="C269" s="1853"/>
      <c r="D269" s="1853"/>
      <c r="E269" s="1853"/>
      <c r="F269" s="1853"/>
      <c r="G269" s="1853"/>
      <c r="H269" s="1853"/>
    </row>
    <row r="270" spans="1:8">
      <c r="A270" s="1853"/>
      <c r="B270" s="1853"/>
      <c r="C270" s="1853"/>
      <c r="D270" s="1853"/>
      <c r="E270" s="1853"/>
      <c r="F270" s="1853"/>
      <c r="G270" s="1853"/>
      <c r="H270" s="1853"/>
    </row>
    <row r="271" spans="1:8">
      <c r="A271" s="1853"/>
      <c r="B271" s="1853"/>
      <c r="C271" s="1853"/>
      <c r="D271" s="1853"/>
      <c r="E271" s="1853"/>
      <c r="F271" s="1853"/>
      <c r="G271" s="1853"/>
      <c r="H271" s="1853"/>
    </row>
    <row r="272" spans="1:8">
      <c r="A272" s="1853"/>
      <c r="B272" s="1853"/>
      <c r="C272" s="1853"/>
      <c r="D272" s="1853"/>
      <c r="E272" s="1853"/>
      <c r="F272" s="1853"/>
      <c r="G272" s="1853"/>
      <c r="H272" s="1853"/>
    </row>
    <row r="273" spans="1:8">
      <c r="A273" s="1853"/>
      <c r="B273" s="1853"/>
      <c r="C273" s="1853"/>
      <c r="D273" s="1853"/>
      <c r="E273" s="1853"/>
      <c r="F273" s="1853"/>
      <c r="G273" s="1853"/>
      <c r="H273" s="1853"/>
    </row>
    <row r="274" spans="1:8">
      <c r="A274" s="1853"/>
      <c r="B274" s="1853"/>
      <c r="C274" s="1853"/>
      <c r="D274" s="1853"/>
      <c r="E274" s="1853"/>
      <c r="F274" s="1853"/>
      <c r="G274" s="1853"/>
      <c r="H274" s="1853"/>
    </row>
    <row r="275" spans="1:8">
      <c r="A275" s="1853"/>
      <c r="B275" s="1853"/>
      <c r="C275" s="1853"/>
      <c r="D275" s="1853"/>
      <c r="E275" s="1853"/>
      <c r="F275" s="1853"/>
      <c r="G275" s="1853"/>
      <c r="H275" s="1853"/>
    </row>
    <row r="276" spans="1:8">
      <c r="A276" s="1853"/>
      <c r="B276" s="1853"/>
      <c r="C276" s="1853"/>
      <c r="D276" s="1853"/>
      <c r="E276" s="1853"/>
      <c r="F276" s="1853"/>
      <c r="G276" s="1853"/>
      <c r="H276" s="1853"/>
    </row>
    <row r="277" spans="1:8">
      <c r="A277" s="1853"/>
      <c r="B277" s="1853"/>
      <c r="C277" s="1853"/>
      <c r="D277" s="1853"/>
      <c r="E277" s="1853"/>
      <c r="F277" s="1853"/>
      <c r="G277" s="1853"/>
      <c r="H277" s="1853"/>
    </row>
    <row r="278" spans="1:8">
      <c r="A278" s="1853"/>
      <c r="B278" s="1853"/>
      <c r="C278" s="1853"/>
      <c r="D278" s="1853"/>
      <c r="E278" s="1853"/>
      <c r="F278" s="1853"/>
      <c r="G278" s="1853"/>
      <c r="H278" s="1853"/>
    </row>
    <row r="279" spans="1:8">
      <c r="A279" s="1853"/>
      <c r="B279" s="1853"/>
      <c r="C279" s="1853"/>
      <c r="D279" s="1853"/>
      <c r="E279" s="1853"/>
      <c r="F279" s="1853"/>
      <c r="G279" s="1853"/>
      <c r="H279" s="1853"/>
    </row>
    <row r="280" spans="1:8">
      <c r="A280" s="1853"/>
      <c r="B280" s="1853"/>
      <c r="C280" s="1853"/>
      <c r="D280" s="1853"/>
      <c r="E280" s="1853"/>
      <c r="F280" s="1853"/>
      <c r="G280" s="1853"/>
      <c r="H280" s="1853"/>
    </row>
    <row r="281" spans="1:8">
      <c r="A281" s="1853"/>
      <c r="B281" s="1853"/>
      <c r="C281" s="1853"/>
      <c r="D281" s="1853"/>
      <c r="E281" s="1853"/>
      <c r="F281" s="1853"/>
      <c r="G281" s="1853"/>
      <c r="H281" s="1853"/>
    </row>
    <row r="282" spans="1:8">
      <c r="A282" s="1853"/>
      <c r="B282" s="1853"/>
      <c r="C282" s="1853"/>
      <c r="D282" s="1853"/>
      <c r="E282" s="1853"/>
      <c r="F282" s="1853"/>
      <c r="G282" s="1853"/>
      <c r="H282" s="1853"/>
    </row>
    <row r="283" spans="1:8">
      <c r="A283" s="1853"/>
      <c r="B283" s="1853"/>
      <c r="C283" s="1853"/>
      <c r="D283" s="1853"/>
      <c r="E283" s="1853"/>
      <c r="F283" s="1853"/>
      <c r="G283" s="1853"/>
      <c r="H283" s="1853"/>
    </row>
    <row r="284" spans="1:8">
      <c r="A284" s="1853"/>
      <c r="B284" s="1853"/>
      <c r="C284" s="1853"/>
      <c r="D284" s="1853"/>
      <c r="E284" s="1853"/>
      <c r="F284" s="1853"/>
      <c r="G284" s="1853"/>
      <c r="H284" s="1853"/>
    </row>
    <row r="285" spans="1:8">
      <c r="A285" s="1853"/>
      <c r="B285" s="1853"/>
      <c r="C285" s="1853"/>
      <c r="D285" s="1853"/>
      <c r="E285" s="1853"/>
      <c r="F285" s="1853"/>
      <c r="G285" s="1853"/>
      <c r="H285" s="1853"/>
    </row>
    <row r="286" spans="1:8">
      <c r="A286" s="1853"/>
      <c r="B286" s="1853"/>
      <c r="C286" s="1853"/>
      <c r="D286" s="1853"/>
      <c r="E286" s="1853"/>
      <c r="F286" s="1853"/>
      <c r="G286" s="1853"/>
      <c r="H286" s="1853"/>
    </row>
    <row r="287" spans="1:8">
      <c r="A287" s="1853"/>
      <c r="B287" s="1853"/>
      <c r="C287" s="1853"/>
      <c r="D287" s="1853"/>
      <c r="E287" s="1853"/>
      <c r="F287" s="1853"/>
      <c r="G287" s="1853"/>
      <c r="H287" s="1853"/>
    </row>
    <row r="288" spans="1:8">
      <c r="A288" s="1853"/>
      <c r="B288" s="1853"/>
      <c r="C288" s="1853"/>
      <c r="D288" s="1853"/>
      <c r="E288" s="1853"/>
      <c r="F288" s="1853"/>
      <c r="G288" s="1853"/>
      <c r="H288" s="1853"/>
    </row>
    <row r="289" spans="1:8">
      <c r="A289" s="1853"/>
      <c r="B289" s="1853"/>
      <c r="C289" s="1853"/>
      <c r="D289" s="1853"/>
      <c r="E289" s="1853"/>
      <c r="F289" s="1853"/>
      <c r="G289" s="1853"/>
      <c r="H289" s="1853"/>
    </row>
    <row r="290" spans="1:8">
      <c r="A290" s="1853"/>
      <c r="B290" s="1853"/>
      <c r="C290" s="1853"/>
      <c r="D290" s="1853"/>
      <c r="E290" s="1853"/>
      <c r="F290" s="1853"/>
      <c r="G290" s="1853"/>
      <c r="H290" s="1853"/>
    </row>
    <row r="291" spans="1:8">
      <c r="A291" s="1853"/>
      <c r="B291" s="1853"/>
      <c r="C291" s="1853"/>
      <c r="D291" s="1853"/>
      <c r="E291" s="1853"/>
      <c r="F291" s="1853"/>
      <c r="G291" s="1853"/>
      <c r="H291" s="1853"/>
    </row>
    <row r="292" spans="1:8">
      <c r="A292" s="1853"/>
      <c r="B292" s="1853"/>
      <c r="C292" s="1853"/>
      <c r="D292" s="1853"/>
      <c r="E292" s="1853"/>
      <c r="F292" s="1853"/>
      <c r="G292" s="1853"/>
      <c r="H292" s="1853"/>
    </row>
    <row r="293" spans="1:8">
      <c r="A293" s="1853"/>
      <c r="B293" s="1853"/>
      <c r="C293" s="1853"/>
      <c r="D293" s="1853"/>
      <c r="E293" s="1853"/>
      <c r="F293" s="1853"/>
      <c r="G293" s="1853"/>
      <c r="H293" s="1853"/>
    </row>
    <row r="294" spans="1:8">
      <c r="A294" s="1853"/>
      <c r="B294" s="1853"/>
      <c r="C294" s="1853"/>
      <c r="D294" s="1853"/>
      <c r="E294" s="1853"/>
      <c r="F294" s="1853"/>
      <c r="G294" s="1853"/>
      <c r="H294" s="1853"/>
    </row>
    <row r="295" spans="1:8">
      <c r="A295" s="1853"/>
      <c r="B295" s="1853"/>
      <c r="C295" s="1853"/>
      <c r="D295" s="1853"/>
      <c r="E295" s="1853"/>
      <c r="F295" s="1853"/>
      <c r="G295" s="1853"/>
      <c r="H295" s="1853"/>
    </row>
    <row r="296" spans="1:8">
      <c r="A296" s="1853"/>
      <c r="B296" s="1853"/>
      <c r="C296" s="1853"/>
      <c r="D296" s="1853"/>
      <c r="E296" s="1853"/>
      <c r="F296" s="1853"/>
      <c r="G296" s="1853"/>
      <c r="H296" s="1853"/>
    </row>
    <row r="297" spans="1:8">
      <c r="A297" s="1853"/>
      <c r="B297" s="1853"/>
      <c r="C297" s="1853"/>
      <c r="D297" s="1853"/>
      <c r="E297" s="1853"/>
      <c r="F297" s="1853"/>
      <c r="G297" s="1853"/>
      <c r="H297" s="1853"/>
    </row>
    <row r="298" spans="1:8">
      <c r="A298" s="1853"/>
      <c r="B298" s="1853"/>
      <c r="C298" s="1853"/>
      <c r="D298" s="1853"/>
      <c r="E298" s="1853"/>
      <c r="F298" s="1853"/>
      <c r="G298" s="1853"/>
      <c r="H298" s="1853"/>
    </row>
    <row r="299" spans="1:8">
      <c r="A299" s="1853"/>
      <c r="B299" s="1853"/>
      <c r="C299" s="1853"/>
      <c r="D299" s="1853"/>
      <c r="E299" s="1853"/>
      <c r="F299" s="1853"/>
      <c r="G299" s="1853"/>
      <c r="H299" s="1853"/>
    </row>
    <row r="300" spans="1:8">
      <c r="A300" s="1853"/>
      <c r="B300" s="1853"/>
      <c r="C300" s="1853"/>
      <c r="D300" s="1853"/>
      <c r="E300" s="1853"/>
      <c r="F300" s="1853"/>
      <c r="G300" s="1853"/>
      <c r="H300" s="1853"/>
    </row>
    <row r="301" spans="1:8">
      <c r="A301" s="1853"/>
      <c r="B301" s="1853"/>
      <c r="C301" s="1853"/>
      <c r="D301" s="1853"/>
      <c r="E301" s="1853"/>
      <c r="F301" s="1853"/>
      <c r="G301" s="1853"/>
      <c r="H301" s="1853"/>
    </row>
    <row r="302" spans="1:8">
      <c r="A302" s="1853"/>
      <c r="B302" s="1853"/>
      <c r="C302" s="1853"/>
      <c r="D302" s="1853"/>
      <c r="E302" s="1853"/>
      <c r="F302" s="1853"/>
      <c r="G302" s="1853"/>
      <c r="H302" s="1853"/>
    </row>
    <row r="303" spans="1:8">
      <c r="A303" s="1853"/>
      <c r="B303" s="1853"/>
      <c r="C303" s="1853"/>
      <c r="D303" s="1853"/>
      <c r="E303" s="1853"/>
      <c r="F303" s="1853"/>
      <c r="G303" s="1853"/>
      <c r="H303" s="1853"/>
    </row>
    <row r="304" spans="1:8">
      <c r="A304" s="1853"/>
      <c r="B304" s="1853"/>
      <c r="C304" s="1853"/>
      <c r="D304" s="1853"/>
      <c r="E304" s="1853"/>
      <c r="F304" s="1853"/>
      <c r="G304" s="1853"/>
      <c r="H304" s="1853"/>
    </row>
    <row r="305" spans="1:8">
      <c r="A305" s="1853"/>
      <c r="B305" s="1853"/>
      <c r="C305" s="1853"/>
      <c r="D305" s="1853"/>
      <c r="E305" s="1853"/>
      <c r="F305" s="1853"/>
      <c r="G305" s="1853"/>
      <c r="H305" s="1853"/>
    </row>
    <row r="306" spans="1:8">
      <c r="A306" s="1853"/>
      <c r="B306" s="1853"/>
      <c r="C306" s="1853"/>
      <c r="D306" s="1853"/>
      <c r="E306" s="1853"/>
      <c r="F306" s="1853"/>
      <c r="G306" s="1853"/>
      <c r="H306" s="1853"/>
    </row>
    <row r="307" spans="1:8">
      <c r="A307" s="1853"/>
      <c r="B307" s="1853"/>
      <c r="C307" s="1853"/>
      <c r="D307" s="1853"/>
      <c r="E307" s="1853"/>
      <c r="F307" s="1853"/>
      <c r="G307" s="1853"/>
      <c r="H307" s="1853"/>
    </row>
    <row r="308" spans="1:8">
      <c r="A308" s="1853"/>
      <c r="B308" s="1853"/>
      <c r="C308" s="1853"/>
      <c r="D308" s="1853"/>
      <c r="E308" s="1853"/>
      <c r="F308" s="1853"/>
      <c r="G308" s="1853"/>
      <c r="H308" s="1853"/>
    </row>
    <row r="309" spans="1:8">
      <c r="A309" s="1853"/>
      <c r="B309" s="1853"/>
      <c r="C309" s="1853"/>
      <c r="D309" s="1853"/>
      <c r="E309" s="1853"/>
      <c r="F309" s="1853"/>
      <c r="G309" s="1853"/>
      <c r="H309" s="1853"/>
    </row>
    <row r="310" spans="1:8">
      <c r="A310" s="1853"/>
      <c r="B310" s="1853"/>
      <c r="C310" s="1853"/>
      <c r="D310" s="1853"/>
      <c r="E310" s="1853"/>
      <c r="F310" s="1853"/>
      <c r="G310" s="1853"/>
      <c r="H310" s="1853"/>
    </row>
    <row r="311" spans="1:8">
      <c r="A311" s="1853"/>
      <c r="B311" s="1853"/>
      <c r="C311" s="1853"/>
      <c r="D311" s="1853"/>
      <c r="E311" s="1853"/>
      <c r="F311" s="1853"/>
      <c r="G311" s="1853"/>
      <c r="H311" s="1853"/>
    </row>
    <row r="312" spans="1:8">
      <c r="A312" s="1853"/>
      <c r="B312" s="1853"/>
      <c r="C312" s="1853"/>
      <c r="D312" s="1853"/>
      <c r="E312" s="1853"/>
      <c r="F312" s="1853"/>
      <c r="G312" s="1853"/>
      <c r="H312" s="1853"/>
    </row>
    <row r="313" spans="1:8">
      <c r="A313" s="1853"/>
      <c r="B313" s="1853"/>
      <c r="C313" s="1853"/>
      <c r="D313" s="1853"/>
      <c r="E313" s="1853"/>
      <c r="F313" s="1853"/>
      <c r="G313" s="1853"/>
      <c r="H313" s="1853"/>
    </row>
    <row r="314" spans="1:8">
      <c r="A314" s="1853"/>
      <c r="B314" s="1853"/>
      <c r="C314" s="1853"/>
      <c r="D314" s="1853"/>
      <c r="E314" s="1853"/>
      <c r="F314" s="1853"/>
      <c r="G314" s="1853"/>
      <c r="H314" s="1853"/>
    </row>
    <row r="315" spans="1:8">
      <c r="A315" s="1853"/>
      <c r="B315" s="1853"/>
      <c r="C315" s="1853"/>
      <c r="D315" s="1853"/>
      <c r="E315" s="1853"/>
      <c r="F315" s="1853"/>
      <c r="G315" s="1853"/>
      <c r="H315" s="1853"/>
    </row>
    <row r="316" spans="1:8">
      <c r="A316" s="1853"/>
      <c r="B316" s="1853"/>
      <c r="C316" s="1853"/>
      <c r="D316" s="1853"/>
      <c r="E316" s="1853"/>
      <c r="F316" s="1853"/>
      <c r="G316" s="1853"/>
      <c r="H316" s="1853"/>
    </row>
    <row r="317" spans="1:8">
      <c r="A317" s="1853"/>
      <c r="B317" s="1853"/>
      <c r="C317" s="1853"/>
      <c r="D317" s="1853"/>
      <c r="E317" s="1853"/>
      <c r="F317" s="1853"/>
      <c r="G317" s="1853"/>
      <c r="H317" s="1853"/>
    </row>
    <row r="318" spans="1:8">
      <c r="A318" s="1853"/>
      <c r="B318" s="1853"/>
      <c r="C318" s="1853"/>
      <c r="D318" s="1853"/>
      <c r="E318" s="1853"/>
      <c r="F318" s="1853"/>
      <c r="G318" s="1853"/>
      <c r="H318" s="1853"/>
    </row>
    <row r="319" spans="1:8">
      <c r="A319" s="1853"/>
      <c r="B319" s="1853"/>
      <c r="C319" s="1853"/>
      <c r="D319" s="1853"/>
      <c r="E319" s="1853"/>
      <c r="F319" s="1853"/>
      <c r="G319" s="1853"/>
      <c r="H319" s="1853"/>
    </row>
    <row r="320" spans="1:8">
      <c r="A320" s="1853"/>
      <c r="B320" s="1853"/>
      <c r="C320" s="1853"/>
      <c r="D320" s="1853"/>
      <c r="E320" s="1853"/>
      <c r="F320" s="1853"/>
      <c r="G320" s="1853"/>
      <c r="H320" s="1853"/>
    </row>
    <row r="321" spans="1:8">
      <c r="A321" s="1853"/>
      <c r="B321" s="1853"/>
      <c r="C321" s="1853"/>
      <c r="D321" s="1853"/>
      <c r="E321" s="1853"/>
      <c r="F321" s="1853"/>
      <c r="G321" s="1853"/>
      <c r="H321" s="1853"/>
    </row>
    <row r="322" spans="1:8">
      <c r="A322" s="1853"/>
      <c r="B322" s="1853"/>
      <c r="C322" s="1853"/>
      <c r="D322" s="1853"/>
      <c r="E322" s="1853"/>
      <c r="F322" s="1853"/>
      <c r="G322" s="1853"/>
      <c r="H322" s="1853"/>
    </row>
    <row r="323" spans="1:8">
      <c r="A323" s="1853"/>
      <c r="B323" s="1853"/>
      <c r="C323" s="1853"/>
      <c r="D323" s="1853"/>
      <c r="E323" s="1853"/>
      <c r="F323" s="1853"/>
      <c r="G323" s="1853"/>
      <c r="H323" s="1853"/>
    </row>
    <row r="324" spans="1:8">
      <c r="A324" s="1853"/>
      <c r="B324" s="1853"/>
      <c r="C324" s="1853"/>
      <c r="D324" s="1853"/>
      <c r="E324" s="1853"/>
      <c r="F324" s="1853"/>
      <c r="G324" s="1853"/>
      <c r="H324" s="1853"/>
    </row>
    <row r="325" spans="1:8">
      <c r="A325" s="1853"/>
      <c r="B325" s="1853"/>
      <c r="C325" s="1853"/>
      <c r="D325" s="1853"/>
      <c r="E325" s="1853"/>
      <c r="F325" s="1853"/>
      <c r="G325" s="1853"/>
      <c r="H325" s="1853"/>
    </row>
    <row r="326" spans="1:8">
      <c r="A326" s="1853"/>
      <c r="B326" s="1853"/>
      <c r="C326" s="1853"/>
      <c r="D326" s="1853"/>
      <c r="E326" s="1853"/>
      <c r="F326" s="1853"/>
      <c r="G326" s="1853"/>
      <c r="H326" s="1853"/>
    </row>
    <row r="327" spans="1:8">
      <c r="A327" s="1853"/>
      <c r="B327" s="1853"/>
      <c r="C327" s="1853"/>
      <c r="D327" s="1853"/>
      <c r="E327" s="1853"/>
      <c r="F327" s="1853"/>
      <c r="G327" s="1853"/>
      <c r="H327" s="1853"/>
    </row>
    <row r="328" spans="1:8">
      <c r="A328" s="1853"/>
      <c r="B328" s="1853"/>
      <c r="C328" s="1853"/>
      <c r="D328" s="1853"/>
      <c r="E328" s="1853"/>
      <c r="F328" s="1853"/>
      <c r="G328" s="1853"/>
      <c r="H328" s="1853"/>
    </row>
    <row r="329" spans="1:8">
      <c r="A329" s="1853"/>
      <c r="B329" s="1853"/>
      <c r="C329" s="1853"/>
      <c r="D329" s="1853"/>
      <c r="E329" s="1853"/>
      <c r="F329" s="1853"/>
      <c r="G329" s="1853"/>
      <c r="H329" s="1853"/>
    </row>
    <row r="330" spans="1:8">
      <c r="A330" s="1853"/>
      <c r="B330" s="1853"/>
      <c r="C330" s="1853"/>
      <c r="D330" s="1853"/>
      <c r="E330" s="1853"/>
      <c r="F330" s="1853"/>
      <c r="G330" s="1853"/>
      <c r="H330" s="1853"/>
    </row>
    <row r="331" spans="1:8">
      <c r="A331" s="1853"/>
      <c r="B331" s="1853"/>
      <c r="C331" s="1853"/>
      <c r="D331" s="1853"/>
      <c r="E331" s="1853"/>
      <c r="F331" s="1853"/>
      <c r="G331" s="1853"/>
      <c r="H331" s="1853"/>
    </row>
    <row r="332" spans="1:8">
      <c r="A332" s="1853"/>
      <c r="B332" s="1853"/>
      <c r="C332" s="1853"/>
      <c r="D332" s="1853"/>
      <c r="E332" s="1853"/>
      <c r="F332" s="1853"/>
      <c r="G332" s="1853"/>
      <c r="H332" s="1853"/>
    </row>
    <row r="333" spans="1:8">
      <c r="A333" s="1853"/>
      <c r="B333" s="1853"/>
      <c r="C333" s="1853"/>
      <c r="D333" s="1853"/>
      <c r="E333" s="1853"/>
      <c r="F333" s="1853"/>
      <c r="G333" s="1853"/>
      <c r="H333" s="1853"/>
    </row>
    <row r="334" spans="1:8">
      <c r="A334" s="1853"/>
      <c r="B334" s="1853"/>
      <c r="C334" s="1853"/>
      <c r="D334" s="1853"/>
      <c r="E334" s="1853"/>
      <c r="F334" s="1853"/>
      <c r="G334" s="1853"/>
      <c r="H334" s="1853"/>
    </row>
    <row r="335" spans="1:8">
      <c r="A335" s="1853"/>
      <c r="B335" s="1853"/>
      <c r="C335" s="1853"/>
      <c r="D335" s="1853"/>
      <c r="E335" s="1853"/>
      <c r="F335" s="1853"/>
      <c r="G335" s="1853"/>
      <c r="H335" s="1853"/>
    </row>
    <row r="336" spans="1:8">
      <c r="A336" s="1853"/>
      <c r="B336" s="1853"/>
      <c r="C336" s="1853"/>
      <c r="D336" s="1853"/>
      <c r="E336" s="1853"/>
      <c r="F336" s="1853"/>
      <c r="G336" s="1853"/>
      <c r="H336" s="1853"/>
    </row>
    <row r="337" spans="1:8">
      <c r="A337" s="1853"/>
      <c r="B337" s="1853"/>
      <c r="C337" s="1853"/>
      <c r="D337" s="1853"/>
      <c r="E337" s="1853"/>
      <c r="F337" s="1853"/>
      <c r="G337" s="1853"/>
      <c r="H337" s="1853"/>
    </row>
    <row r="338" spans="1:8">
      <c r="A338" s="1853"/>
      <c r="B338" s="1853"/>
      <c r="C338" s="1853"/>
      <c r="D338" s="1853"/>
      <c r="E338" s="1853"/>
      <c r="F338" s="1853"/>
      <c r="G338" s="1853"/>
      <c r="H338" s="1853"/>
    </row>
    <row r="339" spans="1:8">
      <c r="A339" s="1853"/>
      <c r="B339" s="1853"/>
      <c r="C339" s="1853"/>
      <c r="D339" s="1853"/>
      <c r="E339" s="1853"/>
      <c r="F339" s="1853"/>
      <c r="G339" s="1853"/>
      <c r="H339" s="1853"/>
    </row>
    <row r="340" spans="1:8">
      <c r="A340" s="1853"/>
      <c r="B340" s="1853"/>
      <c r="C340" s="1853"/>
      <c r="D340" s="1853"/>
      <c r="E340" s="1853"/>
      <c r="F340" s="1853"/>
      <c r="G340" s="1853"/>
      <c r="H340" s="1853"/>
    </row>
    <row r="341" spans="1:8">
      <c r="A341" s="1853"/>
      <c r="B341" s="1853"/>
      <c r="C341" s="1853"/>
      <c r="D341" s="1853"/>
      <c r="E341" s="1853"/>
      <c r="F341" s="1853"/>
      <c r="G341" s="1853"/>
      <c r="H341" s="1853"/>
    </row>
    <row r="342" spans="1:8">
      <c r="A342" s="1853"/>
      <c r="B342" s="1853"/>
      <c r="C342" s="1853"/>
      <c r="D342" s="1853"/>
      <c r="E342" s="1853"/>
      <c r="F342" s="1853"/>
      <c r="G342" s="1853"/>
      <c r="H342" s="1853"/>
    </row>
    <row r="343" spans="1:8">
      <c r="A343" s="1853"/>
      <c r="B343" s="1853"/>
      <c r="C343" s="1853"/>
      <c r="D343" s="1853"/>
      <c r="E343" s="1853"/>
      <c r="F343" s="1853"/>
      <c r="G343" s="1853"/>
      <c r="H343" s="1853"/>
    </row>
    <row r="344" spans="1:8">
      <c r="A344" s="1853"/>
      <c r="B344" s="1853"/>
      <c r="C344" s="1853"/>
      <c r="D344" s="1853"/>
      <c r="E344" s="1853"/>
      <c r="F344" s="1853"/>
      <c r="G344" s="1853"/>
      <c r="H344" s="1853"/>
    </row>
    <row r="345" spans="1:8">
      <c r="A345" s="1853"/>
      <c r="B345" s="1853"/>
      <c r="C345" s="1853"/>
      <c r="D345" s="1853"/>
      <c r="E345" s="1853"/>
      <c r="F345" s="1853"/>
      <c r="G345" s="1853"/>
      <c r="H345" s="1853"/>
    </row>
    <row r="346" spans="1:8">
      <c r="A346" s="1853"/>
      <c r="B346" s="1853"/>
      <c r="C346" s="1853"/>
      <c r="D346" s="1853"/>
      <c r="E346" s="1853"/>
      <c r="F346" s="1853"/>
      <c r="G346" s="1853"/>
      <c r="H346" s="1853"/>
    </row>
    <row r="347" spans="1:8">
      <c r="A347" s="1853"/>
      <c r="B347" s="1853"/>
      <c r="C347" s="1853"/>
      <c r="D347" s="1853"/>
      <c r="E347" s="1853"/>
      <c r="F347" s="1853"/>
      <c r="G347" s="1853"/>
      <c r="H347" s="1853"/>
    </row>
    <row r="348" spans="1:8">
      <c r="A348" s="1853"/>
      <c r="B348" s="1853"/>
      <c r="C348" s="1853"/>
      <c r="D348" s="1853"/>
      <c r="E348" s="1853"/>
      <c r="F348" s="1853"/>
      <c r="G348" s="1853"/>
      <c r="H348" s="1853"/>
    </row>
    <row r="349" spans="1:8">
      <c r="A349" s="1853"/>
      <c r="B349" s="1853"/>
      <c r="C349" s="1853"/>
      <c r="D349" s="1853"/>
      <c r="E349" s="1853"/>
      <c r="F349" s="1853"/>
      <c r="G349" s="1853"/>
      <c r="H349" s="1853"/>
    </row>
    <row r="350" spans="1:8">
      <c r="A350" s="1853"/>
      <c r="B350" s="1853"/>
      <c r="C350" s="1853"/>
      <c r="D350" s="1853"/>
      <c r="E350" s="1853"/>
      <c r="F350" s="1853"/>
      <c r="G350" s="1853"/>
      <c r="H350" s="1853"/>
    </row>
    <row r="351" spans="1:8">
      <c r="A351" s="1853"/>
      <c r="B351" s="1853"/>
      <c r="C351" s="1853"/>
      <c r="D351" s="1853"/>
      <c r="E351" s="1853"/>
      <c r="F351" s="1853"/>
      <c r="G351" s="1853"/>
      <c r="H351" s="1853"/>
    </row>
    <row r="352" spans="1:8">
      <c r="A352" s="1853"/>
      <c r="B352" s="1853"/>
      <c r="C352" s="1853"/>
      <c r="D352" s="1853"/>
      <c r="E352" s="1853"/>
      <c r="F352" s="1853"/>
      <c r="G352" s="1853"/>
      <c r="H352" s="1853"/>
    </row>
    <row r="353" spans="1:8">
      <c r="A353" s="1853"/>
      <c r="B353" s="1853"/>
      <c r="C353" s="1853"/>
      <c r="D353" s="1853"/>
      <c r="E353" s="1853"/>
      <c r="F353" s="1853"/>
      <c r="G353" s="1853"/>
      <c r="H353" s="1853"/>
    </row>
    <row r="354" spans="1:8">
      <c r="A354" s="1853"/>
      <c r="B354" s="1853"/>
      <c r="C354" s="1853"/>
      <c r="D354" s="1853"/>
      <c r="E354" s="1853"/>
      <c r="F354" s="1853"/>
      <c r="G354" s="1853"/>
      <c r="H354" s="1853"/>
    </row>
    <row r="355" spans="1:8">
      <c r="A355" s="1853"/>
      <c r="B355" s="1853"/>
      <c r="C355" s="1853"/>
      <c r="D355" s="1853"/>
      <c r="E355" s="1853"/>
      <c r="F355" s="1853"/>
      <c r="G355" s="1853"/>
      <c r="H355" s="1853"/>
    </row>
    <row r="356" spans="1:8">
      <c r="A356" s="1853"/>
      <c r="B356" s="1853"/>
      <c r="C356" s="1853"/>
      <c r="D356" s="1853"/>
      <c r="E356" s="1853"/>
      <c r="F356" s="1853"/>
      <c r="G356" s="1853"/>
      <c r="H356" s="1853"/>
    </row>
    <row r="357" spans="1:8">
      <c r="A357" s="1853"/>
      <c r="B357" s="1853"/>
      <c r="C357" s="1853"/>
      <c r="D357" s="1853"/>
      <c r="E357" s="1853"/>
      <c r="F357" s="1853"/>
      <c r="G357" s="1853"/>
      <c r="H357" s="1853"/>
    </row>
    <row r="358" spans="1:8">
      <c r="A358" s="1853"/>
      <c r="B358" s="1853"/>
      <c r="C358" s="1853"/>
      <c r="D358" s="1853"/>
      <c r="E358" s="1853"/>
      <c r="F358" s="1853"/>
      <c r="G358" s="1853"/>
      <c r="H358" s="1853"/>
    </row>
    <row r="359" spans="1:8">
      <c r="A359" s="1853"/>
      <c r="B359" s="1853"/>
      <c r="C359" s="1853"/>
      <c r="D359" s="1853"/>
      <c r="E359" s="1853"/>
      <c r="F359" s="1853"/>
      <c r="G359" s="1853"/>
      <c r="H359" s="1853"/>
    </row>
    <row r="360" spans="1:8">
      <c r="A360" s="1853"/>
      <c r="B360" s="1853"/>
      <c r="C360" s="1853"/>
      <c r="D360" s="1853"/>
      <c r="E360" s="1853"/>
      <c r="F360" s="1853"/>
      <c r="G360" s="1853"/>
      <c r="H360" s="1853"/>
    </row>
    <row r="361" spans="1:8">
      <c r="A361" s="1853"/>
      <c r="B361" s="1853"/>
      <c r="C361" s="1853"/>
      <c r="D361" s="1853"/>
      <c r="E361" s="1853"/>
      <c r="F361" s="1853"/>
      <c r="G361" s="1853"/>
      <c r="H361" s="1853"/>
    </row>
    <row r="362" spans="1:8">
      <c r="A362" s="1853"/>
      <c r="B362" s="1853"/>
      <c r="C362" s="1853"/>
      <c r="D362" s="1853"/>
      <c r="E362" s="1853"/>
      <c r="F362" s="1853"/>
      <c r="G362" s="1853"/>
      <c r="H362" s="1853"/>
    </row>
    <row r="363" spans="1:8">
      <c r="A363" s="1853"/>
      <c r="B363" s="1853"/>
      <c r="C363" s="1853"/>
      <c r="D363" s="1853"/>
      <c r="E363" s="1853"/>
      <c r="F363" s="1853"/>
      <c r="G363" s="1853"/>
      <c r="H363" s="1853"/>
    </row>
    <row r="364" spans="1:8">
      <c r="A364" s="1853"/>
      <c r="B364" s="1853"/>
      <c r="C364" s="1853"/>
      <c r="D364" s="1853"/>
      <c r="E364" s="1853"/>
      <c r="F364" s="1853"/>
      <c r="G364" s="1853"/>
      <c r="H364" s="1853"/>
    </row>
    <row r="365" spans="1:8">
      <c r="A365" s="1853"/>
      <c r="B365" s="1853"/>
      <c r="C365" s="1853"/>
      <c r="D365" s="1853"/>
      <c r="E365" s="1853"/>
      <c r="F365" s="1853"/>
      <c r="G365" s="1853"/>
      <c r="H365" s="1853"/>
    </row>
    <row r="366" spans="1:8">
      <c r="A366" s="1853"/>
      <c r="B366" s="1853"/>
      <c r="C366" s="1853"/>
      <c r="D366" s="1853"/>
      <c r="E366" s="1853"/>
      <c r="F366" s="1853"/>
      <c r="G366" s="1853"/>
      <c r="H366" s="1853"/>
    </row>
    <row r="367" spans="1:8">
      <c r="A367" s="1853"/>
      <c r="B367" s="1853"/>
      <c r="C367" s="1853"/>
      <c r="D367" s="1853"/>
      <c r="E367" s="1853"/>
      <c r="F367" s="1853"/>
      <c r="G367" s="1853"/>
      <c r="H367" s="1853"/>
    </row>
    <row r="368" spans="1:8">
      <c r="A368" s="1853"/>
      <c r="B368" s="1853"/>
      <c r="C368" s="1853"/>
      <c r="D368" s="1853"/>
      <c r="E368" s="1853"/>
      <c r="F368" s="1853"/>
      <c r="G368" s="1853"/>
      <c r="H368" s="1853"/>
    </row>
    <row r="369" spans="1:8">
      <c r="A369" s="1853"/>
      <c r="B369" s="1853"/>
      <c r="C369" s="1853"/>
      <c r="D369" s="1853"/>
      <c r="E369" s="1853"/>
      <c r="F369" s="1853"/>
      <c r="G369" s="1853"/>
      <c r="H369" s="1853"/>
    </row>
    <row r="370" spans="1:8">
      <c r="A370" s="1853"/>
      <c r="B370" s="1853"/>
      <c r="C370" s="1853"/>
      <c r="D370" s="1853"/>
      <c r="E370" s="1853"/>
      <c r="F370" s="1853"/>
      <c r="G370" s="1853"/>
      <c r="H370" s="1853"/>
    </row>
    <row r="371" spans="1:8">
      <c r="A371" s="1853"/>
      <c r="B371" s="1853"/>
      <c r="C371" s="1853"/>
      <c r="D371" s="1853"/>
      <c r="E371" s="1853"/>
      <c r="F371" s="1853"/>
      <c r="G371" s="1853"/>
      <c r="H371" s="1853"/>
    </row>
    <row r="372" spans="1:8">
      <c r="A372" s="1853"/>
      <c r="B372" s="1853"/>
      <c r="C372" s="1853"/>
      <c r="D372" s="1853"/>
      <c r="E372" s="1853"/>
      <c r="F372" s="1853"/>
      <c r="G372" s="1853"/>
      <c r="H372" s="1853"/>
    </row>
    <row r="373" spans="1:8">
      <c r="A373" s="1853"/>
      <c r="B373" s="1853"/>
      <c r="C373" s="1853"/>
      <c r="D373" s="1853"/>
      <c r="E373" s="1853"/>
      <c r="F373" s="1853"/>
      <c r="G373" s="1853"/>
      <c r="H373" s="1853"/>
    </row>
    <row r="374" spans="1:8">
      <c r="A374" s="1853"/>
      <c r="B374" s="1853"/>
      <c r="C374" s="1853"/>
      <c r="D374" s="1853"/>
      <c r="E374" s="1853"/>
      <c r="F374" s="1853"/>
      <c r="G374" s="1853"/>
      <c r="H374" s="1853"/>
    </row>
    <row r="375" spans="1:8">
      <c r="A375" s="1853"/>
      <c r="B375" s="1853"/>
      <c r="C375" s="1853"/>
      <c r="D375" s="1853"/>
      <c r="E375" s="1853"/>
      <c r="F375" s="1853"/>
      <c r="G375" s="1853"/>
      <c r="H375" s="1853"/>
    </row>
    <row r="376" spans="1:8">
      <c r="A376" s="1853"/>
      <c r="B376" s="1853"/>
      <c r="C376" s="1853"/>
      <c r="D376" s="1853"/>
      <c r="E376" s="1853"/>
      <c r="F376" s="1853"/>
      <c r="G376" s="1853"/>
      <c r="H376" s="1853"/>
    </row>
    <row r="377" spans="1:8">
      <c r="A377" s="1853"/>
      <c r="B377" s="1853"/>
      <c r="C377" s="1853"/>
      <c r="D377" s="1853"/>
      <c r="E377" s="1853"/>
      <c r="F377" s="1853"/>
      <c r="G377" s="1853"/>
      <c r="H377" s="1853"/>
    </row>
    <row r="378" spans="1:8">
      <c r="A378" s="1853"/>
      <c r="B378" s="1853"/>
      <c r="C378" s="1853"/>
      <c r="D378" s="1853"/>
      <c r="E378" s="1853"/>
      <c r="F378" s="1853"/>
      <c r="G378" s="1853"/>
      <c r="H378" s="1853"/>
    </row>
    <row r="379" spans="1:8">
      <c r="A379" s="1853"/>
      <c r="B379" s="1853"/>
      <c r="C379" s="1853"/>
      <c r="D379" s="1853"/>
      <c r="E379" s="1853"/>
      <c r="F379" s="1853"/>
      <c r="G379" s="1853"/>
      <c r="H379" s="1853"/>
    </row>
    <row r="380" spans="1:8">
      <c r="A380" s="1853"/>
      <c r="B380" s="1853"/>
      <c r="C380" s="1853"/>
      <c r="D380" s="1853"/>
      <c r="E380" s="1853"/>
      <c r="F380" s="1853"/>
      <c r="G380" s="1853"/>
      <c r="H380" s="1853"/>
    </row>
    <row r="381" spans="1:8">
      <c r="A381" s="1853"/>
      <c r="B381" s="1853"/>
      <c r="C381" s="1853"/>
      <c r="D381" s="1853"/>
      <c r="E381" s="1853"/>
      <c r="F381" s="1853"/>
      <c r="G381" s="1853"/>
      <c r="H381" s="1853"/>
    </row>
    <row r="382" spans="1:8">
      <c r="A382" s="1853"/>
      <c r="B382" s="1853"/>
      <c r="C382" s="1853"/>
      <c r="D382" s="1853"/>
      <c r="E382" s="1853"/>
      <c r="F382" s="1853"/>
      <c r="G382" s="1853"/>
      <c r="H382" s="1853"/>
    </row>
    <row r="383" spans="1:8">
      <c r="A383" s="1853"/>
      <c r="B383" s="1853"/>
      <c r="C383" s="1853"/>
      <c r="D383" s="1853"/>
      <c r="E383" s="1853"/>
      <c r="F383" s="1853"/>
      <c r="G383" s="1853"/>
      <c r="H383" s="1853"/>
    </row>
    <row r="384" spans="1:8">
      <c r="A384" s="1853"/>
      <c r="B384" s="1853"/>
      <c r="C384" s="1853"/>
      <c r="D384" s="1853"/>
      <c r="E384" s="1853"/>
      <c r="F384" s="1853"/>
      <c r="G384" s="1853"/>
      <c r="H384" s="1853"/>
    </row>
    <row r="385" spans="1:8">
      <c r="A385" s="1853"/>
      <c r="B385" s="1853"/>
      <c r="C385" s="1853"/>
      <c r="D385" s="1853"/>
      <c r="E385" s="1853"/>
      <c r="F385" s="1853"/>
      <c r="G385" s="1853"/>
      <c r="H385" s="1853"/>
    </row>
    <row r="386" spans="1:8">
      <c r="A386" s="1853"/>
      <c r="B386" s="1853"/>
      <c r="C386" s="1853"/>
      <c r="D386" s="1853"/>
      <c r="E386" s="1853"/>
      <c r="F386" s="1853"/>
      <c r="G386" s="1853"/>
      <c r="H386" s="1853"/>
    </row>
    <row r="387" spans="1:8">
      <c r="A387" s="1853"/>
      <c r="B387" s="1853"/>
      <c r="C387" s="1853"/>
      <c r="D387" s="1853"/>
      <c r="E387" s="1853"/>
      <c r="F387" s="1853"/>
      <c r="G387" s="1853"/>
      <c r="H387" s="1853"/>
    </row>
    <row r="388" spans="1:8">
      <c r="A388" s="1853"/>
      <c r="B388" s="1853"/>
      <c r="C388" s="1853"/>
      <c r="D388" s="1853"/>
      <c r="E388" s="1853"/>
      <c r="F388" s="1853"/>
      <c r="G388" s="1853"/>
      <c r="H388" s="1853"/>
    </row>
    <row r="389" spans="1:8">
      <c r="A389" s="1853"/>
      <c r="B389" s="1853"/>
      <c r="C389" s="1853"/>
      <c r="D389" s="1853"/>
      <c r="E389" s="1853"/>
      <c r="F389" s="1853"/>
      <c r="G389" s="1853"/>
      <c r="H389" s="1853"/>
    </row>
    <row r="390" spans="1:8">
      <c r="A390" s="1853"/>
      <c r="B390" s="1853"/>
      <c r="C390" s="1853"/>
      <c r="D390" s="1853"/>
      <c r="E390" s="1853"/>
      <c r="F390" s="1853"/>
      <c r="G390" s="1853"/>
      <c r="H390" s="1853"/>
    </row>
    <row r="391" spans="1:8">
      <c r="A391" s="1853"/>
      <c r="B391" s="1853"/>
      <c r="C391" s="1853"/>
      <c r="D391" s="1853"/>
      <c r="E391" s="1853"/>
      <c r="F391" s="1853"/>
      <c r="G391" s="1853"/>
      <c r="H391" s="1853"/>
    </row>
    <row r="392" spans="1:8">
      <c r="A392" s="1853"/>
      <c r="B392" s="1853"/>
      <c r="C392" s="1853"/>
      <c r="D392" s="1853"/>
      <c r="E392" s="1853"/>
      <c r="F392" s="1853"/>
      <c r="G392" s="1853"/>
      <c r="H392" s="1853"/>
    </row>
    <row r="393" spans="1:8">
      <c r="A393" s="1853"/>
      <c r="B393" s="1853"/>
      <c r="C393" s="1853"/>
      <c r="D393" s="1853"/>
      <c r="E393" s="1853"/>
      <c r="F393" s="1853"/>
      <c r="G393" s="1853"/>
      <c r="H393" s="1853"/>
    </row>
    <row r="394" spans="1:8">
      <c r="A394" s="1853"/>
      <c r="B394" s="1853"/>
      <c r="C394" s="1853"/>
      <c r="D394" s="1853"/>
      <c r="E394" s="1853"/>
      <c r="F394" s="1853"/>
      <c r="G394" s="1853"/>
      <c r="H394" s="1853"/>
    </row>
    <row r="395" spans="1:8">
      <c r="A395" s="1853"/>
      <c r="B395" s="1853"/>
      <c r="C395" s="1853"/>
      <c r="D395" s="1853"/>
      <c r="E395" s="1853"/>
      <c r="F395" s="1853"/>
      <c r="G395" s="1853"/>
      <c r="H395" s="1853"/>
    </row>
    <row r="396" spans="1:8">
      <c r="A396" s="1853"/>
      <c r="B396" s="1853"/>
      <c r="C396" s="1853"/>
      <c r="D396" s="1853"/>
      <c r="E396" s="1853"/>
      <c r="F396" s="1853"/>
      <c r="G396" s="1853"/>
      <c r="H396" s="1853"/>
    </row>
    <row r="397" spans="1:8">
      <c r="A397" s="1853"/>
      <c r="B397" s="1853"/>
      <c r="C397" s="1853"/>
      <c r="D397" s="1853"/>
      <c r="E397" s="1853"/>
      <c r="F397" s="1853"/>
      <c r="G397" s="1853"/>
      <c r="H397" s="1853"/>
    </row>
    <row r="398" spans="1:8">
      <c r="A398" s="1853"/>
      <c r="B398" s="1853"/>
      <c r="C398" s="1853"/>
      <c r="D398" s="1853"/>
      <c r="E398" s="1853"/>
      <c r="F398" s="1853"/>
      <c r="G398" s="1853"/>
      <c r="H398" s="1853"/>
    </row>
    <row r="399" spans="1:8">
      <c r="A399" s="1853"/>
      <c r="B399" s="1853"/>
      <c r="C399" s="1853"/>
      <c r="D399" s="1853"/>
      <c r="E399" s="1853"/>
      <c r="F399" s="1853"/>
      <c r="G399" s="1853"/>
      <c r="H399" s="1853"/>
    </row>
    <row r="400" spans="1:8">
      <c r="A400" s="1853"/>
      <c r="B400" s="1853"/>
      <c r="C400" s="1853"/>
      <c r="D400" s="1853"/>
      <c r="E400" s="1853"/>
      <c r="F400" s="1853"/>
      <c r="G400" s="1853"/>
      <c r="H400" s="1853"/>
    </row>
    <row r="401" spans="1:8">
      <c r="A401" s="1853"/>
      <c r="B401" s="1853"/>
      <c r="C401" s="1853"/>
      <c r="D401" s="1853"/>
      <c r="E401" s="1853"/>
      <c r="F401" s="1853"/>
      <c r="G401" s="1853"/>
      <c r="H401" s="1853"/>
    </row>
    <row r="402" spans="1:8">
      <c r="A402" s="1853"/>
      <c r="B402" s="1853"/>
      <c r="C402" s="1853"/>
      <c r="D402" s="1853"/>
      <c r="E402" s="1853"/>
      <c r="F402" s="1853"/>
      <c r="G402" s="1853"/>
      <c r="H402" s="1853"/>
    </row>
    <row r="403" spans="1:8">
      <c r="A403" s="1853"/>
      <c r="B403" s="1853"/>
      <c r="C403" s="1853"/>
      <c r="D403" s="1853"/>
      <c r="E403" s="1853"/>
      <c r="F403" s="1853"/>
      <c r="G403" s="1853"/>
      <c r="H403" s="1853"/>
    </row>
    <row r="404" spans="1:8">
      <c r="A404" s="1853"/>
      <c r="B404" s="1853"/>
      <c r="C404" s="1853"/>
      <c r="D404" s="1853"/>
      <c r="E404" s="1853"/>
      <c r="F404" s="1853"/>
      <c r="G404" s="1853"/>
      <c r="H404" s="1853"/>
    </row>
    <row r="405" spans="1:8">
      <c r="A405" s="1853"/>
      <c r="B405" s="1853"/>
      <c r="C405" s="1853"/>
      <c r="D405" s="1853"/>
      <c r="E405" s="1853"/>
      <c r="F405" s="1853"/>
      <c r="G405" s="1853"/>
      <c r="H405" s="1853"/>
    </row>
    <row r="406" spans="1:8">
      <c r="A406" s="1853"/>
      <c r="B406" s="1853"/>
      <c r="C406" s="1853"/>
      <c r="D406" s="1853"/>
      <c r="E406" s="1853"/>
      <c r="F406" s="1853"/>
      <c r="G406" s="1853"/>
      <c r="H406" s="1853"/>
    </row>
    <row r="407" spans="1:8">
      <c r="A407" s="1853"/>
      <c r="B407" s="1853"/>
      <c r="C407" s="1853"/>
      <c r="D407" s="1853"/>
      <c r="E407" s="1853"/>
      <c r="F407" s="1853"/>
      <c r="G407" s="1853"/>
      <c r="H407" s="1853"/>
    </row>
    <row r="408" spans="1:8">
      <c r="A408" s="1853"/>
      <c r="B408" s="1853"/>
      <c r="C408" s="1853"/>
      <c r="D408" s="1853"/>
      <c r="E408" s="1853"/>
      <c r="F408" s="1853"/>
      <c r="G408" s="1853"/>
      <c r="H408" s="1853"/>
    </row>
    <row r="409" spans="1:8">
      <c r="A409" s="1853"/>
      <c r="B409" s="1853"/>
      <c r="C409" s="1853"/>
      <c r="D409" s="1853"/>
      <c r="E409" s="1853"/>
      <c r="F409" s="1853"/>
      <c r="G409" s="1853"/>
      <c r="H409" s="1853"/>
    </row>
    <row r="410" spans="1:8">
      <c r="A410" s="1853"/>
      <c r="B410" s="1853"/>
      <c r="C410" s="1853"/>
      <c r="D410" s="1853"/>
      <c r="E410" s="1853"/>
      <c r="F410" s="1853"/>
      <c r="G410" s="1853"/>
      <c r="H410" s="1853"/>
    </row>
    <row r="411" spans="1:8">
      <c r="A411" s="1853"/>
      <c r="B411" s="1853"/>
      <c r="C411" s="1853"/>
      <c r="D411" s="1853"/>
      <c r="E411" s="1853"/>
      <c r="F411" s="1853"/>
      <c r="G411" s="1853"/>
      <c r="H411" s="1853"/>
    </row>
    <row r="412" spans="1:8">
      <c r="A412" s="1853"/>
      <c r="B412" s="1853"/>
      <c r="C412" s="1853"/>
      <c r="D412" s="1853"/>
      <c r="E412" s="1853"/>
      <c r="F412" s="1853"/>
      <c r="G412" s="1853"/>
      <c r="H412" s="1853"/>
    </row>
    <row r="413" spans="1:8">
      <c r="A413" s="1853"/>
      <c r="B413" s="1853"/>
      <c r="C413" s="1853"/>
      <c r="D413" s="1853"/>
      <c r="E413" s="1853"/>
      <c r="F413" s="1853"/>
      <c r="G413" s="1853"/>
      <c r="H413" s="1853"/>
    </row>
    <row r="414" spans="1:8">
      <c r="A414" s="1853"/>
      <c r="B414" s="1853"/>
      <c r="C414" s="1853"/>
      <c r="D414" s="1853"/>
      <c r="E414" s="1853"/>
      <c r="F414" s="1853"/>
      <c r="G414" s="1853"/>
      <c r="H414" s="1853"/>
    </row>
    <row r="415" spans="1:8">
      <c r="A415" s="1853"/>
      <c r="B415" s="1853"/>
      <c r="C415" s="1853"/>
      <c r="D415" s="1853"/>
      <c r="E415" s="1853"/>
      <c r="F415" s="1853"/>
      <c r="G415" s="1853"/>
      <c r="H415" s="1853"/>
    </row>
    <row r="416" spans="1:8">
      <c r="A416" s="1853"/>
      <c r="B416" s="1853"/>
      <c r="C416" s="1853"/>
      <c r="D416" s="1853"/>
      <c r="E416" s="1853"/>
      <c r="F416" s="1853"/>
      <c r="G416" s="1853"/>
      <c r="H416" s="1853"/>
    </row>
    <row r="417" spans="1:8">
      <c r="A417" s="1853"/>
      <c r="B417" s="1853"/>
      <c r="C417" s="1853"/>
      <c r="D417" s="1853"/>
      <c r="E417" s="1853"/>
      <c r="F417" s="1853"/>
      <c r="G417" s="1853"/>
      <c r="H417" s="1853"/>
    </row>
    <row r="418" spans="1:8">
      <c r="A418" s="1853"/>
      <c r="B418" s="1853"/>
      <c r="C418" s="1853"/>
      <c r="D418" s="1853"/>
      <c r="E418" s="1853"/>
      <c r="F418" s="1853"/>
      <c r="G418" s="1853"/>
      <c r="H418" s="1853"/>
    </row>
    <row r="419" spans="1:8">
      <c r="A419" s="1853"/>
      <c r="B419" s="1853"/>
      <c r="C419" s="1853"/>
      <c r="D419" s="1853"/>
      <c r="E419" s="1853"/>
      <c r="F419" s="1853"/>
      <c r="G419" s="1853"/>
      <c r="H419" s="1853"/>
    </row>
    <row r="420" spans="1:8">
      <c r="A420" s="1853"/>
      <c r="B420" s="1853"/>
      <c r="C420" s="1853"/>
      <c r="D420" s="1853"/>
      <c r="E420" s="1853"/>
      <c r="F420" s="1853"/>
      <c r="G420" s="1853"/>
      <c r="H420" s="1853"/>
    </row>
    <row r="421" spans="1:8">
      <c r="A421" s="1853"/>
      <c r="B421" s="1853"/>
      <c r="C421" s="1853"/>
      <c r="D421" s="1853"/>
      <c r="E421" s="1853"/>
      <c r="F421" s="1853"/>
      <c r="G421" s="1853"/>
      <c r="H421" s="1853"/>
    </row>
    <row r="422" spans="1:8">
      <c r="A422" s="1853"/>
      <c r="B422" s="1853"/>
      <c r="C422" s="1853"/>
      <c r="D422" s="1853"/>
      <c r="E422" s="1853"/>
      <c r="F422" s="1853"/>
      <c r="G422" s="1853"/>
      <c r="H422" s="1853"/>
    </row>
    <row r="423" spans="1:8">
      <c r="A423" s="1853"/>
      <c r="B423" s="1853"/>
      <c r="C423" s="1853"/>
      <c r="D423" s="1853"/>
      <c r="E423" s="1853"/>
      <c r="F423" s="1853"/>
      <c r="G423" s="1853"/>
      <c r="H423" s="1853"/>
    </row>
    <row r="424" spans="1:8">
      <c r="A424" s="1853"/>
      <c r="B424" s="1853"/>
      <c r="C424" s="1853"/>
      <c r="D424" s="1853"/>
      <c r="E424" s="1853"/>
      <c r="F424" s="1853"/>
      <c r="G424" s="1853"/>
      <c r="H424" s="1853"/>
    </row>
    <row r="425" spans="1:8">
      <c r="A425" s="1853"/>
      <c r="B425" s="1853"/>
      <c r="C425" s="1853"/>
      <c r="D425" s="1853"/>
      <c r="E425" s="1853"/>
      <c r="F425" s="1853"/>
      <c r="G425" s="1853"/>
      <c r="H425" s="1853"/>
    </row>
    <row r="426" spans="1:8">
      <c r="A426" s="1853"/>
      <c r="B426" s="1853"/>
      <c r="C426" s="1853"/>
      <c r="D426" s="1853"/>
      <c r="E426" s="1853"/>
      <c r="F426" s="1853"/>
      <c r="G426" s="1853"/>
      <c r="H426" s="1853"/>
    </row>
    <row r="427" spans="1:8">
      <c r="A427" s="1853"/>
      <c r="B427" s="1853"/>
      <c r="C427" s="1853"/>
      <c r="D427" s="1853"/>
      <c r="E427" s="1853"/>
      <c r="F427" s="1853"/>
      <c r="G427" s="1853"/>
      <c r="H427" s="1853"/>
    </row>
    <row r="428" spans="1:8">
      <c r="A428" s="1853"/>
      <c r="B428" s="1853"/>
      <c r="C428" s="1853"/>
      <c r="D428" s="1853"/>
      <c r="E428" s="1853"/>
      <c r="F428" s="1853"/>
      <c r="G428" s="1853"/>
      <c r="H428" s="1853"/>
    </row>
    <row r="429" spans="1:8">
      <c r="A429" s="1853"/>
      <c r="B429" s="1853"/>
      <c r="C429" s="1853"/>
      <c r="D429" s="1853"/>
      <c r="E429" s="1853"/>
      <c r="F429" s="1853"/>
      <c r="G429" s="1853"/>
      <c r="H429" s="1853"/>
    </row>
    <row r="430" spans="1:8">
      <c r="A430" s="1853"/>
      <c r="B430" s="1853"/>
      <c r="C430" s="1853"/>
      <c r="D430" s="1853"/>
      <c r="E430" s="1853"/>
      <c r="F430" s="1853"/>
      <c r="G430" s="1853"/>
      <c r="H430" s="1853"/>
    </row>
    <row r="431" spans="1:8">
      <c r="A431" s="1853"/>
      <c r="B431" s="1853"/>
      <c r="C431" s="1853"/>
      <c r="D431" s="1853"/>
      <c r="E431" s="1853"/>
      <c r="F431" s="1853"/>
      <c r="G431" s="1853"/>
      <c r="H431" s="1853"/>
    </row>
    <row r="432" spans="1:8">
      <c r="A432" s="1853"/>
      <c r="B432" s="1853"/>
      <c r="C432" s="1853"/>
      <c r="D432" s="1853"/>
      <c r="E432" s="1853"/>
      <c r="F432" s="1853"/>
      <c r="G432" s="1853"/>
      <c r="H432" s="1853"/>
    </row>
    <row r="433" spans="1:8">
      <c r="A433" s="1853"/>
      <c r="B433" s="1853"/>
      <c r="C433" s="1853"/>
      <c r="D433" s="1853"/>
      <c r="E433" s="1853"/>
      <c r="F433" s="1853"/>
      <c r="G433" s="1853"/>
      <c r="H433" s="1853"/>
    </row>
    <row r="434" spans="1:8">
      <c r="A434" s="1853"/>
      <c r="B434" s="1853"/>
      <c r="C434" s="1853"/>
      <c r="D434" s="1853"/>
      <c r="E434" s="1853"/>
      <c r="F434" s="1853"/>
      <c r="G434" s="1853"/>
      <c r="H434" s="1853"/>
    </row>
    <row r="435" spans="1:8">
      <c r="A435" s="1853"/>
      <c r="B435" s="1853"/>
      <c r="C435" s="1853"/>
      <c r="D435" s="1853"/>
      <c r="E435" s="1853"/>
      <c r="F435" s="1853"/>
      <c r="G435" s="1853"/>
      <c r="H435" s="1853"/>
    </row>
    <row r="436" spans="1:8">
      <c r="A436" s="1853"/>
      <c r="B436" s="1853"/>
      <c r="C436" s="1853"/>
      <c r="D436" s="1853"/>
      <c r="E436" s="1853"/>
      <c r="F436" s="1853"/>
      <c r="G436" s="1853"/>
      <c r="H436" s="1853"/>
    </row>
    <row r="437" spans="1:8">
      <c r="A437" s="1853"/>
      <c r="B437" s="1853"/>
      <c r="C437" s="1853"/>
      <c r="D437" s="1853"/>
      <c r="E437" s="1853"/>
      <c r="F437" s="1853"/>
      <c r="G437" s="1853"/>
      <c r="H437" s="1853"/>
    </row>
    <row r="438" spans="1:8">
      <c r="A438" s="1853"/>
      <c r="B438" s="1853"/>
      <c r="C438" s="1853"/>
      <c r="D438" s="1853"/>
      <c r="E438" s="1853"/>
      <c r="F438" s="1853"/>
      <c r="G438" s="1853"/>
      <c r="H438" s="1853"/>
    </row>
    <row r="439" spans="1:8">
      <c r="A439" s="1853"/>
      <c r="B439" s="1853"/>
      <c r="C439" s="1853"/>
      <c r="D439" s="1853"/>
      <c r="E439" s="1853"/>
      <c r="F439" s="1853"/>
      <c r="G439" s="1853"/>
      <c r="H439" s="1853"/>
    </row>
    <row r="440" spans="1:8">
      <c r="A440" s="1853"/>
      <c r="B440" s="1853"/>
      <c r="C440" s="1853"/>
      <c r="D440" s="1853"/>
      <c r="E440" s="1853"/>
      <c r="F440" s="1853"/>
      <c r="G440" s="1853"/>
      <c r="H440" s="1853"/>
    </row>
    <row r="441" spans="1:8">
      <c r="A441" s="1853"/>
      <c r="B441" s="1853"/>
      <c r="C441" s="1853"/>
      <c r="D441" s="1853"/>
      <c r="E441" s="1853"/>
      <c r="F441" s="1853"/>
      <c r="G441" s="1853"/>
      <c r="H441" s="1853"/>
    </row>
    <row r="442" spans="1:8">
      <c r="A442" s="1853"/>
      <c r="B442" s="1853"/>
      <c r="C442" s="1853"/>
      <c r="D442" s="1853"/>
      <c r="E442" s="1853"/>
      <c r="F442" s="1853"/>
      <c r="G442" s="1853"/>
      <c r="H442" s="1853"/>
    </row>
    <row r="443" spans="1:8">
      <c r="A443" s="1853"/>
      <c r="B443" s="1853"/>
      <c r="C443" s="1853"/>
      <c r="D443" s="1853"/>
      <c r="E443" s="1853"/>
      <c r="F443" s="1853"/>
      <c r="G443" s="1853"/>
      <c r="H443" s="1853"/>
    </row>
    <row r="444" spans="1:8">
      <c r="A444" s="1853"/>
      <c r="B444" s="1853"/>
      <c r="C444" s="1853"/>
      <c r="D444" s="1853"/>
      <c r="E444" s="1853"/>
      <c r="F444" s="1853"/>
      <c r="G444" s="1853"/>
      <c r="H444" s="1853"/>
    </row>
    <row r="445" spans="1:8">
      <c r="A445" s="1853"/>
      <c r="B445" s="1853"/>
      <c r="C445" s="1853"/>
      <c r="D445" s="1853"/>
      <c r="E445" s="1853"/>
      <c r="F445" s="1853"/>
      <c r="G445" s="1853"/>
      <c r="H445" s="1853"/>
    </row>
    <row r="446" spans="1:8">
      <c r="A446" s="1853"/>
      <c r="B446" s="1853"/>
      <c r="C446" s="1853"/>
      <c r="D446" s="1853"/>
      <c r="E446" s="1853"/>
      <c r="F446" s="1853"/>
      <c r="G446" s="1853"/>
      <c r="H446" s="1853"/>
    </row>
    <row r="447" spans="1:8">
      <c r="A447" s="1853"/>
      <c r="B447" s="1853"/>
      <c r="C447" s="1853"/>
      <c r="D447" s="1853"/>
      <c r="E447" s="1853"/>
      <c r="F447" s="1853"/>
      <c r="G447" s="1853"/>
      <c r="H447" s="1853"/>
    </row>
    <row r="448" spans="1:8">
      <c r="A448" s="1853"/>
      <c r="B448" s="1853"/>
      <c r="C448" s="1853"/>
      <c r="D448" s="1853"/>
      <c r="E448" s="1853"/>
      <c r="F448" s="1853"/>
      <c r="G448" s="1853"/>
      <c r="H448" s="1853"/>
    </row>
    <row r="449" spans="1:8">
      <c r="A449" s="1853"/>
      <c r="B449" s="1853"/>
      <c r="C449" s="1853"/>
      <c r="D449" s="1853"/>
      <c r="E449" s="1853"/>
      <c r="F449" s="1853"/>
      <c r="G449" s="1853"/>
      <c r="H449" s="1853"/>
    </row>
    <row r="450" spans="1:8">
      <c r="A450" s="1853"/>
      <c r="B450" s="1853"/>
      <c r="C450" s="1853"/>
      <c r="D450" s="1853"/>
      <c r="E450" s="1853"/>
      <c r="F450" s="1853"/>
      <c r="G450" s="1853"/>
      <c r="H450" s="1853"/>
    </row>
    <row r="451" spans="1:8">
      <c r="A451" s="1853"/>
      <c r="B451" s="1853"/>
      <c r="C451" s="1853"/>
      <c r="D451" s="1853"/>
      <c r="E451" s="1853"/>
      <c r="F451" s="1853"/>
      <c r="G451" s="1853"/>
      <c r="H451" s="1853"/>
    </row>
    <row r="452" spans="1:8">
      <c r="A452" s="1853"/>
      <c r="B452" s="1853"/>
      <c r="C452" s="1853"/>
      <c r="D452" s="1853"/>
      <c r="E452" s="1853"/>
      <c r="F452" s="1853"/>
      <c r="G452" s="1853"/>
      <c r="H452" s="1853"/>
    </row>
    <row r="453" spans="1:8">
      <c r="A453" s="1853"/>
      <c r="B453" s="1853"/>
      <c r="C453" s="1853"/>
      <c r="D453" s="1853"/>
      <c r="E453" s="1853"/>
      <c r="F453" s="1853"/>
      <c r="G453" s="1853"/>
      <c r="H453" s="1853"/>
    </row>
    <row r="454" spans="1:8">
      <c r="A454" s="1853"/>
      <c r="B454" s="1853"/>
      <c r="C454" s="1853"/>
      <c r="D454" s="1853"/>
      <c r="E454" s="1853"/>
      <c r="F454" s="1853"/>
      <c r="G454" s="1853"/>
      <c r="H454" s="1853"/>
    </row>
    <row r="455" spans="1:8">
      <c r="A455" s="1853"/>
      <c r="B455" s="1853"/>
      <c r="C455" s="1853"/>
      <c r="D455" s="1853"/>
      <c r="E455" s="1853"/>
      <c r="F455" s="1853"/>
      <c r="G455" s="1853"/>
      <c r="H455" s="1853"/>
    </row>
    <row r="456" spans="1:8">
      <c r="A456" s="1853"/>
      <c r="B456" s="1853"/>
      <c r="C456" s="1853"/>
      <c r="D456" s="1853"/>
      <c r="E456" s="1853"/>
      <c r="F456" s="1853"/>
      <c r="G456" s="1853"/>
      <c r="H456" s="1853"/>
    </row>
    <row r="457" spans="1:8">
      <c r="A457" s="1853"/>
      <c r="B457" s="1853"/>
      <c r="C457" s="1853"/>
      <c r="D457" s="1853"/>
      <c r="E457" s="1853"/>
      <c r="F457" s="1853"/>
      <c r="G457" s="1853"/>
      <c r="H457" s="1853"/>
    </row>
    <row r="458" spans="1:8">
      <c r="A458" s="1853"/>
      <c r="B458" s="1853"/>
      <c r="C458" s="1853"/>
      <c r="D458" s="1853"/>
      <c r="E458" s="1853"/>
      <c r="F458" s="1853"/>
      <c r="G458" s="1853"/>
      <c r="H458" s="1853"/>
    </row>
    <row r="459" spans="1:8">
      <c r="A459" s="1853"/>
      <c r="B459" s="1853"/>
      <c r="C459" s="1853"/>
      <c r="D459" s="1853"/>
      <c r="E459" s="1853"/>
      <c r="F459" s="1853"/>
      <c r="G459" s="1853"/>
      <c r="H459" s="1853"/>
    </row>
    <row r="460" spans="1:8">
      <c r="A460" s="1853"/>
      <c r="B460" s="1853"/>
      <c r="C460" s="1853"/>
      <c r="D460" s="1853"/>
      <c r="E460" s="1853"/>
      <c r="F460" s="1853"/>
      <c r="G460" s="1853"/>
      <c r="H460" s="1853"/>
    </row>
    <row r="461" spans="1:8">
      <c r="A461" s="1853"/>
      <c r="B461" s="1853"/>
      <c r="C461" s="1853"/>
      <c r="D461" s="1853"/>
      <c r="E461" s="1853"/>
      <c r="F461" s="1853"/>
      <c r="G461" s="1853"/>
      <c r="H461" s="1853"/>
    </row>
    <row r="462" spans="1:8">
      <c r="A462" s="1853"/>
      <c r="B462" s="1853"/>
      <c r="C462" s="1853"/>
      <c r="D462" s="1853"/>
      <c r="E462" s="1853"/>
      <c r="F462" s="1853"/>
      <c r="G462" s="1853"/>
      <c r="H462" s="1853"/>
    </row>
    <row r="463" spans="1:8">
      <c r="A463" s="1853"/>
      <c r="B463" s="1853"/>
      <c r="C463" s="1853"/>
      <c r="D463" s="1853"/>
      <c r="E463" s="1853"/>
      <c r="F463" s="1853"/>
      <c r="G463" s="1853"/>
      <c r="H463" s="1853"/>
    </row>
    <row r="464" spans="1:8">
      <c r="A464" s="1853"/>
      <c r="B464" s="1853"/>
      <c r="C464" s="1853"/>
      <c r="D464" s="1853"/>
      <c r="E464" s="1853"/>
      <c r="F464" s="1853"/>
      <c r="G464" s="1853"/>
      <c r="H464" s="1853"/>
    </row>
    <row r="465" spans="1:8">
      <c r="A465" s="1853"/>
      <c r="B465" s="1853"/>
      <c r="C465" s="1853"/>
      <c r="D465" s="1853"/>
      <c r="E465" s="1853"/>
      <c r="F465" s="1853"/>
      <c r="G465" s="1853"/>
      <c r="H465" s="1853"/>
    </row>
    <row r="466" spans="1:8">
      <c r="A466" s="1853"/>
      <c r="B466" s="1853"/>
      <c r="C466" s="1853"/>
      <c r="D466" s="1853"/>
      <c r="E466" s="1853"/>
      <c r="F466" s="1853"/>
      <c r="G466" s="1853"/>
      <c r="H466" s="1853"/>
    </row>
    <row r="467" spans="1:8">
      <c r="A467" s="1853"/>
      <c r="B467" s="1853"/>
      <c r="C467" s="1853"/>
      <c r="D467" s="1853"/>
      <c r="E467" s="1853"/>
      <c r="F467" s="1853"/>
      <c r="G467" s="1853"/>
      <c r="H467" s="1853"/>
    </row>
    <row r="468" spans="1:8">
      <c r="A468" s="1853"/>
      <c r="B468" s="1853"/>
      <c r="C468" s="1853"/>
      <c r="D468" s="1853"/>
      <c r="E468" s="1853"/>
      <c r="F468" s="1853"/>
      <c r="G468" s="1853"/>
      <c r="H468" s="1853"/>
    </row>
    <row r="469" spans="1:8">
      <c r="A469" s="1853"/>
      <c r="B469" s="1853"/>
      <c r="C469" s="1853"/>
      <c r="D469" s="1853"/>
      <c r="E469" s="1853"/>
      <c r="F469" s="1853"/>
      <c r="G469" s="1853"/>
      <c r="H469" s="1853"/>
    </row>
    <row r="470" spans="1:8">
      <c r="A470" s="1853"/>
      <c r="B470" s="1853"/>
      <c r="C470" s="1853"/>
      <c r="D470" s="1853"/>
      <c r="E470" s="1853"/>
      <c r="F470" s="1853"/>
      <c r="G470" s="1853"/>
      <c r="H470" s="1853"/>
    </row>
    <row r="471" spans="1:8">
      <c r="A471" s="1853"/>
      <c r="B471" s="1853"/>
      <c r="C471" s="1853"/>
      <c r="D471" s="1853"/>
      <c r="E471" s="1853"/>
      <c r="F471" s="1853"/>
      <c r="G471" s="1853"/>
      <c r="H471" s="1853"/>
    </row>
    <row r="472" spans="1:8">
      <c r="A472" s="1853"/>
      <c r="B472" s="1853"/>
      <c r="C472" s="1853"/>
      <c r="D472" s="1853"/>
      <c r="E472" s="1853"/>
      <c r="F472" s="1853"/>
      <c r="G472" s="1853"/>
      <c r="H472" s="1853"/>
    </row>
    <row r="473" spans="1:8">
      <c r="A473" s="1853"/>
      <c r="B473" s="1853"/>
      <c r="C473" s="1853"/>
      <c r="D473" s="1853"/>
      <c r="E473" s="1853"/>
      <c r="F473" s="1853"/>
      <c r="G473" s="1853"/>
      <c r="H473" s="1853"/>
    </row>
    <row r="474" spans="1:8">
      <c r="A474" s="1853"/>
      <c r="B474" s="1853"/>
      <c r="C474" s="1853"/>
      <c r="D474" s="1853"/>
      <c r="E474" s="1853"/>
      <c r="F474" s="1853"/>
      <c r="G474" s="1853"/>
      <c r="H474" s="1853"/>
    </row>
    <row r="475" spans="1:8">
      <c r="A475" s="1853"/>
      <c r="B475" s="1853"/>
      <c r="C475" s="1853"/>
      <c r="D475" s="1853"/>
      <c r="E475" s="1853"/>
      <c r="F475" s="1853"/>
      <c r="G475" s="1853"/>
      <c r="H475" s="1853"/>
    </row>
    <row r="476" spans="1:8">
      <c r="A476" s="1853"/>
      <c r="B476" s="1853"/>
      <c r="C476" s="1853"/>
      <c r="D476" s="1853"/>
      <c r="E476" s="1853"/>
      <c r="F476" s="1853"/>
      <c r="G476" s="1853"/>
      <c r="H476" s="1853"/>
    </row>
    <row r="477" spans="1:8">
      <c r="A477" s="1853"/>
      <c r="B477" s="1853"/>
      <c r="C477" s="1853"/>
      <c r="D477" s="1853"/>
      <c r="E477" s="1853"/>
      <c r="F477" s="1853"/>
      <c r="G477" s="1853"/>
      <c r="H477" s="1853"/>
    </row>
    <row r="478" spans="1:8">
      <c r="A478" s="1853"/>
      <c r="B478" s="1853"/>
      <c r="C478" s="1853"/>
      <c r="D478" s="1853"/>
      <c r="E478" s="1853"/>
      <c r="F478" s="1853"/>
      <c r="G478" s="1853"/>
      <c r="H478" s="1853"/>
    </row>
    <row r="479" spans="1:8">
      <c r="A479" s="1853"/>
      <c r="B479" s="1853"/>
      <c r="C479" s="1853"/>
      <c r="D479" s="1853"/>
      <c r="E479" s="1853"/>
      <c r="F479" s="1853"/>
      <c r="G479" s="1853"/>
      <c r="H479" s="1853"/>
    </row>
    <row r="480" spans="1:8">
      <c r="A480" s="1853"/>
      <c r="B480" s="1853"/>
      <c r="C480" s="1853"/>
      <c r="D480" s="1853"/>
      <c r="E480" s="1853"/>
      <c r="F480" s="1853"/>
      <c r="G480" s="1853"/>
      <c r="H480" s="1853"/>
    </row>
    <row r="481" spans="1:8">
      <c r="A481" s="1853"/>
      <c r="B481" s="1853"/>
      <c r="C481" s="1853"/>
      <c r="D481" s="1853"/>
      <c r="E481" s="1853"/>
      <c r="F481" s="1853"/>
      <c r="G481" s="1853"/>
      <c r="H481" s="1853"/>
    </row>
    <row r="482" spans="1:8">
      <c r="A482" s="1853"/>
      <c r="B482" s="1853"/>
      <c r="C482" s="1853"/>
      <c r="D482" s="1853"/>
      <c r="E482" s="1853"/>
      <c r="F482" s="1853"/>
      <c r="G482" s="1853"/>
      <c r="H482" s="1853"/>
    </row>
    <row r="483" spans="1:8">
      <c r="A483" s="1853"/>
      <c r="B483" s="1853"/>
      <c r="C483" s="1853"/>
      <c r="D483" s="1853"/>
      <c r="E483" s="1853"/>
      <c r="F483" s="1853"/>
      <c r="G483" s="1853"/>
      <c r="H483" s="1853"/>
    </row>
    <row r="484" spans="1:8">
      <c r="A484" s="1853"/>
      <c r="B484" s="1853"/>
      <c r="C484" s="1853"/>
      <c r="D484" s="1853"/>
      <c r="E484" s="1853"/>
      <c r="F484" s="1853"/>
      <c r="G484" s="1853"/>
      <c r="H484" s="1853"/>
    </row>
    <row r="485" spans="1:8">
      <c r="A485" s="1853"/>
      <c r="B485" s="1853"/>
      <c r="C485" s="1853"/>
      <c r="D485" s="1853"/>
      <c r="E485" s="1853"/>
      <c r="F485" s="1853"/>
      <c r="G485" s="1853"/>
      <c r="H485" s="1853"/>
    </row>
    <row r="486" spans="1:8">
      <c r="A486" s="1853"/>
      <c r="B486" s="1853"/>
      <c r="C486" s="1853"/>
      <c r="D486" s="1853"/>
      <c r="E486" s="1853"/>
      <c r="F486" s="1853"/>
      <c r="G486" s="1853"/>
      <c r="H486" s="1853"/>
    </row>
    <row r="487" spans="1:8">
      <c r="A487" s="1853"/>
      <c r="B487" s="1853"/>
      <c r="C487" s="1853"/>
      <c r="D487" s="1853"/>
      <c r="E487" s="1853"/>
      <c r="F487" s="1853"/>
      <c r="G487" s="1853"/>
      <c r="H487" s="1853"/>
    </row>
    <row r="488" spans="1:8">
      <c r="A488" s="1853"/>
      <c r="B488" s="1853"/>
      <c r="C488" s="1853"/>
      <c r="D488" s="1853"/>
      <c r="E488" s="1853"/>
      <c r="F488" s="1853"/>
      <c r="G488" s="1853"/>
      <c r="H488" s="1853"/>
    </row>
    <row r="489" spans="1:8">
      <c r="A489" s="1853"/>
      <c r="B489" s="1853"/>
      <c r="C489" s="1853"/>
      <c r="D489" s="1853"/>
      <c r="E489" s="1853"/>
      <c r="F489" s="1853"/>
      <c r="G489" s="1853"/>
      <c r="H489" s="1853"/>
    </row>
    <row r="490" spans="1:8">
      <c r="A490" s="1853"/>
      <c r="B490" s="1853"/>
      <c r="C490" s="1853"/>
      <c r="D490" s="1853"/>
      <c r="E490" s="1853"/>
      <c r="F490" s="1853"/>
      <c r="G490" s="1853"/>
      <c r="H490" s="1853"/>
    </row>
    <row r="491" spans="1:8">
      <c r="A491" s="1853"/>
      <c r="B491" s="1853"/>
      <c r="C491" s="1853"/>
      <c r="D491" s="1853"/>
      <c r="E491" s="1853"/>
      <c r="F491" s="1853"/>
      <c r="G491" s="1853"/>
      <c r="H491" s="1853"/>
    </row>
    <row r="492" spans="1:8">
      <c r="A492" s="1853"/>
      <c r="B492" s="1853"/>
      <c r="C492" s="1853"/>
      <c r="D492" s="1853"/>
      <c r="E492" s="1853"/>
      <c r="F492" s="1853"/>
      <c r="G492" s="1853"/>
      <c r="H492" s="1853"/>
    </row>
    <row r="493" spans="1:8">
      <c r="A493" s="1853"/>
      <c r="B493" s="1853"/>
      <c r="C493" s="1853"/>
      <c r="D493" s="1853"/>
      <c r="E493" s="1853"/>
      <c r="F493" s="1853"/>
      <c r="G493" s="1853"/>
      <c r="H493" s="1853"/>
    </row>
    <row r="494" spans="1:8">
      <c r="A494" s="1853"/>
      <c r="B494" s="1853"/>
      <c r="C494" s="1853"/>
      <c r="D494" s="1853"/>
      <c r="E494" s="1853"/>
      <c r="F494" s="1853"/>
      <c r="G494" s="1853"/>
      <c r="H494" s="1853"/>
    </row>
    <row r="495" spans="1:8">
      <c r="A495" s="1853"/>
      <c r="B495" s="1853"/>
      <c r="C495" s="1853"/>
      <c r="D495" s="1853"/>
      <c r="E495" s="1853"/>
      <c r="F495" s="1853"/>
      <c r="G495" s="1853"/>
      <c r="H495" s="1853"/>
    </row>
    <row r="496" spans="1:8">
      <c r="A496" s="1853"/>
      <c r="B496" s="1853"/>
      <c r="C496" s="1853"/>
      <c r="D496" s="1853"/>
      <c r="E496" s="1853"/>
      <c r="F496" s="1853"/>
      <c r="G496" s="1853"/>
      <c r="H496" s="1853"/>
    </row>
    <row r="497" spans="1:8">
      <c r="A497" s="1853"/>
      <c r="B497" s="1853"/>
      <c r="C497" s="1853"/>
      <c r="D497" s="1853"/>
      <c r="E497" s="1853"/>
      <c r="F497" s="1853"/>
      <c r="G497" s="1853"/>
      <c r="H497" s="1853"/>
    </row>
    <row r="498" spans="1:8">
      <c r="A498" s="1853"/>
      <c r="B498" s="1853"/>
      <c r="C498" s="1853"/>
      <c r="D498" s="1853"/>
      <c r="E498" s="1853"/>
      <c r="F498" s="1853"/>
      <c r="G498" s="1853"/>
      <c r="H498" s="1853"/>
    </row>
    <row r="499" spans="1:8">
      <c r="A499" s="1853"/>
      <c r="B499" s="1853"/>
      <c r="C499" s="1853"/>
      <c r="D499" s="1853"/>
      <c r="E499" s="1853"/>
      <c r="F499" s="1853"/>
      <c r="G499" s="1853"/>
      <c r="H499" s="1853"/>
    </row>
    <row r="500" spans="1:8">
      <c r="A500" s="1853"/>
      <c r="B500" s="1853"/>
      <c r="C500" s="1853"/>
      <c r="D500" s="1853"/>
      <c r="E500" s="1853"/>
      <c r="F500" s="1853"/>
      <c r="G500" s="1853"/>
      <c r="H500" s="1853"/>
    </row>
    <row r="501" spans="1:8">
      <c r="A501" s="1853"/>
      <c r="B501" s="1853"/>
      <c r="C501" s="1853"/>
      <c r="D501" s="1853"/>
      <c r="E501" s="1853"/>
      <c r="F501" s="1853"/>
      <c r="G501" s="1853"/>
      <c r="H501" s="1853"/>
    </row>
    <row r="502" spans="1:8">
      <c r="A502" s="1853"/>
      <c r="B502" s="1853"/>
      <c r="C502" s="1853"/>
      <c r="D502" s="1853"/>
      <c r="E502" s="1853"/>
      <c r="F502" s="1853"/>
      <c r="G502" s="1853"/>
      <c r="H502" s="1853"/>
    </row>
    <row r="503" spans="1:8">
      <c r="A503" s="1853"/>
      <c r="B503" s="1853"/>
      <c r="C503" s="1853"/>
      <c r="D503" s="1853"/>
      <c r="E503" s="1853"/>
      <c r="F503" s="1853"/>
      <c r="G503" s="1853"/>
      <c r="H503" s="1853"/>
    </row>
    <row r="504" spans="1:8">
      <c r="A504" s="1853"/>
      <c r="B504" s="1853"/>
      <c r="C504" s="1853"/>
      <c r="D504" s="1853"/>
      <c r="E504" s="1853"/>
      <c r="F504" s="1853"/>
      <c r="G504" s="1853"/>
      <c r="H504" s="1853"/>
    </row>
    <row r="505" spans="1:8">
      <c r="A505" s="1853"/>
      <c r="B505" s="1853"/>
      <c r="C505" s="1853"/>
      <c r="D505" s="1853"/>
      <c r="E505" s="1853"/>
      <c r="F505" s="1853"/>
      <c r="G505" s="1853"/>
      <c r="H505" s="1853"/>
    </row>
    <row r="506" spans="1:8">
      <c r="A506" s="1853"/>
      <c r="B506" s="1853"/>
      <c r="C506" s="1853"/>
      <c r="D506" s="1853"/>
      <c r="E506" s="1853"/>
      <c r="F506" s="1853"/>
      <c r="G506" s="1853"/>
      <c r="H506" s="1853"/>
    </row>
    <row r="507" spans="1:8">
      <c r="A507" s="1853"/>
      <c r="B507" s="1853"/>
      <c r="C507" s="1853"/>
      <c r="D507" s="1853"/>
      <c r="E507" s="1853"/>
      <c r="F507" s="1853"/>
      <c r="G507" s="1853"/>
      <c r="H507" s="1853"/>
    </row>
    <row r="508" spans="1:8">
      <c r="A508" s="1853"/>
      <c r="B508" s="1853"/>
      <c r="C508" s="1853"/>
      <c r="D508" s="1853"/>
      <c r="E508" s="1853"/>
      <c r="F508" s="1853"/>
      <c r="G508" s="1853"/>
      <c r="H508" s="1853"/>
    </row>
    <row r="509" spans="1:8">
      <c r="A509" s="1853"/>
      <c r="B509" s="1853"/>
      <c r="C509" s="1853"/>
      <c r="D509" s="1853"/>
      <c r="E509" s="1853"/>
      <c r="F509" s="1853"/>
      <c r="G509" s="1853"/>
      <c r="H509" s="1853"/>
    </row>
    <row r="510" spans="1:8">
      <c r="A510" s="1853"/>
      <c r="B510" s="1853"/>
      <c r="C510" s="1853"/>
      <c r="D510" s="1853"/>
      <c r="E510" s="1853"/>
      <c r="F510" s="1853"/>
      <c r="G510" s="1853"/>
      <c r="H510" s="1853"/>
    </row>
    <row r="511" spans="1:8">
      <c r="A511" s="1853"/>
      <c r="B511" s="1853"/>
      <c r="C511" s="1853"/>
      <c r="D511" s="1853"/>
      <c r="E511" s="1853"/>
      <c r="F511" s="1853"/>
      <c r="G511" s="1853"/>
      <c r="H511" s="1853"/>
    </row>
    <row r="512" spans="1:8">
      <c r="A512" s="1853"/>
      <c r="B512" s="1853"/>
      <c r="C512" s="1853"/>
      <c r="D512" s="1853"/>
      <c r="E512" s="1853"/>
      <c r="F512" s="1853"/>
      <c r="G512" s="1853"/>
      <c r="H512" s="1853"/>
    </row>
    <row r="513" spans="1:8">
      <c r="A513" s="1853"/>
      <c r="B513" s="1853"/>
      <c r="C513" s="1853"/>
      <c r="D513" s="1853"/>
      <c r="E513" s="1853"/>
      <c r="F513" s="1853"/>
      <c r="G513" s="1853"/>
      <c r="H513" s="1853"/>
    </row>
    <row r="514" spans="1:8">
      <c r="A514" s="1853"/>
      <c r="B514" s="1853"/>
      <c r="C514" s="1853"/>
      <c r="D514" s="1853"/>
      <c r="E514" s="1853"/>
      <c r="F514" s="1853"/>
      <c r="G514" s="1853"/>
      <c r="H514" s="1853"/>
    </row>
    <row r="515" spans="1:8">
      <c r="A515" s="1853"/>
      <c r="B515" s="1853"/>
      <c r="C515" s="1853"/>
      <c r="D515" s="1853"/>
      <c r="E515" s="1853"/>
      <c r="F515" s="1853"/>
      <c r="G515" s="1853"/>
      <c r="H515" s="1853"/>
    </row>
    <row r="516" spans="1:8">
      <c r="A516" s="1853"/>
      <c r="B516" s="1853"/>
      <c r="C516" s="1853"/>
      <c r="D516" s="1853"/>
      <c r="E516" s="1853"/>
      <c r="F516" s="1853"/>
      <c r="G516" s="1853"/>
      <c r="H516" s="1853"/>
    </row>
    <row r="517" spans="1:8">
      <c r="A517" s="1853"/>
      <c r="B517" s="1853"/>
      <c r="C517" s="1853"/>
      <c r="D517" s="1853"/>
      <c r="E517" s="1853"/>
      <c r="F517" s="1853"/>
      <c r="G517" s="1853"/>
      <c r="H517" s="1853"/>
    </row>
    <row r="518" spans="1:8">
      <c r="A518" s="1853"/>
      <c r="B518" s="1853"/>
      <c r="C518" s="1853"/>
      <c r="D518" s="1853"/>
      <c r="E518" s="1853"/>
      <c r="F518" s="1853"/>
      <c r="G518" s="1853"/>
      <c r="H518" s="1853"/>
    </row>
    <row r="519" spans="1:8">
      <c r="A519" s="1853"/>
      <c r="B519" s="1853"/>
      <c r="C519" s="1853"/>
      <c r="D519" s="1853"/>
      <c r="E519" s="1853"/>
      <c r="F519" s="1853"/>
      <c r="G519" s="1853"/>
      <c r="H519" s="1853"/>
    </row>
    <row r="520" spans="1:8">
      <c r="A520" s="1853"/>
      <c r="B520" s="1853"/>
      <c r="C520" s="1853"/>
      <c r="D520" s="1853"/>
      <c r="E520" s="1853"/>
      <c r="F520" s="1853"/>
      <c r="G520" s="1853"/>
      <c r="H520" s="1853"/>
    </row>
    <row r="521" spans="1:8">
      <c r="A521" s="1853"/>
      <c r="B521" s="1853"/>
      <c r="C521" s="1853"/>
      <c r="D521" s="1853"/>
      <c r="E521" s="1853"/>
      <c r="F521" s="1853"/>
      <c r="G521" s="1853"/>
      <c r="H521" s="1853"/>
    </row>
    <row r="522" spans="1:8">
      <c r="A522" s="1853"/>
      <c r="B522" s="1853"/>
      <c r="C522" s="1853"/>
      <c r="D522" s="1853"/>
      <c r="E522" s="1853"/>
      <c r="F522" s="1853"/>
      <c r="G522" s="1853"/>
      <c r="H522" s="1853"/>
    </row>
    <row r="523" spans="1:8">
      <c r="A523" s="1853"/>
      <c r="B523" s="1853"/>
      <c r="C523" s="1853"/>
      <c r="D523" s="1853"/>
      <c r="E523" s="1853"/>
      <c r="F523" s="1853"/>
      <c r="G523" s="1853"/>
      <c r="H523" s="1853"/>
    </row>
    <row r="524" spans="1:8">
      <c r="A524" s="1853"/>
      <c r="B524" s="1853"/>
      <c r="C524" s="1853"/>
      <c r="D524" s="1853"/>
      <c r="E524" s="1853"/>
      <c r="F524" s="1853"/>
      <c r="G524" s="1853"/>
      <c r="H524" s="1853"/>
    </row>
    <row r="525" spans="1:8">
      <c r="A525" s="1853"/>
      <c r="B525" s="1853"/>
      <c r="C525" s="1853"/>
      <c r="D525" s="1853"/>
      <c r="E525" s="1853"/>
      <c r="F525" s="1853"/>
      <c r="G525" s="1853"/>
      <c r="H525" s="1853"/>
    </row>
    <row r="526" spans="1:8">
      <c r="A526" s="1853"/>
      <c r="B526" s="1853"/>
      <c r="C526" s="1853"/>
      <c r="D526" s="1853"/>
      <c r="E526" s="1853"/>
      <c r="F526" s="1853"/>
      <c r="G526" s="1853"/>
      <c r="H526" s="1853"/>
    </row>
    <row r="527" spans="1:8">
      <c r="A527" s="1853"/>
      <c r="B527" s="1853"/>
      <c r="C527" s="1853"/>
      <c r="D527" s="1853"/>
      <c r="E527" s="1853"/>
      <c r="F527" s="1853"/>
      <c r="G527" s="1853"/>
      <c r="H527" s="1853"/>
    </row>
    <row r="528" spans="1:8">
      <c r="A528" s="1853"/>
      <c r="B528" s="1853"/>
      <c r="C528" s="1853"/>
      <c r="D528" s="1853"/>
      <c r="E528" s="1853"/>
      <c r="F528" s="1853"/>
      <c r="G528" s="1853"/>
      <c r="H528" s="1853"/>
    </row>
    <row r="529" spans="1:8">
      <c r="A529" s="1853"/>
      <c r="B529" s="1853"/>
      <c r="C529" s="1853"/>
      <c r="D529" s="1853"/>
      <c r="E529" s="1853"/>
      <c r="F529" s="1853"/>
      <c r="G529" s="1853"/>
      <c r="H529" s="1853"/>
    </row>
    <row r="530" spans="1:8">
      <c r="A530" s="1853"/>
      <c r="B530" s="1853"/>
      <c r="C530" s="1853"/>
      <c r="D530" s="1853"/>
      <c r="E530" s="1853"/>
      <c r="F530" s="1853"/>
      <c r="G530" s="1853"/>
      <c r="H530" s="1853"/>
    </row>
    <row r="531" spans="1:8">
      <c r="A531" s="1853"/>
      <c r="B531" s="1853"/>
      <c r="C531" s="1853"/>
      <c r="D531" s="1853"/>
      <c r="E531" s="1853"/>
      <c r="F531" s="1853"/>
      <c r="G531" s="1853"/>
      <c r="H531" s="1853"/>
    </row>
    <row r="532" spans="1:8">
      <c r="A532" s="1853"/>
      <c r="B532" s="1853"/>
      <c r="C532" s="1853"/>
      <c r="D532" s="1853"/>
      <c r="E532" s="1853"/>
      <c r="F532" s="1853"/>
      <c r="G532" s="1853"/>
      <c r="H532" s="1853"/>
    </row>
    <row r="533" spans="1:8">
      <c r="A533" s="1853"/>
      <c r="B533" s="1853"/>
      <c r="C533" s="1853"/>
      <c r="D533" s="1853"/>
      <c r="E533" s="1853"/>
      <c r="F533" s="1853"/>
      <c r="G533" s="1853"/>
      <c r="H533" s="1853"/>
    </row>
    <row r="534" spans="1:8">
      <c r="A534" s="1853"/>
      <c r="B534" s="1853"/>
      <c r="C534" s="1853"/>
      <c r="D534" s="1853"/>
      <c r="E534" s="1853"/>
      <c r="F534" s="1853"/>
      <c r="G534" s="1853"/>
      <c r="H534" s="1853"/>
    </row>
    <row r="535" spans="1:8">
      <c r="A535" s="1853"/>
      <c r="B535" s="1853"/>
      <c r="C535" s="1853"/>
      <c r="D535" s="1853"/>
      <c r="E535" s="1853"/>
      <c r="F535" s="1853"/>
      <c r="G535" s="1853"/>
      <c r="H535" s="1853"/>
    </row>
    <row r="536" spans="1:8">
      <c r="A536" s="1853"/>
      <c r="B536" s="1853"/>
      <c r="C536" s="1853"/>
      <c r="D536" s="1853"/>
      <c r="E536" s="1853"/>
      <c r="F536" s="1853"/>
      <c r="G536" s="1853"/>
      <c r="H536" s="1853"/>
    </row>
    <row r="537" spans="1:8">
      <c r="A537" s="1853"/>
      <c r="B537" s="1853"/>
      <c r="C537" s="1853"/>
      <c r="D537" s="1853"/>
      <c r="E537" s="1853"/>
      <c r="F537" s="1853"/>
      <c r="G537" s="1853"/>
      <c r="H537" s="1853"/>
    </row>
    <row r="538" spans="1:8">
      <c r="A538" s="1853"/>
      <c r="B538" s="1853"/>
      <c r="C538" s="1853"/>
      <c r="D538" s="1853"/>
      <c r="E538" s="1853"/>
      <c r="F538" s="1853"/>
      <c r="G538" s="1853"/>
      <c r="H538" s="1853"/>
    </row>
    <row r="539" spans="1:8">
      <c r="A539" s="1853"/>
      <c r="B539" s="1853"/>
      <c r="C539" s="1853"/>
      <c r="D539" s="1853"/>
      <c r="E539" s="1853"/>
      <c r="F539" s="1853"/>
      <c r="G539" s="1853"/>
      <c r="H539" s="1853"/>
    </row>
    <row r="540" spans="1:8">
      <c r="A540" s="1853"/>
      <c r="B540" s="1853"/>
      <c r="C540" s="1853"/>
      <c r="D540" s="1853"/>
      <c r="E540" s="1853"/>
      <c r="F540" s="1853"/>
      <c r="G540" s="1853"/>
      <c r="H540" s="1853"/>
    </row>
    <row r="541" spans="1:8">
      <c r="A541" s="1853"/>
      <c r="B541" s="1853"/>
      <c r="C541" s="1853"/>
      <c r="D541" s="1853"/>
      <c r="E541" s="1853"/>
      <c r="F541" s="1853"/>
      <c r="G541" s="1853"/>
      <c r="H541" s="1853"/>
    </row>
    <row r="542" spans="1:8">
      <c r="A542" s="1853"/>
      <c r="B542" s="1853"/>
      <c r="C542" s="1853"/>
      <c r="D542" s="1853"/>
      <c r="E542" s="1853"/>
      <c r="F542" s="1853"/>
      <c r="G542" s="1853"/>
      <c r="H542" s="1853"/>
    </row>
    <row r="543" spans="1:8">
      <c r="A543" s="1853"/>
      <c r="B543" s="1853"/>
      <c r="C543" s="1853"/>
      <c r="D543" s="1853"/>
      <c r="E543" s="1853"/>
      <c r="F543" s="1853"/>
      <c r="G543" s="1853"/>
      <c r="H543" s="1853"/>
    </row>
    <row r="544" spans="1:8">
      <c r="A544" s="1853"/>
      <c r="B544" s="1853"/>
      <c r="C544" s="1853"/>
      <c r="D544" s="1853"/>
      <c r="E544" s="1853"/>
      <c r="F544" s="1853"/>
      <c r="G544" s="1853"/>
      <c r="H544" s="1853"/>
    </row>
    <row r="545" spans="1:8">
      <c r="A545" s="1853"/>
      <c r="B545" s="1853"/>
      <c r="C545" s="1853"/>
      <c r="D545" s="1853"/>
      <c r="E545" s="1853"/>
      <c r="F545" s="1853"/>
      <c r="G545" s="1853"/>
      <c r="H545" s="1853"/>
    </row>
    <row r="546" spans="1:8">
      <c r="A546" s="1853"/>
      <c r="B546" s="1853"/>
      <c r="C546" s="1853"/>
      <c r="D546" s="1853"/>
      <c r="E546" s="1853"/>
      <c r="F546" s="1853"/>
      <c r="G546" s="1853"/>
      <c r="H546" s="1853"/>
    </row>
    <row r="547" spans="1:8">
      <c r="A547" s="1853"/>
      <c r="B547" s="1853"/>
      <c r="C547" s="1853"/>
      <c r="D547" s="1853"/>
      <c r="E547" s="1853"/>
      <c r="F547" s="1853"/>
      <c r="G547" s="1853"/>
      <c r="H547" s="1853"/>
    </row>
    <row r="548" spans="1:8">
      <c r="A548" s="1853"/>
      <c r="B548" s="1853"/>
      <c r="C548" s="1853"/>
      <c r="D548" s="1853"/>
      <c r="E548" s="1853"/>
      <c r="F548" s="1853"/>
      <c r="G548" s="1853"/>
      <c r="H548" s="1853"/>
    </row>
    <row r="549" spans="1:8">
      <c r="A549" s="1853"/>
      <c r="B549" s="1853"/>
      <c r="C549" s="1853"/>
      <c r="D549" s="1853"/>
      <c r="E549" s="1853"/>
      <c r="F549" s="1853"/>
      <c r="G549" s="1853"/>
      <c r="H549" s="1853"/>
    </row>
    <row r="550" spans="1:8">
      <c r="A550" s="1853"/>
      <c r="B550" s="1853"/>
      <c r="C550" s="1853"/>
      <c r="D550" s="1853"/>
      <c r="E550" s="1853"/>
      <c r="F550" s="1853"/>
      <c r="G550" s="1853"/>
      <c r="H550" s="1853"/>
    </row>
    <row r="551" spans="1:8">
      <c r="A551" s="1853"/>
      <c r="B551" s="1853"/>
      <c r="C551" s="1853"/>
      <c r="D551" s="1853"/>
      <c r="E551" s="1853"/>
      <c r="F551" s="1853"/>
      <c r="G551" s="1853"/>
      <c r="H551" s="1853"/>
    </row>
    <row r="552" spans="1:8">
      <c r="A552" s="1853"/>
      <c r="B552" s="1853"/>
      <c r="C552" s="1853"/>
      <c r="D552" s="1853"/>
      <c r="E552" s="1853"/>
      <c r="F552" s="1853"/>
      <c r="G552" s="1853"/>
      <c r="H552" s="1853"/>
    </row>
    <row r="553" spans="1:8">
      <c r="A553" s="1853"/>
      <c r="B553" s="1853"/>
      <c r="C553" s="1853"/>
      <c r="D553" s="1853"/>
      <c r="E553" s="1853"/>
      <c r="F553" s="1853"/>
      <c r="G553" s="1853"/>
      <c r="H553" s="1853"/>
    </row>
    <row r="554" spans="1:8">
      <c r="A554" s="1853"/>
      <c r="B554" s="1853"/>
      <c r="C554" s="1853"/>
      <c r="D554" s="1853"/>
      <c r="E554" s="1853"/>
      <c r="F554" s="1853"/>
      <c r="G554" s="1853"/>
      <c r="H554" s="1853"/>
    </row>
    <row r="555" spans="1:8">
      <c r="A555" s="1853"/>
      <c r="B555" s="1853"/>
      <c r="C555" s="1853"/>
      <c r="D555" s="1853"/>
      <c r="E555" s="1853"/>
      <c r="F555" s="1853"/>
      <c r="G555" s="1853"/>
      <c r="H555" s="1853"/>
    </row>
    <row r="556" spans="1:8">
      <c r="A556" s="1853"/>
      <c r="B556" s="1853"/>
      <c r="C556" s="1853"/>
      <c r="D556" s="1853"/>
      <c r="E556" s="1853"/>
      <c r="F556" s="1853"/>
      <c r="G556" s="1853"/>
      <c r="H556" s="1853"/>
    </row>
    <row r="557" spans="1:8">
      <c r="A557" s="1853"/>
      <c r="B557" s="1853"/>
      <c r="C557" s="1853"/>
      <c r="D557" s="1853"/>
      <c r="E557" s="1853"/>
      <c r="F557" s="1853"/>
      <c r="G557" s="1853"/>
      <c r="H557" s="1853"/>
    </row>
    <row r="558" spans="1:8">
      <c r="A558" s="1853"/>
      <c r="B558" s="1853"/>
      <c r="C558" s="1853"/>
      <c r="D558" s="1853"/>
      <c r="E558" s="1853"/>
      <c r="F558" s="1853"/>
      <c r="G558" s="1853"/>
      <c r="H558" s="1853"/>
    </row>
    <row r="559" spans="1:8">
      <c r="A559" s="1853"/>
      <c r="B559" s="1853"/>
      <c r="C559" s="1853"/>
      <c r="D559" s="1853"/>
      <c r="E559" s="1853"/>
      <c r="F559" s="1853"/>
      <c r="G559" s="1853"/>
      <c r="H559" s="1853"/>
    </row>
    <row r="560" spans="1:8">
      <c r="A560" s="1853"/>
      <c r="B560" s="1853"/>
      <c r="C560" s="1853"/>
      <c r="D560" s="1853"/>
      <c r="E560" s="1853"/>
      <c r="F560" s="1853"/>
      <c r="G560" s="1853"/>
      <c r="H560" s="1853"/>
    </row>
    <row r="561" spans="1:8">
      <c r="A561" s="1853"/>
      <c r="B561" s="1853"/>
      <c r="C561" s="1853"/>
      <c r="D561" s="1853"/>
      <c r="E561" s="1853"/>
      <c r="F561" s="1853"/>
      <c r="G561" s="1853"/>
      <c r="H561" s="1853"/>
    </row>
    <row r="562" spans="1:8">
      <c r="A562" s="1853"/>
      <c r="B562" s="1853"/>
      <c r="C562" s="1853"/>
      <c r="D562" s="1853"/>
      <c r="E562" s="1853"/>
      <c r="F562" s="1853"/>
      <c r="G562" s="1853"/>
      <c r="H562" s="1853"/>
    </row>
    <row r="563" spans="1:8">
      <c r="A563" s="1853"/>
      <c r="B563" s="1853"/>
      <c r="C563" s="1853"/>
      <c r="D563" s="1853"/>
      <c r="E563" s="1853"/>
      <c r="F563" s="1853"/>
      <c r="G563" s="1853"/>
      <c r="H563" s="1853"/>
    </row>
    <row r="564" spans="1:8">
      <c r="A564" s="1853"/>
      <c r="B564" s="1853"/>
      <c r="C564" s="1853"/>
      <c r="D564" s="1853"/>
      <c r="E564" s="1853"/>
      <c r="F564" s="1853"/>
      <c r="G564" s="1853"/>
      <c r="H564" s="1853"/>
    </row>
    <row r="565" spans="1:8">
      <c r="A565" s="1853"/>
      <c r="B565" s="1853"/>
      <c r="C565" s="1853"/>
      <c r="D565" s="1853"/>
      <c r="E565" s="1853"/>
      <c r="F565" s="1853"/>
      <c r="G565" s="1853"/>
      <c r="H565" s="1853"/>
    </row>
    <row r="566" spans="1:8">
      <c r="A566" s="1853"/>
      <c r="B566" s="1853"/>
      <c r="C566" s="1853"/>
      <c r="D566" s="1853"/>
      <c r="E566" s="1853"/>
      <c r="F566" s="1853"/>
      <c r="G566" s="1853"/>
      <c r="H566" s="1853"/>
    </row>
    <row r="567" spans="1:8">
      <c r="A567" s="1853"/>
      <c r="B567" s="1853"/>
      <c r="C567" s="1853"/>
      <c r="D567" s="1853"/>
      <c r="E567" s="1853"/>
      <c r="F567" s="1853"/>
      <c r="G567" s="1853"/>
      <c r="H567" s="1853"/>
    </row>
    <row r="568" spans="1:8">
      <c r="A568" s="1853"/>
      <c r="B568" s="1853"/>
      <c r="C568" s="1853"/>
      <c r="D568" s="1853"/>
      <c r="E568" s="1853"/>
      <c r="F568" s="1853"/>
      <c r="G568" s="1853"/>
      <c r="H568" s="1853"/>
    </row>
    <row r="569" spans="1:8">
      <c r="A569" s="1853"/>
      <c r="B569" s="1853"/>
      <c r="C569" s="1853"/>
      <c r="D569" s="1853"/>
      <c r="E569" s="1853"/>
      <c r="F569" s="1853"/>
      <c r="G569" s="1853"/>
      <c r="H569" s="1853"/>
    </row>
    <row r="570" spans="1:8">
      <c r="A570" s="1853"/>
      <c r="B570" s="1853"/>
      <c r="C570" s="1853"/>
      <c r="D570" s="1853"/>
      <c r="E570" s="1853"/>
      <c r="F570" s="1853"/>
      <c r="G570" s="1853"/>
      <c r="H570" s="1853"/>
    </row>
    <row r="571" spans="1:8">
      <c r="A571" s="1853"/>
      <c r="B571" s="1853"/>
      <c r="C571" s="1853"/>
      <c r="D571" s="1853"/>
      <c r="E571" s="1853"/>
      <c r="F571" s="1853"/>
      <c r="G571" s="1853"/>
      <c r="H571" s="1853"/>
    </row>
    <row r="572" spans="1:8">
      <c r="A572" s="1853"/>
      <c r="B572" s="1853"/>
      <c r="C572" s="1853"/>
      <c r="D572" s="1853"/>
      <c r="E572" s="1853"/>
      <c r="F572" s="1853"/>
      <c r="G572" s="1853"/>
      <c r="H572" s="1853"/>
    </row>
    <row r="573" spans="1:8">
      <c r="A573" s="1853"/>
      <c r="B573" s="1853"/>
      <c r="C573" s="1853"/>
      <c r="D573" s="1853"/>
      <c r="E573" s="1853"/>
      <c r="F573" s="1853"/>
      <c r="G573" s="1853"/>
      <c r="H573" s="1853"/>
    </row>
    <row r="574" spans="1:8">
      <c r="A574" s="1853"/>
      <c r="B574" s="1853"/>
      <c r="C574" s="1853"/>
      <c r="D574" s="1853"/>
      <c r="E574" s="1853"/>
      <c r="F574" s="1853"/>
      <c r="G574" s="1853"/>
      <c r="H574" s="1853"/>
    </row>
    <row r="575" spans="1:8">
      <c r="A575" s="1853"/>
      <c r="B575" s="1853"/>
      <c r="C575" s="1853"/>
      <c r="D575" s="1853"/>
      <c r="E575" s="1853"/>
      <c r="F575" s="1853"/>
      <c r="G575" s="1853"/>
      <c r="H575" s="1853"/>
    </row>
    <row r="576" spans="1:8">
      <c r="A576" s="1853"/>
      <c r="B576" s="1853"/>
      <c r="C576" s="1853"/>
      <c r="D576" s="1853"/>
      <c r="E576" s="1853"/>
      <c r="F576" s="1853"/>
      <c r="G576" s="1853"/>
      <c r="H576" s="1853"/>
    </row>
    <row r="577" spans="1:8">
      <c r="A577" s="1853"/>
      <c r="B577" s="1853"/>
      <c r="C577" s="1853"/>
      <c r="D577" s="1853"/>
      <c r="E577" s="1853"/>
      <c r="F577" s="1853"/>
      <c r="G577" s="1853"/>
      <c r="H577" s="1853"/>
    </row>
    <row r="578" spans="1:8">
      <c r="A578" s="1853"/>
      <c r="B578" s="1853"/>
      <c r="C578" s="1853"/>
      <c r="D578" s="1853"/>
      <c r="E578" s="1853"/>
      <c r="F578" s="1853"/>
      <c r="G578" s="1853"/>
      <c r="H578" s="1853"/>
    </row>
    <row r="579" spans="1:8">
      <c r="A579" s="1853"/>
      <c r="B579" s="1853"/>
      <c r="C579" s="1853"/>
      <c r="D579" s="1853"/>
      <c r="E579" s="1853"/>
      <c r="F579" s="1853"/>
      <c r="G579" s="1853"/>
      <c r="H579" s="1853"/>
    </row>
    <row r="580" spans="1:8">
      <c r="A580" s="1853"/>
      <c r="B580" s="1853"/>
      <c r="C580" s="1853"/>
      <c r="D580" s="1853"/>
      <c r="E580" s="1853"/>
      <c r="F580" s="1853"/>
      <c r="G580" s="1853"/>
      <c r="H580" s="1853"/>
    </row>
    <row r="581" spans="1:8">
      <c r="A581" s="1853"/>
      <c r="B581" s="1853"/>
      <c r="C581" s="1853"/>
      <c r="D581" s="1853"/>
      <c r="E581" s="1853"/>
      <c r="F581" s="1853"/>
      <c r="G581" s="1853"/>
      <c r="H581" s="1853"/>
    </row>
    <row r="582" spans="1:8">
      <c r="A582" s="1853"/>
      <c r="B582" s="1853"/>
      <c r="C582" s="1853"/>
      <c r="D582" s="1853"/>
      <c r="E582" s="1853"/>
      <c r="F582" s="1853"/>
      <c r="G582" s="1853"/>
      <c r="H582" s="1853"/>
    </row>
    <row r="583" spans="1:8">
      <c r="A583" s="1853"/>
      <c r="B583" s="1853"/>
      <c r="C583" s="1853"/>
      <c r="D583" s="1853"/>
      <c r="E583" s="1853"/>
      <c r="F583" s="1853"/>
      <c r="G583" s="1853"/>
      <c r="H583" s="1853"/>
    </row>
    <row r="584" spans="1:8">
      <c r="A584" s="1853"/>
      <c r="B584" s="1853"/>
      <c r="C584" s="1853"/>
      <c r="D584" s="1853"/>
      <c r="E584" s="1853"/>
      <c r="F584" s="1853"/>
      <c r="G584" s="1853"/>
      <c r="H584" s="1853"/>
    </row>
    <row r="585" spans="1:8">
      <c r="A585" s="1853"/>
      <c r="B585" s="1853"/>
      <c r="C585" s="1853"/>
      <c r="D585" s="1853"/>
      <c r="E585" s="1853"/>
      <c r="F585" s="1853"/>
      <c r="G585" s="1853"/>
      <c r="H585" s="1853"/>
    </row>
    <row r="586" spans="1:8">
      <c r="A586" s="1853"/>
      <c r="B586" s="1853"/>
      <c r="C586" s="1853"/>
      <c r="D586" s="1853"/>
      <c r="E586" s="1853"/>
      <c r="F586" s="1853"/>
      <c r="G586" s="1853"/>
      <c r="H586" s="1853"/>
    </row>
    <row r="587" spans="1:8">
      <c r="A587" s="1853"/>
      <c r="B587" s="1853"/>
      <c r="C587" s="1853"/>
      <c r="D587" s="1853"/>
      <c r="E587" s="1853"/>
      <c r="F587" s="1853"/>
      <c r="G587" s="1853"/>
      <c r="H587" s="1853"/>
    </row>
    <row r="588" spans="1:8">
      <c r="A588" s="1853"/>
      <c r="B588" s="1853"/>
      <c r="C588" s="1853"/>
      <c r="D588" s="1853"/>
      <c r="E588" s="1853"/>
      <c r="F588" s="1853"/>
      <c r="G588" s="1853"/>
      <c r="H588" s="1853"/>
    </row>
    <row r="589" spans="1:8">
      <c r="A589" s="1853"/>
      <c r="B589" s="1853"/>
      <c r="C589" s="1853"/>
      <c r="D589" s="1853"/>
      <c r="E589" s="1853"/>
      <c r="F589" s="1853"/>
      <c r="G589" s="1853"/>
      <c r="H589" s="1853"/>
    </row>
    <row r="590" spans="1:8">
      <c r="A590" s="1853"/>
      <c r="B590" s="1853"/>
      <c r="C590" s="1853"/>
      <c r="D590" s="1853"/>
      <c r="E590" s="1853"/>
      <c r="F590" s="1853"/>
      <c r="G590" s="1853"/>
      <c r="H590" s="1853"/>
    </row>
    <row r="591" spans="1:8">
      <c r="A591" s="1853"/>
      <c r="B591" s="1853"/>
      <c r="C591" s="1853"/>
      <c r="D591" s="1853"/>
      <c r="E591" s="1853"/>
      <c r="F591" s="1853"/>
      <c r="G591" s="1853"/>
      <c r="H591" s="1853"/>
    </row>
    <row r="592" spans="1:8">
      <c r="A592" s="1853"/>
      <c r="B592" s="1853"/>
      <c r="C592" s="1853"/>
      <c r="D592" s="1853"/>
      <c r="E592" s="1853"/>
      <c r="F592" s="1853"/>
      <c r="G592" s="1853"/>
      <c r="H592" s="1853"/>
    </row>
    <row r="593" spans="1:8">
      <c r="A593" s="1853"/>
      <c r="B593" s="1853"/>
      <c r="C593" s="1853"/>
      <c r="D593" s="1853"/>
      <c r="E593" s="1853"/>
      <c r="F593" s="1853"/>
      <c r="G593" s="1853"/>
      <c r="H593" s="1853"/>
    </row>
    <row r="594" spans="1:8">
      <c r="A594" s="1853"/>
      <c r="B594" s="1853"/>
      <c r="C594" s="1853"/>
      <c r="D594" s="1853"/>
      <c r="E594" s="1853"/>
      <c r="F594" s="1853"/>
      <c r="G594" s="1853"/>
      <c r="H594" s="1853"/>
    </row>
    <row r="595" spans="1:8">
      <c r="A595" s="1853"/>
      <c r="B595" s="1853"/>
      <c r="C595" s="1853"/>
      <c r="D595" s="1853"/>
      <c r="E595" s="1853"/>
      <c r="F595" s="1853"/>
      <c r="G595" s="1853"/>
      <c r="H595" s="1853"/>
    </row>
    <row r="596" spans="1:8">
      <c r="A596" s="1853"/>
      <c r="B596" s="1853"/>
      <c r="C596" s="1853"/>
      <c r="D596" s="1853"/>
      <c r="E596" s="1853"/>
      <c r="F596" s="1853"/>
      <c r="G596" s="1853"/>
      <c r="H596" s="1853"/>
    </row>
    <row r="597" spans="1:8">
      <c r="A597" s="1853"/>
      <c r="B597" s="1853"/>
      <c r="C597" s="1853"/>
      <c r="D597" s="1853"/>
      <c r="E597" s="1853"/>
      <c r="F597" s="1853"/>
      <c r="G597" s="1853"/>
      <c r="H597" s="1853"/>
    </row>
    <row r="598" spans="1:8">
      <c r="A598" s="1853"/>
      <c r="B598" s="1853"/>
      <c r="C598" s="1853"/>
      <c r="D598" s="1853"/>
      <c r="E598" s="1853"/>
      <c r="F598" s="1853"/>
      <c r="G598" s="1853"/>
      <c r="H598" s="1853"/>
    </row>
    <row r="599" spans="1:8">
      <c r="A599" s="1853"/>
      <c r="B599" s="1853"/>
      <c r="C599" s="1853"/>
      <c r="D599" s="1853"/>
      <c r="E599" s="1853"/>
      <c r="F599" s="1853"/>
      <c r="G599" s="1853"/>
      <c r="H599" s="1853"/>
    </row>
    <row r="600" spans="1:8">
      <c r="A600" s="1853"/>
      <c r="B600" s="1853"/>
      <c r="C600" s="1853"/>
      <c r="D600" s="1853"/>
      <c r="E600" s="1853"/>
      <c r="F600" s="1853"/>
      <c r="G600" s="1853"/>
      <c r="H600" s="1853"/>
    </row>
    <row r="601" spans="1:8">
      <c r="A601" s="1853"/>
      <c r="B601" s="1853"/>
      <c r="C601" s="1853"/>
      <c r="D601" s="1853"/>
      <c r="E601" s="1853"/>
      <c r="F601" s="1853"/>
      <c r="G601" s="1853"/>
      <c r="H601" s="1853"/>
    </row>
    <row r="602" spans="1:8">
      <c r="A602" s="1853"/>
      <c r="B602" s="1853"/>
      <c r="C602" s="1853"/>
      <c r="D602" s="1853"/>
      <c r="E602" s="1853"/>
      <c r="F602" s="1853"/>
      <c r="G602" s="1853"/>
      <c r="H602" s="1853"/>
    </row>
    <row r="603" spans="1:8">
      <c r="A603" s="1853"/>
      <c r="B603" s="1853"/>
      <c r="C603" s="1853"/>
      <c r="D603" s="1853"/>
      <c r="E603" s="1853"/>
      <c r="F603" s="1853"/>
      <c r="G603" s="1853"/>
      <c r="H603" s="1853"/>
    </row>
    <row r="604" spans="1:8">
      <c r="A604" s="1853"/>
      <c r="B604" s="1853"/>
      <c r="C604" s="1853"/>
      <c r="D604" s="1853"/>
      <c r="E604" s="1853"/>
      <c r="F604" s="1853"/>
      <c r="G604" s="1853"/>
      <c r="H604" s="1853"/>
    </row>
    <row r="605" spans="1:8">
      <c r="A605" s="1853"/>
      <c r="B605" s="1853"/>
      <c r="C605" s="1853"/>
      <c r="D605" s="1853"/>
      <c r="E605" s="1853"/>
      <c r="F605" s="1853"/>
      <c r="G605" s="1853"/>
      <c r="H605" s="1853"/>
    </row>
    <row r="606" spans="1:8">
      <c r="A606" s="1853"/>
      <c r="B606" s="1853"/>
      <c r="C606" s="1853"/>
      <c r="D606" s="1853"/>
      <c r="E606" s="1853"/>
      <c r="F606" s="1853"/>
      <c r="G606" s="1853"/>
      <c r="H606" s="1853"/>
    </row>
    <row r="607" spans="1:8">
      <c r="A607" s="1853"/>
      <c r="B607" s="1853"/>
      <c r="C607" s="1853"/>
      <c r="D607" s="1853"/>
      <c r="E607" s="1853"/>
      <c r="F607" s="1853"/>
      <c r="G607" s="1853"/>
      <c r="H607" s="1853"/>
    </row>
    <row r="608" spans="1:8">
      <c r="A608" s="1853"/>
      <c r="B608" s="1853"/>
      <c r="C608" s="1853"/>
      <c r="D608" s="1853"/>
      <c r="E608" s="1853"/>
      <c r="F608" s="1853"/>
      <c r="G608" s="1853"/>
      <c r="H608" s="1853"/>
    </row>
    <row r="609" spans="1:8">
      <c r="A609" s="1853"/>
      <c r="B609" s="1853"/>
      <c r="C609" s="1853"/>
      <c r="D609" s="1853"/>
      <c r="E609" s="1853"/>
      <c r="F609" s="1853"/>
      <c r="G609" s="1853"/>
      <c r="H609" s="1853"/>
    </row>
    <row r="610" spans="1:8">
      <c r="A610" s="1853"/>
      <c r="B610" s="1853"/>
      <c r="C610" s="1853"/>
      <c r="D610" s="1853"/>
      <c r="E610" s="1853"/>
      <c r="F610" s="1853"/>
      <c r="G610" s="1853"/>
      <c r="H610" s="1853"/>
    </row>
    <row r="611" spans="1:8">
      <c r="A611" s="1853"/>
      <c r="B611" s="1853"/>
      <c r="C611" s="1853"/>
      <c r="D611" s="1853"/>
      <c r="E611" s="1853"/>
      <c r="F611" s="1853"/>
      <c r="G611" s="1853"/>
      <c r="H611" s="1853"/>
    </row>
    <row r="612" spans="1:8">
      <c r="A612" s="1853"/>
      <c r="B612" s="1853"/>
      <c r="C612" s="1853"/>
      <c r="D612" s="1853"/>
      <c r="E612" s="1853"/>
      <c r="F612" s="1853"/>
      <c r="G612" s="1853"/>
      <c r="H612" s="1853"/>
    </row>
    <row r="613" spans="1:8">
      <c r="A613" s="1853"/>
      <c r="B613" s="1853"/>
      <c r="C613" s="1853"/>
      <c r="D613" s="1853"/>
      <c r="E613" s="1853"/>
      <c r="F613" s="1853"/>
      <c r="G613" s="1853"/>
      <c r="H613" s="1853"/>
    </row>
    <row r="614" spans="1:8">
      <c r="A614" s="1853"/>
      <c r="B614" s="1853"/>
      <c r="C614" s="1853"/>
      <c r="D614" s="1853"/>
      <c r="E614" s="1853"/>
      <c r="F614" s="1853"/>
      <c r="G614" s="1853"/>
      <c r="H614" s="1853"/>
    </row>
    <row r="615" spans="1:8">
      <c r="A615" s="1853"/>
      <c r="B615" s="1853"/>
      <c r="C615" s="1853"/>
      <c r="D615" s="1853"/>
      <c r="E615" s="1853"/>
      <c r="F615" s="1853"/>
      <c r="G615" s="1853"/>
      <c r="H615" s="1853"/>
    </row>
    <row r="616" spans="1:8">
      <c r="A616" s="1853"/>
      <c r="B616" s="1853"/>
      <c r="C616" s="1853"/>
      <c r="D616" s="1853"/>
      <c r="E616" s="1853"/>
      <c r="F616" s="1853"/>
      <c r="G616" s="1853"/>
      <c r="H616" s="1853"/>
    </row>
    <row r="617" spans="1:8">
      <c r="A617" s="1853"/>
      <c r="B617" s="1853"/>
      <c r="C617" s="1853"/>
      <c r="D617" s="1853"/>
      <c r="E617" s="1853"/>
      <c r="F617" s="1853"/>
      <c r="G617" s="1853"/>
      <c r="H617" s="1853"/>
    </row>
    <row r="618" spans="1:8">
      <c r="A618" s="1853"/>
      <c r="B618" s="1853"/>
      <c r="C618" s="1853"/>
      <c r="D618" s="1853"/>
      <c r="E618" s="1853"/>
      <c r="F618" s="1853"/>
      <c r="G618" s="1853"/>
      <c r="H618" s="1853"/>
    </row>
    <row r="619" spans="1:8">
      <c r="A619" s="1853"/>
      <c r="B619" s="1853"/>
      <c r="C619" s="1853"/>
      <c r="D619" s="1853"/>
      <c r="E619" s="1853"/>
      <c r="F619" s="1853"/>
      <c r="G619" s="1853"/>
      <c r="H619" s="1853"/>
    </row>
    <row r="620" spans="1:8">
      <c r="A620" s="1853"/>
      <c r="B620" s="1853"/>
      <c r="C620" s="1853"/>
      <c r="D620" s="1853"/>
      <c r="E620" s="1853"/>
      <c r="F620" s="1853"/>
      <c r="G620" s="1853"/>
      <c r="H620" s="1853"/>
    </row>
    <row r="621" spans="1:8">
      <c r="A621" s="1853"/>
      <c r="B621" s="1853"/>
      <c r="C621" s="1853"/>
      <c r="D621" s="1853"/>
      <c r="E621" s="1853"/>
      <c r="F621" s="1853"/>
      <c r="G621" s="1853"/>
      <c r="H621" s="1853"/>
    </row>
    <row r="622" spans="1:8">
      <c r="A622" s="1853"/>
      <c r="B622" s="1853"/>
      <c r="C622" s="1853"/>
      <c r="D622" s="1853"/>
      <c r="E622" s="1853"/>
      <c r="F622" s="1853"/>
      <c r="G622" s="1853"/>
      <c r="H622" s="1853"/>
    </row>
    <row r="623" spans="1:8">
      <c r="A623" s="1853"/>
      <c r="B623" s="1853"/>
      <c r="C623" s="1853"/>
      <c r="D623" s="1853"/>
      <c r="E623" s="1853"/>
      <c r="F623" s="1853"/>
      <c r="G623" s="1853"/>
      <c r="H623" s="1853"/>
    </row>
    <row r="624" spans="1:8">
      <c r="A624" s="1853"/>
      <c r="B624" s="1853"/>
      <c r="C624" s="1853"/>
      <c r="D624" s="1853"/>
      <c r="E624" s="1853"/>
      <c r="F624" s="1853"/>
      <c r="G624" s="1853"/>
      <c r="H624" s="1853"/>
    </row>
    <row r="625" spans="1:8">
      <c r="A625" s="1853"/>
      <c r="B625" s="1853"/>
      <c r="C625" s="1853"/>
      <c r="D625" s="1853"/>
      <c r="E625" s="1853"/>
      <c r="F625" s="1853"/>
      <c r="G625" s="1853"/>
      <c r="H625" s="1853"/>
    </row>
    <row r="626" spans="1:8">
      <c r="A626" s="1853"/>
      <c r="B626" s="1853"/>
      <c r="C626" s="1853"/>
      <c r="D626" s="1853"/>
      <c r="E626" s="1853"/>
      <c r="F626" s="1853"/>
      <c r="G626" s="1853"/>
      <c r="H626" s="1853"/>
    </row>
    <row r="627" spans="1:8">
      <c r="A627" s="1853"/>
      <c r="B627" s="1853"/>
      <c r="C627" s="1853"/>
      <c r="D627" s="1853"/>
      <c r="E627" s="1853"/>
      <c r="F627" s="1853"/>
      <c r="G627" s="1853"/>
      <c r="H627" s="1853"/>
    </row>
    <row r="628" spans="1:8">
      <c r="A628" s="1853"/>
      <c r="B628" s="1853"/>
      <c r="C628" s="1853"/>
      <c r="D628" s="1853"/>
      <c r="E628" s="1853"/>
      <c r="F628" s="1853"/>
      <c r="G628" s="1853"/>
      <c r="H628" s="1853"/>
    </row>
    <row r="629" spans="1:8">
      <c r="A629" s="1853"/>
      <c r="B629" s="1853"/>
      <c r="C629" s="1853"/>
      <c r="D629" s="1853"/>
      <c r="E629" s="1853"/>
      <c r="F629" s="1853"/>
      <c r="G629" s="1853"/>
      <c r="H629" s="1853"/>
    </row>
    <row r="630" spans="1:8">
      <c r="A630" s="1853"/>
      <c r="B630" s="1853"/>
      <c r="C630" s="1853"/>
      <c r="D630" s="1853"/>
      <c r="E630" s="1853"/>
      <c r="F630" s="1853"/>
      <c r="G630" s="1853"/>
      <c r="H630" s="1853"/>
    </row>
    <row r="631" spans="1:8">
      <c r="A631" s="1853"/>
      <c r="B631" s="1853"/>
      <c r="C631" s="1853"/>
      <c r="D631" s="1853"/>
      <c r="E631" s="1853"/>
      <c r="F631" s="1853"/>
      <c r="G631" s="1853"/>
      <c r="H631" s="1853"/>
    </row>
    <row r="632" spans="1:8">
      <c r="A632" s="1853"/>
      <c r="B632" s="1853"/>
      <c r="C632" s="1853"/>
      <c r="D632" s="1853"/>
      <c r="E632" s="1853"/>
      <c r="F632" s="1853"/>
      <c r="G632" s="1853"/>
      <c r="H632" s="1853"/>
    </row>
    <row r="633" spans="1:8">
      <c r="A633" s="1853"/>
      <c r="B633" s="1853"/>
      <c r="C633" s="1853"/>
      <c r="D633" s="1853"/>
      <c r="E633" s="1853"/>
      <c r="F633" s="1853"/>
      <c r="G633" s="1853"/>
      <c r="H633" s="1853"/>
    </row>
    <row r="634" spans="1:8">
      <c r="A634" s="1853"/>
      <c r="B634" s="1853"/>
      <c r="C634" s="1853"/>
      <c r="D634" s="1853"/>
      <c r="E634" s="1853"/>
      <c r="F634" s="1853"/>
      <c r="G634" s="1853"/>
      <c r="H634" s="1853"/>
    </row>
    <row r="635" spans="1:8">
      <c r="A635" s="1853"/>
      <c r="B635" s="1853"/>
      <c r="C635" s="1853"/>
      <c r="D635" s="1853"/>
      <c r="E635" s="1853"/>
      <c r="F635" s="1853"/>
      <c r="G635" s="1853"/>
      <c r="H635" s="1853"/>
    </row>
    <row r="636" spans="1:8">
      <c r="A636" s="1853"/>
      <c r="B636" s="1853"/>
      <c r="C636" s="1853"/>
      <c r="D636" s="1853"/>
      <c r="E636" s="1853"/>
      <c r="F636" s="1853"/>
      <c r="G636" s="1853"/>
      <c r="H636" s="1853"/>
    </row>
    <row r="637" spans="1:8">
      <c r="A637" s="1853"/>
      <c r="B637" s="1853"/>
      <c r="C637" s="1853"/>
      <c r="D637" s="1853"/>
      <c r="E637" s="1853"/>
      <c r="F637" s="1853"/>
      <c r="G637" s="1853"/>
      <c r="H637" s="1853"/>
    </row>
    <row r="638" spans="1:8">
      <c r="A638" s="1853"/>
      <c r="B638" s="1853"/>
      <c r="C638" s="1853"/>
      <c r="D638" s="1853"/>
      <c r="E638" s="1853"/>
      <c r="F638" s="1853"/>
      <c r="G638" s="1853"/>
      <c r="H638" s="1853"/>
    </row>
    <row r="639" spans="1:8">
      <c r="A639" s="1853"/>
      <c r="B639" s="1853"/>
      <c r="C639" s="1853"/>
      <c r="D639" s="1853"/>
      <c r="E639" s="1853"/>
      <c r="F639" s="1853"/>
      <c r="G639" s="1853"/>
      <c r="H639" s="1853"/>
    </row>
    <row r="640" spans="1:8">
      <c r="A640" s="1853"/>
      <c r="B640" s="1853"/>
      <c r="C640" s="1853"/>
      <c r="D640" s="1853"/>
      <c r="E640" s="1853"/>
      <c r="F640" s="1853"/>
      <c r="G640" s="1853"/>
      <c r="H640" s="1853"/>
    </row>
    <row r="641" spans="1:8">
      <c r="A641" s="1853"/>
      <c r="B641" s="1853"/>
      <c r="C641" s="1853"/>
      <c r="D641" s="1853"/>
      <c r="E641" s="1853"/>
      <c r="F641" s="1853"/>
      <c r="G641" s="1853"/>
      <c r="H641" s="1853"/>
    </row>
    <row r="642" spans="1:8">
      <c r="A642" s="1853"/>
      <c r="B642" s="1853"/>
      <c r="C642" s="1853"/>
      <c r="D642" s="1853"/>
      <c r="E642" s="1853"/>
      <c r="F642" s="1853"/>
      <c r="G642" s="1853"/>
      <c r="H642" s="1853"/>
    </row>
    <row r="643" spans="1:8">
      <c r="A643" s="1853"/>
      <c r="B643" s="1853"/>
      <c r="C643" s="1853"/>
      <c r="D643" s="1853"/>
      <c r="E643" s="1853"/>
      <c r="F643" s="1853"/>
      <c r="G643" s="1853"/>
      <c r="H643" s="1853"/>
    </row>
    <row r="644" spans="1:8">
      <c r="A644" s="1853"/>
      <c r="B644" s="1853"/>
      <c r="C644" s="1853"/>
      <c r="D644" s="1853"/>
      <c r="E644" s="1853"/>
      <c r="F644" s="1853"/>
      <c r="G644" s="1853"/>
      <c r="H644" s="1853"/>
    </row>
    <row r="645" spans="1:8">
      <c r="A645" s="1853"/>
      <c r="B645" s="1853"/>
      <c r="C645" s="1853"/>
      <c r="D645" s="1853"/>
      <c r="E645" s="1853"/>
      <c r="F645" s="1853"/>
      <c r="G645" s="1853"/>
      <c r="H645" s="1853"/>
    </row>
    <row r="646" spans="1:8">
      <c r="A646" s="1853"/>
      <c r="B646" s="1853"/>
      <c r="C646" s="1853"/>
      <c r="D646" s="1853"/>
      <c r="E646" s="1853"/>
      <c r="F646" s="1853"/>
      <c r="G646" s="1853"/>
      <c r="H646" s="1853"/>
    </row>
    <row r="647" spans="1:8">
      <c r="A647" s="1853"/>
      <c r="B647" s="1853"/>
      <c r="C647" s="1853"/>
      <c r="D647" s="1853"/>
      <c r="E647" s="1853"/>
      <c r="F647" s="1853"/>
      <c r="G647" s="1853"/>
      <c r="H647" s="1853"/>
    </row>
    <row r="648" spans="1:8">
      <c r="A648" s="1853"/>
      <c r="B648" s="1853"/>
      <c r="C648" s="1853"/>
      <c r="D648" s="1853"/>
      <c r="E648" s="1853"/>
      <c r="F648" s="1853"/>
      <c r="G648" s="1853"/>
      <c r="H648" s="1853"/>
    </row>
    <row r="649" spans="1:8">
      <c r="A649" s="1853"/>
      <c r="B649" s="1853"/>
      <c r="C649" s="1853"/>
      <c r="D649" s="1853"/>
      <c r="E649" s="1853"/>
      <c r="F649" s="1853"/>
      <c r="G649" s="1853"/>
      <c r="H649" s="1853"/>
    </row>
    <row r="650" spans="1:8">
      <c r="A650" s="1853"/>
      <c r="B650" s="1853"/>
      <c r="C650" s="1853"/>
      <c r="D650" s="1853"/>
      <c r="E650" s="1853"/>
      <c r="F650" s="1853"/>
      <c r="G650" s="1853"/>
      <c r="H650" s="1853"/>
    </row>
    <row r="651" spans="1:8">
      <c r="A651" s="1853"/>
      <c r="B651" s="1853"/>
      <c r="C651" s="1853"/>
      <c r="D651" s="1853"/>
      <c r="E651" s="1853"/>
      <c r="F651" s="1853"/>
      <c r="G651" s="1853"/>
      <c r="H651" s="1853"/>
    </row>
    <row r="652" spans="1:8">
      <c r="A652" s="1853"/>
      <c r="B652" s="1853"/>
      <c r="C652" s="1853"/>
      <c r="D652" s="1853"/>
      <c r="E652" s="1853"/>
      <c r="F652" s="1853"/>
      <c r="G652" s="1853"/>
      <c r="H652" s="1853"/>
    </row>
    <row r="653" spans="1:8">
      <c r="A653" s="1853"/>
      <c r="B653" s="1853"/>
      <c r="C653" s="1853"/>
      <c r="D653" s="1853"/>
      <c r="E653" s="1853"/>
      <c r="F653" s="1853"/>
      <c r="G653" s="1853"/>
      <c r="H653" s="1853"/>
    </row>
    <row r="654" spans="1:8">
      <c r="A654" s="1853"/>
      <c r="B654" s="1853"/>
      <c r="C654" s="1853"/>
      <c r="D654" s="1853"/>
      <c r="E654" s="1853"/>
      <c r="F654" s="1853"/>
      <c r="G654" s="1853"/>
      <c r="H654" s="1853"/>
    </row>
    <row r="655" spans="1:8">
      <c r="A655" s="1853"/>
      <c r="B655" s="1853"/>
      <c r="C655" s="1853"/>
      <c r="D655" s="1853"/>
      <c r="E655" s="1853"/>
      <c r="F655" s="1853"/>
      <c r="G655" s="1853"/>
      <c r="H655" s="1853"/>
    </row>
    <row r="656" spans="1:8">
      <c r="A656" s="1853"/>
      <c r="B656" s="1853"/>
      <c r="C656" s="1853"/>
      <c r="D656" s="1853"/>
      <c r="E656" s="1853"/>
      <c r="F656" s="1853"/>
      <c r="G656" s="1853"/>
      <c r="H656" s="1853"/>
    </row>
    <row r="657" spans="1:8">
      <c r="A657" s="1853"/>
      <c r="B657" s="1853"/>
      <c r="C657" s="1853"/>
      <c r="D657" s="1853"/>
      <c r="E657" s="1853"/>
      <c r="F657" s="1853"/>
      <c r="G657" s="1853"/>
      <c r="H657" s="1853"/>
    </row>
    <row r="658" spans="1:8">
      <c r="A658" s="1853"/>
      <c r="B658" s="1853"/>
      <c r="C658" s="1853"/>
      <c r="D658" s="1853"/>
      <c r="E658" s="1853"/>
      <c r="F658" s="1853"/>
      <c r="G658" s="1853"/>
      <c r="H658" s="1853"/>
    </row>
    <row r="659" spans="1:8">
      <c r="A659" s="1853"/>
      <c r="B659" s="1853"/>
      <c r="C659" s="1853"/>
      <c r="D659" s="1853"/>
      <c r="E659" s="1853"/>
      <c r="F659" s="1853"/>
      <c r="G659" s="1853"/>
      <c r="H659" s="1853"/>
    </row>
    <row r="660" spans="1:8">
      <c r="A660" s="1853"/>
      <c r="B660" s="1853"/>
      <c r="C660" s="1853"/>
      <c r="D660" s="1853"/>
      <c r="E660" s="1853"/>
      <c r="F660" s="1853"/>
      <c r="G660" s="1853"/>
      <c r="H660" s="1853"/>
    </row>
    <row r="661" spans="1:8">
      <c r="A661" s="1853"/>
      <c r="B661" s="1853"/>
      <c r="C661" s="1853"/>
      <c r="D661" s="1853"/>
      <c r="E661" s="1853"/>
      <c r="F661" s="1853"/>
      <c r="G661" s="1853"/>
      <c r="H661" s="1853"/>
    </row>
    <row r="662" spans="1:8">
      <c r="A662" s="1853"/>
      <c r="B662" s="1853"/>
      <c r="C662" s="1853"/>
      <c r="D662" s="1853"/>
      <c r="E662" s="1853"/>
      <c r="F662" s="1853"/>
      <c r="G662" s="1853"/>
      <c r="H662" s="1853"/>
    </row>
    <row r="663" spans="1:8">
      <c r="A663" s="1853"/>
      <c r="B663" s="1853"/>
      <c r="C663" s="1853"/>
      <c r="D663" s="1853"/>
      <c r="E663" s="1853"/>
      <c r="F663" s="1853"/>
      <c r="G663" s="1853"/>
      <c r="H663" s="1853"/>
    </row>
    <row r="664" spans="1:8">
      <c r="A664" s="1853"/>
      <c r="B664" s="1853"/>
      <c r="C664" s="1853"/>
      <c r="D664" s="1853"/>
      <c r="E664" s="1853"/>
      <c r="F664" s="1853"/>
      <c r="G664" s="1853"/>
      <c r="H664" s="1853"/>
    </row>
    <row r="665" spans="1:8">
      <c r="A665" s="1853"/>
      <c r="B665" s="1853"/>
      <c r="C665" s="1853"/>
      <c r="D665" s="1853"/>
      <c r="E665" s="1853"/>
      <c r="F665" s="1853"/>
      <c r="G665" s="1853"/>
      <c r="H665" s="1853"/>
    </row>
    <row r="666" spans="1:8">
      <c r="A666" s="1853"/>
      <c r="B666" s="1853"/>
      <c r="C666" s="1853"/>
      <c r="D666" s="1853"/>
      <c r="E666" s="1853"/>
      <c r="F666" s="1853"/>
      <c r="G666" s="1853"/>
      <c r="H666" s="1853"/>
    </row>
    <row r="667" spans="1:8">
      <c r="A667" s="1853"/>
      <c r="B667" s="1853"/>
      <c r="C667" s="1853"/>
      <c r="D667" s="1853"/>
      <c r="E667" s="1853"/>
      <c r="F667" s="1853"/>
      <c r="G667" s="1853"/>
      <c r="H667" s="1853"/>
    </row>
    <row r="668" spans="1:8">
      <c r="A668" s="1853"/>
      <c r="B668" s="1853"/>
      <c r="C668" s="1853"/>
      <c r="D668" s="1853"/>
      <c r="E668" s="1853"/>
      <c r="F668" s="1853"/>
      <c r="G668" s="1853"/>
      <c r="H668" s="1853"/>
    </row>
    <row r="669" spans="1:8">
      <c r="A669" s="1853"/>
      <c r="B669" s="1853"/>
      <c r="C669" s="1853"/>
      <c r="D669" s="1853"/>
      <c r="E669" s="1853"/>
      <c r="F669" s="1853"/>
      <c r="G669" s="1853"/>
      <c r="H669" s="1853"/>
    </row>
    <row r="670" spans="1:8">
      <c r="A670" s="1853"/>
      <c r="B670" s="1853"/>
      <c r="C670" s="1853"/>
      <c r="D670" s="1853"/>
      <c r="E670" s="1853"/>
      <c r="F670" s="1853"/>
      <c r="G670" s="1853"/>
      <c r="H670" s="1853"/>
    </row>
    <row r="671" spans="1:8">
      <c r="A671" s="1853"/>
      <c r="B671" s="1853"/>
      <c r="C671" s="1853"/>
      <c r="D671" s="1853"/>
      <c r="E671" s="1853"/>
      <c r="F671" s="1853"/>
      <c r="G671" s="1853"/>
      <c r="H671" s="1853"/>
    </row>
    <row r="672" spans="1:8">
      <c r="A672" s="1853"/>
      <c r="B672" s="1853"/>
      <c r="C672" s="1853"/>
      <c r="D672" s="1853"/>
      <c r="E672" s="1853"/>
      <c r="F672" s="1853"/>
      <c r="G672" s="1853"/>
      <c r="H672" s="1853"/>
    </row>
    <row r="673" spans="1:8">
      <c r="A673" s="1853"/>
      <c r="B673" s="1853"/>
      <c r="C673" s="1853"/>
      <c r="D673" s="1853"/>
      <c r="E673" s="1853"/>
      <c r="F673" s="1853"/>
      <c r="G673" s="1853"/>
      <c r="H673" s="1853"/>
    </row>
    <row r="674" spans="1:8">
      <c r="A674" s="1853"/>
      <c r="B674" s="1853"/>
      <c r="C674" s="1853"/>
      <c r="D674" s="1853"/>
      <c r="E674" s="1853"/>
      <c r="F674" s="1853"/>
      <c r="G674" s="1853"/>
      <c r="H674" s="1853"/>
    </row>
    <row r="675" spans="1:8">
      <c r="A675" s="1853"/>
      <c r="B675" s="1853"/>
      <c r="C675" s="1853"/>
      <c r="D675" s="1853"/>
      <c r="E675" s="1853"/>
      <c r="F675" s="1853"/>
      <c r="G675" s="1853"/>
      <c r="H675" s="1853"/>
    </row>
    <row r="676" spans="1:8">
      <c r="A676" s="1853"/>
      <c r="B676" s="1853"/>
      <c r="C676" s="1853"/>
      <c r="D676" s="1853"/>
      <c r="E676" s="1853"/>
      <c r="F676" s="1853"/>
      <c r="G676" s="1853"/>
      <c r="H676" s="1853"/>
    </row>
    <row r="677" spans="1:8">
      <c r="A677" s="1853"/>
      <c r="B677" s="1853"/>
      <c r="C677" s="1853"/>
      <c r="D677" s="1853"/>
      <c r="E677" s="1853"/>
      <c r="F677" s="1853"/>
      <c r="G677" s="1853"/>
      <c r="H677" s="1853"/>
    </row>
    <row r="678" spans="1:8">
      <c r="A678" s="1853"/>
      <c r="B678" s="1853"/>
      <c r="C678" s="1853"/>
      <c r="D678" s="1853"/>
      <c r="E678" s="1853"/>
      <c r="F678" s="1853"/>
      <c r="G678" s="1853"/>
      <c r="H678" s="1853"/>
    </row>
    <row r="679" spans="1:8">
      <c r="A679" s="1853"/>
      <c r="B679" s="1853"/>
      <c r="C679" s="1853"/>
      <c r="D679" s="1853"/>
      <c r="E679" s="1853"/>
      <c r="F679" s="1853"/>
      <c r="G679" s="1853"/>
      <c r="H679" s="1853"/>
    </row>
    <row r="680" spans="1:8">
      <c r="A680" s="1853"/>
      <c r="B680" s="1853"/>
      <c r="C680" s="1853"/>
      <c r="D680" s="1853"/>
      <c r="E680" s="1853"/>
      <c r="F680" s="1853"/>
      <c r="G680" s="1853"/>
      <c r="H680" s="1853"/>
    </row>
    <row r="681" spans="1:8">
      <c r="A681" s="1853"/>
      <c r="B681" s="1853"/>
      <c r="C681" s="1853"/>
      <c r="D681" s="1853"/>
      <c r="E681" s="1853"/>
      <c r="F681" s="1853"/>
      <c r="G681" s="1853"/>
      <c r="H681" s="1853"/>
    </row>
    <row r="682" spans="1:8">
      <c r="A682" s="1853"/>
      <c r="B682" s="1853"/>
      <c r="C682" s="1853"/>
      <c r="D682" s="1853"/>
      <c r="E682" s="1853"/>
      <c r="F682" s="1853"/>
      <c r="G682" s="1853"/>
      <c r="H682" s="1853"/>
    </row>
    <row r="683" spans="1:8">
      <c r="A683" s="1853"/>
      <c r="B683" s="1853"/>
      <c r="C683" s="1853"/>
      <c r="D683" s="1853"/>
      <c r="E683" s="1853"/>
      <c r="F683" s="1853"/>
      <c r="G683" s="1853"/>
      <c r="H683" s="1853"/>
    </row>
    <row r="684" spans="1:8">
      <c r="A684" s="1853"/>
      <c r="B684" s="1853"/>
      <c r="C684" s="1853"/>
      <c r="D684" s="1853"/>
      <c r="E684" s="1853"/>
      <c r="F684" s="1853"/>
      <c r="G684" s="1853"/>
      <c r="H684" s="1853"/>
    </row>
    <row r="685" spans="1:8">
      <c r="A685" s="1853"/>
      <c r="B685" s="1853"/>
      <c r="C685" s="1853"/>
      <c r="D685" s="1853"/>
      <c r="E685" s="1853"/>
      <c r="F685" s="1853"/>
      <c r="G685" s="1853"/>
      <c r="H685" s="1853"/>
    </row>
    <row r="686" spans="1:8">
      <c r="A686" s="1853"/>
      <c r="B686" s="1853"/>
      <c r="C686" s="1853"/>
      <c r="D686" s="1853"/>
      <c r="E686" s="1853"/>
      <c r="F686" s="1853"/>
      <c r="G686" s="1853"/>
      <c r="H686" s="1853"/>
    </row>
    <row r="687" spans="1:8">
      <c r="A687" s="1853"/>
      <c r="B687" s="1853"/>
      <c r="C687" s="1853"/>
      <c r="D687" s="1853"/>
      <c r="E687" s="1853"/>
      <c r="F687" s="1853"/>
      <c r="G687" s="1853"/>
      <c r="H687" s="1853"/>
    </row>
    <row r="688" spans="1:8">
      <c r="A688" s="1853"/>
      <c r="B688" s="1853"/>
      <c r="C688" s="1853"/>
      <c r="D688" s="1853"/>
      <c r="E688" s="1853"/>
      <c r="F688" s="1853"/>
      <c r="G688" s="1853"/>
      <c r="H688" s="1853"/>
    </row>
    <row r="689" spans="1:8">
      <c r="A689" s="1853"/>
      <c r="B689" s="1853"/>
      <c r="C689" s="1853"/>
      <c r="D689" s="1853"/>
      <c r="E689" s="1853"/>
      <c r="F689" s="1853"/>
      <c r="G689" s="1853"/>
      <c r="H689" s="1853"/>
    </row>
    <row r="690" spans="1:8">
      <c r="A690" s="1853"/>
      <c r="B690" s="1853"/>
      <c r="C690" s="1853"/>
      <c r="D690" s="1853"/>
      <c r="E690" s="1853"/>
      <c r="F690" s="1853"/>
      <c r="G690" s="1853"/>
      <c r="H690" s="1853"/>
    </row>
    <row r="691" spans="1:8">
      <c r="A691" s="1853"/>
      <c r="B691" s="1853"/>
      <c r="C691" s="1853"/>
      <c r="D691" s="1853"/>
      <c r="E691" s="1853"/>
      <c r="F691" s="1853"/>
      <c r="G691" s="1853"/>
      <c r="H691" s="1853"/>
    </row>
    <row r="692" spans="1:8">
      <c r="A692" s="1853"/>
      <c r="B692" s="1853"/>
      <c r="C692" s="1853"/>
      <c r="D692" s="1853"/>
      <c r="E692" s="1853"/>
      <c r="F692" s="1853"/>
      <c r="G692" s="1853"/>
      <c r="H692" s="1853"/>
    </row>
    <row r="693" spans="1:8">
      <c r="A693" s="1853"/>
      <c r="B693" s="1853"/>
      <c r="C693" s="1853"/>
      <c r="D693" s="1853"/>
      <c r="E693" s="1853"/>
      <c r="F693" s="1853"/>
      <c r="G693" s="1853"/>
      <c r="H693" s="1853"/>
    </row>
    <row r="694" spans="1:8">
      <c r="A694" s="1853"/>
      <c r="B694" s="1853"/>
      <c r="C694" s="1853"/>
      <c r="D694" s="1853"/>
      <c r="E694" s="1853"/>
      <c r="F694" s="1853"/>
      <c r="G694" s="1853"/>
      <c r="H694" s="1853"/>
    </row>
    <row r="695" spans="1:8">
      <c r="A695" s="1853"/>
      <c r="B695" s="1853"/>
      <c r="C695" s="1853"/>
      <c r="D695" s="1853"/>
      <c r="E695" s="1853"/>
      <c r="F695" s="1853"/>
      <c r="G695" s="1853"/>
      <c r="H695" s="1853"/>
    </row>
    <row r="696" spans="1:8">
      <c r="A696" s="1853"/>
      <c r="B696" s="1853"/>
      <c r="C696" s="1853"/>
      <c r="D696" s="1853"/>
      <c r="E696" s="1853"/>
      <c r="F696" s="1853"/>
      <c r="G696" s="1853"/>
      <c r="H696" s="1853"/>
    </row>
    <row r="697" spans="1:8">
      <c r="A697" s="1853"/>
      <c r="B697" s="1853"/>
      <c r="C697" s="1853"/>
      <c r="D697" s="1853"/>
      <c r="E697" s="1853"/>
      <c r="F697" s="1853"/>
      <c r="G697" s="1853"/>
      <c r="H697" s="1853"/>
    </row>
    <row r="698" spans="1:8">
      <c r="A698" s="1853"/>
      <c r="B698" s="1853"/>
      <c r="C698" s="1853"/>
      <c r="D698" s="1853"/>
      <c r="E698" s="1853"/>
      <c r="F698" s="1853"/>
      <c r="G698" s="1853"/>
      <c r="H698" s="1853"/>
    </row>
    <row r="699" spans="1:8">
      <c r="A699" s="1853"/>
      <c r="B699" s="1853"/>
      <c r="C699" s="1853"/>
      <c r="D699" s="1853"/>
      <c r="E699" s="1853"/>
      <c r="F699" s="1853"/>
      <c r="G699" s="1853"/>
      <c r="H699" s="1853"/>
    </row>
  </sheetData>
  <sheetProtection sheet="1" objects="1" scenarios="1"/>
  <phoneticPr fontId="4" type="noConversion"/>
  <dataValidations count="3">
    <dataValidation type="list" allowBlank="1" showInputMessage="1" showErrorMessage="1" sqref="B29" xr:uid="{00000000-0002-0000-4900-000000000000}">
      <formula1>$B$39:$B$59</formula1>
    </dataValidation>
    <dataValidation type="decimal" allowBlank="1" showInputMessage="1" showErrorMessage="1" sqref="B31:B32" xr:uid="{00000000-0002-0000-4900-000001000000}">
      <formula1>-0.06</formula1>
      <formula2>0.06</formula2>
    </dataValidation>
    <dataValidation type="decimal" allowBlank="1" showInputMessage="1" showErrorMessage="1" sqref="B22" xr:uid="{00000000-0002-0000-4900-000002000000}">
      <formula1>0.04</formula1>
      <formula2>0.06</formula2>
    </dataValidation>
  </dataValidations>
  <printOptions horizontalCentered="1"/>
  <pageMargins left="0.78740157480314965" right="0.78740157480314965" top="0.67" bottom="0.78740157480314965" header="0.51181102362204722" footer="0.51181102362204722"/>
  <pageSetup paperSize="9" scale="79" orientation="landscape" r:id="rId1"/>
  <headerFooter alignWithMargins="0"/>
  <legacyDrawing r:id="rId2"/>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35">
    <pageSetUpPr fitToPage="1"/>
  </sheetPr>
  <dimension ref="A1:G96"/>
  <sheetViews>
    <sheetView workbookViewId="0"/>
  </sheetViews>
  <sheetFormatPr baseColWidth="10" defaultColWidth="11" defaultRowHeight="15"/>
  <cols>
    <col min="1" max="1" width="32" style="35" customWidth="1"/>
    <col min="2" max="6" width="13.375" style="35" customWidth="1"/>
    <col min="7" max="16384" width="11" style="35"/>
  </cols>
  <sheetData>
    <row r="1" spans="1:7" ht="22.5">
      <c r="A1" s="894" t="s">
        <v>558</v>
      </c>
      <c r="B1" s="348"/>
      <c r="C1" s="348"/>
      <c r="D1" s="348"/>
      <c r="E1" s="348"/>
    </row>
    <row r="2" spans="1:7" ht="15.75" thickBot="1"/>
    <row r="3" spans="1:7" s="896" customFormat="1" ht="17.25" customHeight="1">
      <c r="A3" s="1463" t="str">
        <f>'Datos Básicos'!A6</f>
        <v>Programa de:</v>
      </c>
      <c r="B3" s="1461" t="str">
        <f>'Datos Básicos'!B6</f>
        <v>Coworking</v>
      </c>
      <c r="C3" s="1438"/>
      <c r="D3" s="1438"/>
      <c r="E3" s="1438"/>
      <c r="F3" s="1438"/>
      <c r="G3" s="1439"/>
    </row>
    <row r="4" spans="1:7" s="896" customFormat="1" ht="17.25" customHeight="1" thickBot="1">
      <c r="A4" s="1464" t="s">
        <v>264</v>
      </c>
      <c r="B4" s="1462" t="str">
        <f>'Datos Básicos'!B7</f>
        <v>Rincón de la Victoria</v>
      </c>
      <c r="C4" s="1433"/>
      <c r="D4" s="1433"/>
      <c r="E4" s="1433"/>
      <c r="F4" s="1433"/>
      <c r="G4" s="1434"/>
    </row>
    <row r="5" spans="1:7" s="896" customFormat="1" thickBot="1">
      <c r="A5" s="898"/>
      <c r="B5" s="899"/>
    </row>
    <row r="6" spans="1:7" s="896" customFormat="1" thickBot="1">
      <c r="A6" s="1465" t="s">
        <v>221</v>
      </c>
      <c r="B6" s="1466">
        <f>'Datos Básicos'!B13:C13</f>
        <v>46962</v>
      </c>
    </row>
    <row r="7" spans="1:7" s="896" customFormat="1" thickBot="1"/>
    <row r="8" spans="1:7" s="896" customFormat="1" ht="20.25" customHeight="1">
      <c r="A8" s="1435" t="s">
        <v>149</v>
      </c>
      <c r="B8" s="1444" t="str">
        <f>'Datos Básicos'!B9</f>
        <v>nombre empresa</v>
      </c>
      <c r="C8" s="1430"/>
      <c r="D8" s="1430"/>
      <c r="E8" s="1430"/>
      <c r="F8" s="1430"/>
      <c r="G8" s="1431"/>
    </row>
    <row r="9" spans="1:7" s="896" customFormat="1" ht="20.25" customHeight="1">
      <c r="A9" s="1436" t="str">
        <f>'Datos Básicos'!A11</f>
        <v>Promotores:</v>
      </c>
      <c r="B9" s="1445" t="str">
        <f>IF('Datos Básicos'!B11="","",'Datos Básicos'!B11)</f>
        <v>nombre y apellidos</v>
      </c>
      <c r="C9" s="897"/>
      <c r="D9" s="897"/>
      <c r="E9" s="897"/>
      <c r="F9" s="897"/>
      <c r="G9" s="1432"/>
    </row>
    <row r="10" spans="1:7" s="896" customFormat="1" ht="19.5" customHeight="1" thickBot="1">
      <c r="A10" s="1437" t="s">
        <v>467</v>
      </c>
      <c r="B10" s="1458" t="str">
        <f>'Datos Básicos'!B24</f>
        <v>Empresario Individual (Reg. General)</v>
      </c>
      <c r="C10" s="1433"/>
      <c r="D10" s="1433"/>
      <c r="E10" s="1433"/>
      <c r="F10" s="1433"/>
      <c r="G10" s="1434"/>
    </row>
    <row r="11" spans="1:7" s="896" customFormat="1" thickBot="1">
      <c r="A11" s="895"/>
      <c r="B11" s="900"/>
    </row>
    <row r="12" spans="1:7" s="896" customFormat="1" ht="21" customHeight="1" thickBot="1">
      <c r="A12" s="1440" t="s">
        <v>266</v>
      </c>
      <c r="B12" s="1459" t="str">
        <f>TEXT(INDEX(Parametros!A61:A72,mes0,1),"mmmm \d\e aaaa")</f>
        <v>enero de 2026</v>
      </c>
      <c r="C12" s="1460"/>
    </row>
    <row r="13" spans="1:7" ht="15.75" thickBot="1"/>
    <row r="14" spans="1:7" ht="15.75" thickBot="1">
      <c r="A14" s="3015" t="s">
        <v>1192</v>
      </c>
      <c r="B14" s="2693" t="s">
        <v>1108</v>
      </c>
      <c r="C14" s="2693" t="str">
        <f t="array" ref="C14:G14">anni</f>
        <v>Año 0:  2026</v>
      </c>
      <c r="D14" s="2694" t="str">
        <v>Año 1:  2027</v>
      </c>
      <c r="E14" s="2694" t="str">
        <v>Año 2:  2028</v>
      </c>
      <c r="F14" s="2694" t="str">
        <v>Año 3:  2029</v>
      </c>
      <c r="G14" s="2695" t="str">
        <v>Año 4:  2030</v>
      </c>
    </row>
    <row r="15" spans="1:7">
      <c r="A15" s="2819" t="str">
        <f>CONCATENATE("Inversiones anuales ( ",Parametros!$H$11," )")</f>
        <v>Inversiones anuales ( € )</v>
      </c>
      <c r="B15" s="2667">
        <f>'Financiación Inicial'!B32</f>
        <v>0</v>
      </c>
      <c r="C15" s="2667">
        <f ca="1">'Financiación Inicial'!C32</f>
        <v>3000</v>
      </c>
      <c r="D15" s="2668">
        <f t="array" aca="1" ref="D15:G15" ca="1">Financiación!E9:H9</f>
        <v>0</v>
      </c>
      <c r="E15" s="2668">
        <f ca="1"/>
        <v>0</v>
      </c>
      <c r="F15" s="2668">
        <f ca="1"/>
        <v>0</v>
      </c>
      <c r="G15" s="2669">
        <f ca="1"/>
        <v>0</v>
      </c>
    </row>
    <row r="16" spans="1:7">
      <c r="A16" s="2820" t="str">
        <f>CONCATENATE("Aumento de Patrimonio Neto ( ",Parametros!$H$11," )")</f>
        <v>Aumento de Patrimonio Neto ( € )</v>
      </c>
      <c r="B16" s="2670">
        <f>'Financiación Inicial'!B6</f>
        <v>0</v>
      </c>
      <c r="C16" s="2670">
        <f>'Financiación Inicial'!C6</f>
        <v>3000</v>
      </c>
      <c r="D16" s="2671">
        <f>SUM(Financiación!E14:E19)</f>
        <v>0</v>
      </c>
      <c r="E16" s="2671">
        <f>SUM(Financiación!F14:F19)</f>
        <v>0</v>
      </c>
      <c r="F16" s="2671">
        <f>SUM(Financiación!G14:G19)</f>
        <v>0</v>
      </c>
      <c r="G16" s="2672">
        <f>SUM(Financiación!H14:H19)</f>
        <v>0</v>
      </c>
    </row>
    <row r="17" spans="1:7">
      <c r="A17" s="2820" t="str">
        <f>CONCATENATE("Con Recursos Ajenos ( ",Parametros!$H$11," )")</f>
        <v>Con Recursos Ajenos ( € )</v>
      </c>
      <c r="B17" s="2670">
        <f>'Financiación Inicial'!B16</f>
        <v>0</v>
      </c>
      <c r="C17" s="2670">
        <f ca="1">'Financiación Inicial'!C16</f>
        <v>0</v>
      </c>
      <c r="D17" s="2671">
        <f t="array" ref="D17:G17">Financiación!E21:H21</f>
        <v>0</v>
      </c>
      <c r="E17" s="2671">
        <v>0</v>
      </c>
      <c r="F17" s="2671">
        <v>0</v>
      </c>
      <c r="G17" s="2672">
        <v>0</v>
      </c>
    </row>
    <row r="18" spans="1:7" ht="15.75" thickBot="1">
      <c r="A18" s="2821" t="str">
        <f>CONCATENATE("Autofinanciación ( ",Parametros!$H$11," )")</f>
        <v>Autofinanciación ( € )</v>
      </c>
      <c r="B18" s="2673">
        <v>0</v>
      </c>
      <c r="C18" s="2673">
        <v>0</v>
      </c>
      <c r="D18" s="2674">
        <f t="array" aca="1" ref="D18:G18" ca="1">IF(D15:G15-D16:G16-D17:G17&gt;0,D15:G15-D16:G16-D17:G17,0)</f>
        <v>0</v>
      </c>
      <c r="E18" s="2674">
        <f ca="1"/>
        <v>0</v>
      </c>
      <c r="F18" s="2674">
        <f ca="1"/>
        <v>0</v>
      </c>
      <c r="G18" s="2675">
        <f ca="1"/>
        <v>0</v>
      </c>
    </row>
    <row r="19" spans="1:7" ht="15.75" thickBot="1"/>
    <row r="20" spans="1:7" s="896" customFormat="1" thickBot="1">
      <c r="A20" s="1440" t="s">
        <v>669</v>
      </c>
      <c r="B20" s="1502" t="s">
        <v>1109</v>
      </c>
      <c r="C20" s="1502" t="str">
        <f t="array" ref="C20:G20">'Ratios Básicos'!C39:G39</f>
        <v>N/D</v>
      </c>
      <c r="D20" s="1503" t="str">
        <v>N/D</v>
      </c>
      <c r="E20" s="1503" t="str">
        <v>N/D</v>
      </c>
      <c r="F20" s="1503" t="str">
        <v>N/D</v>
      </c>
      <c r="G20" s="1504" t="str">
        <v>N/D</v>
      </c>
    </row>
    <row r="21" spans="1:7" ht="15.75" thickBot="1"/>
    <row r="22" spans="1:7" ht="15.75" thickBot="1">
      <c r="B22" s="1456" t="s">
        <v>469</v>
      </c>
      <c r="C22" s="1457" t="s">
        <v>32</v>
      </c>
    </row>
    <row r="23" spans="1:7">
      <c r="A23" s="2816" t="str">
        <f>CONCATENATE("Inversión Inicial Total ( ",Parametros!$H$11," )")</f>
        <v>Inversión Inicial Total ( € )</v>
      </c>
      <c r="B23" s="2676">
        <f ca="1">SUM(C15:G15)</f>
        <v>3000</v>
      </c>
      <c r="C23" s="1467">
        <f t="array" aca="1" ref="C23:C26" ca="1">B23:B26/$B$23</f>
        <v>1</v>
      </c>
    </row>
    <row r="24" spans="1:7">
      <c r="A24" s="2817" t="str">
        <f t="array" ref="A24:A26">A16:A18</f>
        <v>Aumento de Patrimonio Neto ( € )</v>
      </c>
      <c r="B24" s="2677">
        <f>SUM(C16:G16)</f>
        <v>3000</v>
      </c>
      <c r="C24" s="1468">
        <f ca="1"/>
        <v>1</v>
      </c>
      <c r="E24" s="1756"/>
    </row>
    <row r="25" spans="1:7">
      <c r="A25" s="2817" t="str">
        <v>Con Recursos Ajenos ( € )</v>
      </c>
      <c r="B25" s="2677">
        <f ca="1">SUM(C17:G17)</f>
        <v>0</v>
      </c>
      <c r="C25" s="1468">
        <f ca="1"/>
        <v>0</v>
      </c>
    </row>
    <row r="26" spans="1:7" ht="15.75" thickBot="1">
      <c r="A26" s="2818" t="str">
        <v>Autofinanciación ( € )</v>
      </c>
      <c r="B26" s="2678">
        <f ca="1">SUM(C18:G18)</f>
        <v>0</v>
      </c>
      <c r="C26" s="1469">
        <f ca="1"/>
        <v>0</v>
      </c>
    </row>
    <row r="27" spans="1:7" ht="15.75" thickBot="1">
      <c r="A27" s="1441"/>
      <c r="B27" s="1441"/>
      <c r="C27" s="1441"/>
    </row>
    <row r="28" spans="1:7" s="896" customFormat="1" thickBot="1">
      <c r="A28" s="1472" t="s">
        <v>148</v>
      </c>
      <c r="B28" s="1470">
        <f ca="1">'Ratios Básicos'!C60</f>
        <v>1.015316134661876</v>
      </c>
      <c r="C28" s="1471" t="s">
        <v>545</v>
      </c>
    </row>
    <row r="29" spans="1:7" s="896" customFormat="1" thickBot="1">
      <c r="A29" s="1443"/>
      <c r="B29" s="1442"/>
    </row>
    <row r="30" spans="1:7" s="896" customFormat="1" ht="14.25">
      <c r="A30" s="1475" t="s">
        <v>774</v>
      </c>
      <c r="B30" s="2881">
        <f ca="1">'Valoración Empresa'!G19</f>
        <v>0</v>
      </c>
      <c r="C30" s="1507" t="s">
        <v>1118</v>
      </c>
    </row>
    <row r="31" spans="1:7" s="896" customFormat="1" ht="14.25">
      <c r="A31" s="906" t="str">
        <f>CONCATENATE("V.A.N. ( ",Parametros!$H$11," )")</f>
        <v>V.A.N. ( € )</v>
      </c>
      <c r="B31" s="2879">
        <f ca="1">'Valoración Empresa'!G31</f>
        <v>40795.25181983209</v>
      </c>
      <c r="C31" s="2880" t="str">
        <f>Parametros!$H$11</f>
        <v>€</v>
      </c>
    </row>
    <row r="32" spans="1:7" s="896" customFormat="1" ht="14.25">
      <c r="A32" s="906" t="s">
        <v>821</v>
      </c>
      <c r="B32" s="1948">
        <f>'Valoración Empresa'!B27</f>
        <v>0.13</v>
      </c>
      <c r="C32" s="1949"/>
    </row>
    <row r="33" spans="1:6" s="896" customFormat="1" ht="14.25">
      <c r="A33" s="1950" t="s">
        <v>822</v>
      </c>
      <c r="B33" s="1952" t="str">
        <f>'Valoración Empresa'!B29</f>
        <v>perpetuidad</v>
      </c>
      <c r="C33" s="1951" t="str">
        <f>'Valoración Empresa'!C29</f>
        <v/>
      </c>
    </row>
    <row r="34" spans="1:6" s="896" customFormat="1" ht="14.25">
      <c r="A34" s="906" t="s">
        <v>482</v>
      </c>
      <c r="B34" s="1948" t="str">
        <f ca="1">+'Valoración Empresa'!G21</f>
        <v>N/D</v>
      </c>
      <c r="C34" s="1473"/>
    </row>
    <row r="35" spans="1:6" s="896" customFormat="1" thickBot="1">
      <c r="A35" s="907" t="s">
        <v>483</v>
      </c>
      <c r="B35" s="1757" t="str">
        <f ca="1">'Valoración Empresa'!G23</f>
        <v>N/D</v>
      </c>
      <c r="C35" s="1474"/>
    </row>
    <row r="37" spans="1:6" ht="15.75" thickBot="1"/>
    <row r="38" spans="1:6" ht="39" customHeight="1">
      <c r="A38" s="2108" t="s">
        <v>932</v>
      </c>
      <c r="B38" s="2106" t="str">
        <f t="array" ref="B38:F38">anni</f>
        <v>Año 0:  2026</v>
      </c>
      <c r="C38" s="2106" t="str">
        <v>Año 1:  2027</v>
      </c>
      <c r="D38" s="2106" t="str">
        <v>Año 2:  2028</v>
      </c>
      <c r="E38" s="2106" t="str">
        <v>Año 3:  2029</v>
      </c>
      <c r="F38" s="2107" t="str">
        <v>Año 4:  2030</v>
      </c>
    </row>
    <row r="39" spans="1:6">
      <c r="A39" s="906" t="str">
        <f>CONCATENATE("Ventas Previstas ( ",Parametros!$H$11," )")</f>
        <v>Ventas Previstas ( € )</v>
      </c>
      <c r="B39" s="901">
        <f t="array" aca="1" ref="B39:F39" ca="1">'Ratios Básicos'!C35:G35</f>
        <v>27482.95454545454</v>
      </c>
      <c r="C39" s="901">
        <f ca="1"/>
        <v>38675</v>
      </c>
      <c r="D39" s="901">
        <f ca="1"/>
        <v>39835.25</v>
      </c>
      <c r="E39" s="901">
        <f ca="1"/>
        <v>41030.307500000003</v>
      </c>
      <c r="F39" s="903">
        <f ca="1"/>
        <v>42261.216725000006</v>
      </c>
    </row>
    <row r="40" spans="1:6" ht="17.25" customHeight="1">
      <c r="A40" s="906" t="str">
        <f>CONCATENATE("Gastos de Explotación ( ",Parametros!$H$11," )")</f>
        <v>Gastos de Explotación ( € )</v>
      </c>
      <c r="B40" s="901">
        <f ca="1">'PPyGG anuales'!B18+'PPyGG anuales'!B9</f>
        <v>22989.545454545456</v>
      </c>
      <c r="C40" s="901">
        <f ca="1">'PPyGG anuales'!D18+'PPyGG anuales'!D9</f>
        <v>25280.82909090909</v>
      </c>
      <c r="D40" s="901">
        <f ca="1">'PPyGG anuales'!G18+'PPyGG anuales'!G9</f>
        <v>31164.637254545454</v>
      </c>
      <c r="E40" s="901">
        <f ca="1">'PPyGG anuales'!J18+'PPyGG anuales'!J9</f>
        <v>31235.453394727272</v>
      </c>
      <c r="F40" s="903">
        <f ca="1">'PPyGG anuales'!M18+'PPyGG anuales'!M9</f>
        <v>31782.629100016373</v>
      </c>
    </row>
    <row r="41" spans="1:6" ht="17.25" customHeight="1">
      <c r="A41" s="906" t="str">
        <f>CONCATENATE("Resultados financieros ( ",Parametros!$H$11," )")</f>
        <v>Resultados financieros ( € )</v>
      </c>
      <c r="B41" s="2733">
        <f ca="1">'PPyGG anuales'!B27</f>
        <v>-1662.71875</v>
      </c>
      <c r="C41" s="2733">
        <f ca="1">'PPyGG anuales'!D27</f>
        <v>-2339.8375000000001</v>
      </c>
      <c r="D41" s="2733">
        <f ca="1">'PPyGG anuales'!G27</f>
        <v>-2410.0326249999998</v>
      </c>
      <c r="E41" s="2733">
        <f ca="1">'PPyGG anuales'!J27</f>
        <v>-2482.3336037499998</v>
      </c>
      <c r="F41" s="2733">
        <f ca="1">'PPyGG anuales'!M27</f>
        <v>-2556.8036118625</v>
      </c>
    </row>
    <row r="42" spans="1:6" ht="17.25" customHeight="1">
      <c r="A42" s="906" t="str">
        <f>CONCATENATE("EBITDA ( ",Parametros!$H$11," )")</f>
        <v>EBITDA ( € )</v>
      </c>
      <c r="B42" s="1809">
        <f ca="1">'PPyGG anuales'!B20</f>
        <v>4493.4090909090883</v>
      </c>
      <c r="C42" s="1809">
        <f ca="1">'PPyGG anuales'!D20</f>
        <v>13394.17090909091</v>
      </c>
      <c r="D42" s="1809">
        <f ca="1">'PPyGG anuales'!G20</f>
        <v>8670.6127454545458</v>
      </c>
      <c r="E42" s="1809">
        <f ca="1">'PPyGG anuales'!J20</f>
        <v>9794.8541052727342</v>
      </c>
      <c r="F42" s="1810">
        <f ca="1">'PPyGG anuales'!M20</f>
        <v>10478.587624983636</v>
      </c>
    </row>
    <row r="43" spans="1:6" ht="17.25" customHeight="1">
      <c r="A43" s="906" t="str">
        <f>CONCATENATE("Beneficios Netos previstos ( ",Parametros!$H$11," )")</f>
        <v>Beneficios Netos previstos ( € )</v>
      </c>
      <c r="B43" s="1809">
        <f ca="1">'PPyGG anuales'!B33</f>
        <v>-529.51246136363579</v>
      </c>
      <c r="C43" s="1809">
        <f ca="1">'PPyGG anuales'!D33</f>
        <v>5011.0376863636375</v>
      </c>
      <c r="D43" s="1809">
        <f ca="1">'PPyGG anuales'!G33</f>
        <v>1430.7703843181844</v>
      </c>
      <c r="E43" s="1809">
        <f ca="1">'PPyGG anuales'!J33</f>
        <v>1933.5030510659053</v>
      </c>
      <c r="F43" s="1810">
        <f ca="1">'PPyGG anuales'!M33</f>
        <v>2117.0168851847939</v>
      </c>
    </row>
    <row r="44" spans="1:6" ht="17.25" customHeight="1">
      <c r="A44" s="906" t="str">
        <f>CONCATENATE("Flujos de caja previstos ( ",Parametros!$H$11," )")</f>
        <v>Flujos de caja previstos ( € )</v>
      </c>
      <c r="B44" s="2679">
        <f ca="1">'Tesorería 0'!$C$40</f>
        <v>1853.1922159090882</v>
      </c>
      <c r="C44" s="2679">
        <f ca="1">'Tesorería 1'!$C$40</f>
        <v>6429.6983181818214</v>
      </c>
      <c r="D44" s="2679">
        <f ca="1">'Tesorería 2'!$C$40</f>
        <v>956.69395618181989</v>
      </c>
      <c r="E44" s="2679">
        <f ca="1">'Tesorería 3'!$C$40</f>
        <v>2232.7710694290854</v>
      </c>
      <c r="F44" s="2680">
        <f ca="1">'Tesorería 4'!$C$40</f>
        <v>2378.613313016258</v>
      </c>
    </row>
    <row r="45" spans="1:6" ht="17.25" customHeight="1">
      <c r="A45" s="906" t="str">
        <f>CONCATENATE("Variación N.O.F. ( ",Parametros!$H$11," )")</f>
        <v>Variación N.O.F. ( € )</v>
      </c>
      <c r="B45" s="2679">
        <f ca="1">+'Balances anuales'!F50-'Balances anuales'!D50</f>
        <v>0</v>
      </c>
      <c r="C45" s="2679">
        <f ca="1">+'Balances anuales'!H50-'Balances anuales'!F50</f>
        <v>0</v>
      </c>
      <c r="D45" s="2679">
        <f ca="1">+'Balances anuales'!J50-'Balances anuales'!H50</f>
        <v>0</v>
      </c>
      <c r="E45" s="2679">
        <f ca="1">+'Balances anuales'!L50-'Balances anuales'!J50</f>
        <v>0</v>
      </c>
      <c r="F45" s="2680">
        <f ca="1">'Balances anuales'!N50-'Balances anuales'!L50</f>
        <v>0</v>
      </c>
    </row>
    <row r="46" spans="1:6" ht="17.25" customHeight="1">
      <c r="A46" s="906"/>
      <c r="B46" s="904"/>
      <c r="C46" s="904"/>
      <c r="D46" s="904"/>
      <c r="E46" s="904"/>
      <c r="F46" s="905"/>
    </row>
    <row r="47" spans="1:6" ht="17.25" customHeight="1">
      <c r="A47" s="906" t="s">
        <v>150</v>
      </c>
      <c r="B47" s="1505">
        <f t="array" ref="B47:F47">'Ratios Básicos'!C32:G32</f>
        <v>1</v>
      </c>
      <c r="C47" s="1505">
        <v>1</v>
      </c>
      <c r="D47" s="1505">
        <v>1</v>
      </c>
      <c r="E47" s="1505">
        <v>1</v>
      </c>
      <c r="F47" s="1506">
        <v>1</v>
      </c>
    </row>
    <row r="48" spans="1:6" ht="17.25" customHeight="1">
      <c r="A48" s="906" t="s">
        <v>267</v>
      </c>
      <c r="B48" s="1508">
        <f t="array" aca="1" ref="B48:F48" ca="1">'P. Equilibrio'!D20:H20</f>
        <v>0.89999999999999991</v>
      </c>
      <c r="C48" s="1508">
        <f ca="1"/>
        <v>0.9</v>
      </c>
      <c r="D48" s="1508">
        <f ca="1"/>
        <v>0.89999999999999991</v>
      </c>
      <c r="E48" s="1508">
        <f ca="1"/>
        <v>0.9</v>
      </c>
      <c r="F48" s="1509">
        <f ca="1"/>
        <v>0.9</v>
      </c>
    </row>
    <row r="49" spans="1:6" ht="17.25" customHeight="1">
      <c r="A49" s="906" t="s">
        <v>484</v>
      </c>
      <c r="B49" s="1508">
        <f t="array" ref="B49:F49" ca="1">'Ratios Básicos'!C4:G4</f>
        <v>1.1458023149841698</v>
      </c>
      <c r="C49" s="1508">
        <f ca="1"/>
        <v>1.4775507769661913</v>
      </c>
      <c r="D49" s="1508">
        <f ca="1"/>
        <v>0.70246549204548869</v>
      </c>
      <c r="E49" s="1510">
        <f ca="1"/>
        <v>0.67422609717371973</v>
      </c>
      <c r="F49" s="1511">
        <f ca="1"/>
        <v>0.61111600217354489</v>
      </c>
    </row>
    <row r="50" spans="1:6" ht="17.25" customHeight="1">
      <c r="A50" s="906" t="s">
        <v>1115</v>
      </c>
      <c r="B50" s="1508">
        <f t="array" ref="B50:F50" ca="1">'Ratios Básicos'!C6:G6</f>
        <v>0.50019907662508389</v>
      </c>
      <c r="C50" s="1508">
        <f ca="1"/>
        <v>0.97974303443701583</v>
      </c>
      <c r="D50" s="1508">
        <f ca="1"/>
        <v>0.4986264934439722</v>
      </c>
      <c r="E50" s="1510">
        <f ca="1"/>
        <v>0.50067401294656289</v>
      </c>
      <c r="F50" s="1511">
        <f ca="1"/>
        <v>0.47010851856397423</v>
      </c>
    </row>
    <row r="51" spans="1:6" ht="17.25" customHeight="1" thickBot="1">
      <c r="A51" s="907" t="s">
        <v>147</v>
      </c>
      <c r="B51" s="1512">
        <f t="array" ref="B51:F51" ca="1">'Ratios Básicos'!C34:G34</f>
        <v>1.2219926679878508</v>
      </c>
      <c r="C51" s="1512">
        <f ca="1"/>
        <v>1.6255062373639664</v>
      </c>
      <c r="D51" s="1512">
        <f ca="1"/>
        <v>1.3189940376337828</v>
      </c>
      <c r="E51" s="1512">
        <f ca="1"/>
        <v>1.3610018255106386</v>
      </c>
      <c r="F51" s="1513">
        <f ca="1"/>
        <v>1.3802581895599844</v>
      </c>
    </row>
    <row r="52" spans="1:6" ht="17.25" customHeight="1"/>
    <row r="53" spans="1:6">
      <c r="B53" s="2016" t="str">
        <f>IF(finTemporada-inicioTemporada&lt;11,"* Negocio de Temporada "&amp;finTemporada-inicioTemporada+1&amp;" meses de "&amp;Parametros!B15&amp;" a "&amp;Parametros!C15,"")</f>
        <v/>
      </c>
    </row>
    <row r="54" spans="1:6" ht="15.75">
      <c r="A54" s="2564" t="s">
        <v>1057</v>
      </c>
      <c r="B54" s="2564" t="s">
        <v>1058</v>
      </c>
      <c r="C54" s="2564" t="s">
        <v>893</v>
      </c>
      <c r="D54" s="2564" t="s">
        <v>121</v>
      </c>
      <c r="E54" s="2564" t="s">
        <v>1059</v>
      </c>
      <c r="F54" s="2567" t="s">
        <v>1060</v>
      </c>
    </row>
    <row r="55" spans="1:6" ht="15.75">
      <c r="A55" s="2566" t="s">
        <v>82</v>
      </c>
      <c r="B55" s="2565">
        <v>0</v>
      </c>
      <c r="C55" s="2565">
        <v>0</v>
      </c>
      <c r="D55" s="2565">
        <v>0</v>
      </c>
      <c r="E55" s="2565">
        <v>0</v>
      </c>
      <c r="F55" s="2565">
        <f>+'Balances anuales'!D26</f>
        <v>3000</v>
      </c>
    </row>
    <row r="56" spans="1:6" ht="15.75">
      <c r="A56" s="2699" t="str">
        <f t="array" ref="A56:A60">Parametros!B77:B81</f>
        <v>Año 0:  2026</v>
      </c>
      <c r="B56" s="2565">
        <f ca="1">+B39</f>
        <v>27482.95454545454</v>
      </c>
      <c r="C56" s="2565">
        <f ca="1">+B42</f>
        <v>4493.4090909090883</v>
      </c>
      <c r="D56" s="2565">
        <f ca="1">+B43</f>
        <v>-529.51246136363579</v>
      </c>
      <c r="E56" s="2565">
        <f ca="1">+B44</f>
        <v>1853.1922159090882</v>
      </c>
      <c r="F56" s="2565">
        <f ca="1">+'Balances anuales'!F26</f>
        <v>2470.4875386363642</v>
      </c>
    </row>
    <row r="57" spans="1:6" ht="15.75">
      <c r="A57" s="2699" t="str">
        <v>Año 1:  2027</v>
      </c>
      <c r="B57" s="2565">
        <f ca="1">+C39</f>
        <v>38675</v>
      </c>
      <c r="C57" s="2565">
        <f ca="1">+C42</f>
        <v>13394.17090909091</v>
      </c>
      <c r="D57" s="2565">
        <f ca="1">+C43</f>
        <v>5011.0376863636375</v>
      </c>
      <c r="E57" s="2565">
        <f ca="1">+C44</f>
        <v>6429.6983181818214</v>
      </c>
      <c r="F57" s="2565">
        <f ca="1">+'Balances anuales'!H26</f>
        <v>7481.5252250000012</v>
      </c>
    </row>
    <row r="58" spans="1:6" ht="15.75">
      <c r="A58" s="2699" t="str">
        <v>Año 2:  2028</v>
      </c>
      <c r="B58" s="2565">
        <f ca="1">+D39</f>
        <v>39835.25</v>
      </c>
      <c r="C58" s="2565">
        <f ca="1">+D42</f>
        <v>8670.6127454545458</v>
      </c>
      <c r="D58" s="2565">
        <f ca="1">+D43</f>
        <v>1430.7703843181844</v>
      </c>
      <c r="E58" s="2565">
        <f ca="1">+D44</f>
        <v>956.69395618181989</v>
      </c>
      <c r="F58" s="2565">
        <f ca="1">+'Balances anuales'!J26</f>
        <v>8912.2956093181856</v>
      </c>
    </row>
    <row r="59" spans="1:6" ht="15.75">
      <c r="A59" s="2699" t="str">
        <v>Año 3:  2029</v>
      </c>
      <c r="B59" s="2565">
        <f ca="1">+E39</f>
        <v>41030.307500000003</v>
      </c>
      <c r="C59" s="2565">
        <f ca="1">+E42</f>
        <v>9794.8541052727342</v>
      </c>
      <c r="D59" s="2565">
        <f ca="1">+E43</f>
        <v>1933.5030510659053</v>
      </c>
      <c r="E59" s="2565">
        <f ca="1">+E44</f>
        <v>2232.7710694290854</v>
      </c>
      <c r="F59" s="2565">
        <f ca="1">+'Balances anuales'!L26</f>
        <v>10845.798660384091</v>
      </c>
    </row>
    <row r="60" spans="1:6" ht="15.75">
      <c r="A60" s="2699" t="str">
        <v>Año 4:  2030</v>
      </c>
      <c r="B60" s="2565">
        <f ca="1">+F39</f>
        <v>42261.216725000006</v>
      </c>
      <c r="C60" s="2565">
        <f ca="1">+F42</f>
        <v>10478.587624983636</v>
      </c>
      <c r="D60" s="2565">
        <f ca="1">+F43</f>
        <v>2117.0168851847939</v>
      </c>
      <c r="E60" s="2565">
        <f ca="1">+F44</f>
        <v>2378.613313016258</v>
      </c>
      <c r="F60" s="2565">
        <f ca="1">+'Balances anuales'!N26</f>
        <v>12962.815545568885</v>
      </c>
    </row>
    <row r="61" spans="1:6">
      <c r="B61" s="2016"/>
    </row>
    <row r="62" spans="1:6">
      <c r="B62" s="2016"/>
    </row>
    <row r="63" spans="1:6">
      <c r="B63" s="2016"/>
    </row>
    <row r="64" spans="1:6">
      <c r="B64" s="2016"/>
    </row>
    <row r="65" spans="1:6">
      <c r="B65" s="2016"/>
    </row>
    <row r="66" spans="1:6">
      <c r="B66" s="2016"/>
    </row>
    <row r="67" spans="1:6">
      <c r="B67" s="2016"/>
    </row>
    <row r="68" spans="1:6">
      <c r="A68" s="745"/>
    </row>
    <row r="69" spans="1:6" ht="15.75" thickBot="1"/>
    <row r="70" spans="1:6" ht="18.75" thickBot="1">
      <c r="B70" s="908" t="s">
        <v>268</v>
      </c>
      <c r="C70" s="62"/>
      <c r="D70" s="891"/>
      <c r="E70" s="2501"/>
    </row>
    <row r="71" spans="1:6" ht="15.75" thickBot="1">
      <c r="B71" s="1787" t="str">
        <f>Financiación!D11</f>
        <v/>
      </c>
    </row>
    <row r="72" spans="1:6" ht="15.75" thickBot="1">
      <c r="B72" s="909" t="s">
        <v>175</v>
      </c>
      <c r="C72" s="62"/>
      <c r="D72" s="891"/>
    </row>
    <row r="73" spans="1:6">
      <c r="B73" s="364"/>
      <c r="C73" s="910" t="s">
        <v>180</v>
      </c>
      <c r="D73" s="911" t="s">
        <v>179</v>
      </c>
    </row>
    <row r="74" spans="1:6">
      <c r="B74" s="2696" t="str">
        <f t="array" ref="B74:B78">annivert</f>
        <v>Año 0:  2026</v>
      </c>
      <c r="C74" s="912" t="str">
        <f ca="1">IF('PPyGG anuales'!B29&gt;0,"Ok","Pérdidas año 0")</f>
        <v>Ok</v>
      </c>
      <c r="D74" s="892">
        <f ca="1">'P. Equilibrio'!D31</f>
        <v>1.2219926679878508</v>
      </c>
      <c r="E74" s="1843" t="str">
        <f t="array" ref="E74:E78" ca="1">IF(D74:D78&lt;1,"Incrementar Ventas o reducir Costes en Año "&amp;B74:B78,"")</f>
        <v/>
      </c>
    </row>
    <row r="75" spans="1:6">
      <c r="B75" s="2696" t="str">
        <v>Año 1:  2027</v>
      </c>
      <c r="C75" s="912" t="str">
        <f ca="1">IF('PPyGG anuales'!D29&gt;0,"Ok","Pérdidas año 1")</f>
        <v>Ok</v>
      </c>
      <c r="D75" s="892">
        <f ca="1">'P. Equilibrio'!E31</f>
        <v>1.6255062373639664</v>
      </c>
      <c r="E75" s="1843" t="str">
        <f ca="1"/>
        <v/>
      </c>
    </row>
    <row r="76" spans="1:6">
      <c r="B76" s="2696" t="str">
        <v>Año 2:  2028</v>
      </c>
      <c r="C76" s="912" t="str">
        <f ca="1">IF('PPyGG anuales'!G29&gt;0,"Ok","Pérdidas año 2")</f>
        <v>Ok</v>
      </c>
      <c r="D76" s="892">
        <f ca="1">'P. Equilibrio'!F31</f>
        <v>1.3189940376337828</v>
      </c>
      <c r="E76" s="1843" t="str">
        <f ca="1"/>
        <v/>
      </c>
    </row>
    <row r="77" spans="1:6">
      <c r="B77" s="2696" t="str">
        <v>Año 3:  2029</v>
      </c>
      <c r="C77" s="912" t="str">
        <f ca="1">IF('PPyGG anuales'!J29&gt;0,"Ok","Pérdidas año 3")</f>
        <v>Ok</v>
      </c>
      <c r="D77" s="892">
        <f ca="1">'P. Equilibrio'!G31</f>
        <v>1.3610018255106386</v>
      </c>
      <c r="E77" s="1843" t="str">
        <f ca="1"/>
        <v/>
      </c>
    </row>
    <row r="78" spans="1:6" ht="15.75" thickBot="1">
      <c r="B78" s="2697" t="str">
        <v>Año 4:  2030</v>
      </c>
      <c r="C78" s="913" t="str">
        <f ca="1">IF('PPyGG anuales'!M29&gt;0,"Ok","Pérdidas año 4")</f>
        <v>Ok</v>
      </c>
      <c r="D78" s="893">
        <f ca="1">'P. Equilibrio'!H31</f>
        <v>1.3802581895599844</v>
      </c>
      <c r="E78" s="1843" t="str">
        <f ca="1"/>
        <v/>
      </c>
    </row>
    <row r="79" spans="1:6" ht="15.75" thickBot="1">
      <c r="C79" s="1843" t="str">
        <f>Parametros!E13</f>
        <v/>
      </c>
      <c r="F79" s="1843" t="str">
        <f>IF(C79="","","Cambiar meses de temporada en Hoja de Parámetros")</f>
        <v/>
      </c>
    </row>
    <row r="80" spans="1:6" ht="15.75" thickBot="1">
      <c r="B80" s="909" t="s">
        <v>176</v>
      </c>
      <c r="C80" s="62"/>
      <c r="D80" s="891"/>
    </row>
    <row r="81" spans="2:5" ht="15.75" thickBot="1">
      <c r="B81" s="914"/>
      <c r="C81" s="910" t="s">
        <v>182</v>
      </c>
      <c r="D81" s="1135" t="s">
        <v>181</v>
      </c>
      <c r="E81" s="1845" t="str">
        <f>Financiación!D65</f>
        <v/>
      </c>
    </row>
    <row r="82" spans="2:5">
      <c r="B82" s="2698" t="s">
        <v>82</v>
      </c>
      <c r="C82" s="1353" t="str">
        <f ca="1">IF(D82&gt;0.4,"Ok",IF(D82&lt;-0.4,"Déficit","Ok"))</f>
        <v>Ok</v>
      </c>
      <c r="D82" s="1841">
        <f ca="1">MIN('Tesorería 0'!B35,0)</f>
        <v>0</v>
      </c>
    </row>
    <row r="83" spans="2:5">
      <c r="B83" s="2696" t="str">
        <f t="array" ref="B83:B87">annivert</f>
        <v>Año 0:  2026</v>
      </c>
      <c r="C83" s="912" t="str">
        <f ca="1">IF('Tesorería 0'!$C$39=0,"Ok","Déficit")</f>
        <v>Ok</v>
      </c>
      <c r="D83" s="1355">
        <f ca="1">-'Tesorería 0'!$C$39</f>
        <v>0</v>
      </c>
      <c r="E83" s="1843" t="str">
        <f t="array" ref="E83:E87" ca="1">IF(D83:D87&lt;0,"Incrementar financiación Año "&amp;B83:B87,"")</f>
        <v/>
      </c>
    </row>
    <row r="84" spans="2:5">
      <c r="B84" s="2696" t="str">
        <v>Año 1:  2027</v>
      </c>
      <c r="C84" s="912" t="str">
        <f ca="1">IF('Tesorería 1'!$C$39=0,"Ok","Déficit")</f>
        <v>Ok</v>
      </c>
      <c r="D84" s="1355">
        <f ca="1">-'Tesorería 1'!$C$39</f>
        <v>0</v>
      </c>
      <c r="E84" s="1843" t="str">
        <f ca="1"/>
        <v/>
      </c>
    </row>
    <row r="85" spans="2:5">
      <c r="B85" s="2696" t="str">
        <v>Año 2:  2028</v>
      </c>
      <c r="C85" s="912" t="str">
        <f ca="1">IF('Tesorería 2'!$C$39=0,"Ok","Déficit")</f>
        <v>Ok</v>
      </c>
      <c r="D85" s="1355">
        <f ca="1">-'Tesorería 2'!$C$39</f>
        <v>0</v>
      </c>
      <c r="E85" s="1843" t="str">
        <f ca="1"/>
        <v/>
      </c>
    </row>
    <row r="86" spans="2:5">
      <c r="B86" s="2696" t="str">
        <v>Año 3:  2029</v>
      </c>
      <c r="C86" s="912" t="str">
        <f ca="1">IF('Tesorería 3'!$C$39=0,"Ok","Déficit")</f>
        <v>Ok</v>
      </c>
      <c r="D86" s="1355">
        <f ca="1">-'Tesorería 3'!$C$39</f>
        <v>0</v>
      </c>
      <c r="E86" s="1843" t="str">
        <f ca="1"/>
        <v/>
      </c>
    </row>
    <row r="87" spans="2:5" ht="15.75" thickBot="1">
      <c r="B87" s="2697" t="str">
        <v>Año 4:  2030</v>
      </c>
      <c r="C87" s="913" t="str">
        <f ca="1">IF('Tesorería 4'!$C$39=0,"Ok","Déficit")</f>
        <v>Ok</v>
      </c>
      <c r="D87" s="1356">
        <f ca="1">-'Tesorería 4'!$C$39</f>
        <v>0</v>
      </c>
      <c r="E87" s="1843" t="str">
        <f ca="1"/>
        <v/>
      </c>
    </row>
    <row r="88" spans="2:5" ht="15.75" thickBot="1"/>
    <row r="89" spans="2:5" ht="15.75" thickBot="1">
      <c r="B89" s="909" t="s">
        <v>178</v>
      </c>
      <c r="C89" s="62"/>
      <c r="D89" s="891"/>
    </row>
    <row r="90" spans="2:5" ht="15.75" thickBot="1">
      <c r="B90" s="364"/>
      <c r="C90" s="910" t="s">
        <v>174</v>
      </c>
      <c r="D90" s="911" t="s">
        <v>177</v>
      </c>
    </row>
    <row r="91" spans="2:5">
      <c r="B91" s="2698" t="str">
        <f>B82</f>
        <v>Inicial</v>
      </c>
      <c r="C91" s="915" t="str">
        <f ca="1">IF('Balances anuales'!D53="","Ok",'Balances anuales'!D53)</f>
        <v>Ok</v>
      </c>
      <c r="D91" s="916" t="str">
        <f>IF('Balances anuales'!$D$48&lt;0,'Balances anuales'!$D$48,"Ok")</f>
        <v>Ok</v>
      </c>
      <c r="E91" s="1843" t="str">
        <f t="array" ref="E91:E96">IF(D91:D96&lt;0,"Incrementar Recursos Propios o Deuda LP en Año "&amp;B91:B96,"")</f>
        <v/>
      </c>
    </row>
    <row r="92" spans="2:5">
      <c r="B92" s="2696" t="str">
        <f t="array" ref="B92:B96">annivert</f>
        <v>Año 0:  2026</v>
      </c>
      <c r="C92" s="912" t="str">
        <f ca="1">IF('Balances anuales'!F53="","Ok",'Balances anuales'!F53)</f>
        <v>Ok</v>
      </c>
      <c r="D92" s="917" t="str">
        <f ca="1">IF('Balances anuales'!$F$48&lt;0,'Balances anuales'!$F$48,"Ok")</f>
        <v>Ok</v>
      </c>
      <c r="E92" s="1843" t="str">
        <f ca="1"/>
        <v/>
      </c>
    </row>
    <row r="93" spans="2:5">
      <c r="B93" s="2696" t="str">
        <v>Año 1:  2027</v>
      </c>
      <c r="C93" s="912" t="str">
        <f ca="1">IF('Balances anuales'!H53="","Ok",'Balances anuales'!H53)</f>
        <v>Ok</v>
      </c>
      <c r="D93" s="917" t="str">
        <f ca="1">IF('Balances anuales'!$H$48&lt;0,'Balances anuales'!$H$48,"Ok")</f>
        <v>Ok</v>
      </c>
      <c r="E93" s="1843" t="str">
        <f ca="1"/>
        <v/>
      </c>
    </row>
    <row r="94" spans="2:5">
      <c r="B94" s="2696" t="str">
        <v>Año 2:  2028</v>
      </c>
      <c r="C94" s="912" t="str">
        <f ca="1">IF('Balances anuales'!J53="","Ok",'Balances anuales'!J53)</f>
        <v>Ok</v>
      </c>
      <c r="D94" s="917" t="str">
        <f ca="1">IF('Balances anuales'!$J$48&lt;0,'Balances anuales'!$J$48,"Ok")</f>
        <v>Ok</v>
      </c>
      <c r="E94" s="1843" t="str">
        <f ca="1"/>
        <v/>
      </c>
    </row>
    <row r="95" spans="2:5">
      <c r="B95" s="2696" t="str">
        <v>Año 3:  2029</v>
      </c>
      <c r="C95" s="912" t="str">
        <f ca="1">IF('Balances anuales'!L53="","Ok",'Balances anuales'!L53)</f>
        <v>Ok</v>
      </c>
      <c r="D95" s="917" t="str">
        <f ca="1">IF('Balances anuales'!$L$48&lt;0,'Balances anuales'!$L$48,"Ok")</f>
        <v>Ok</v>
      </c>
      <c r="E95" s="1843" t="str">
        <f ca="1"/>
        <v/>
      </c>
    </row>
    <row r="96" spans="2:5" ht="15.75" thickBot="1">
      <c r="B96" s="2697" t="str">
        <v>Año 4:  2030</v>
      </c>
      <c r="C96" s="913" t="str">
        <f ca="1">IF('Balances anuales'!N53="","Ok",'Balances anuales'!N53)</f>
        <v>Ok</v>
      </c>
      <c r="D96" s="1354" t="str">
        <f ca="1">IF('Balances anuales'!$N$48&lt;0,'Balances anuales'!$N$48,"Ok")</f>
        <v>Ok</v>
      </c>
      <c r="E96" s="1843" t="str">
        <f ca="1"/>
        <v/>
      </c>
    </row>
  </sheetData>
  <sheetProtection sheet="1" objects="1" scenarios="1"/>
  <phoneticPr fontId="6" type="noConversion"/>
  <conditionalFormatting sqref="C74:C78 C82:C87 C91:D96">
    <cfRule type="cellIs" dxfId="0" priority="1" stopIfTrue="1" operator="equal">
      <formula>"OK"</formula>
    </cfRule>
  </conditionalFormatting>
  <printOptions horizontalCentered="1"/>
  <pageMargins left="0.55118110236220474" right="0.75" top="0.98" bottom="0.51" header="0" footer="0.37"/>
  <pageSetup paperSize="9" scale="68" orientation="portrait" horizontalDpi="4294967292" r:id="rId1"/>
  <headerFooter alignWithMargins="0"/>
  <drawing r:id="rId2"/>
  <legacyDrawing r:id="rId3"/>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000"/>
    <pageSetUpPr fitToPage="1"/>
  </sheetPr>
  <dimension ref="A1:F75"/>
  <sheetViews>
    <sheetView workbookViewId="0"/>
  </sheetViews>
  <sheetFormatPr baseColWidth="10" defaultColWidth="11" defaultRowHeight="15"/>
  <cols>
    <col min="1" max="1" width="42.25" style="35" customWidth="1"/>
    <col min="2" max="2" width="15.5" style="35" customWidth="1"/>
    <col min="3" max="3" width="13.875" style="35" customWidth="1"/>
    <col min="4" max="4" width="13.5" style="35" customWidth="1"/>
    <col min="5" max="5" width="14.375" style="35" customWidth="1"/>
    <col min="6" max="6" width="14.875" style="35" customWidth="1"/>
    <col min="7" max="16384" width="11" style="35"/>
  </cols>
  <sheetData>
    <row r="1" spans="1:6" ht="19.5">
      <c r="A1" s="398" t="s">
        <v>1188</v>
      </c>
    </row>
    <row r="2" spans="1:6" ht="22.5">
      <c r="A2" s="67" t="str">
        <f>'Datos Básicos'!$B$9</f>
        <v>nombre empresa</v>
      </c>
    </row>
    <row r="3" spans="1:6" ht="22.5">
      <c r="A3" s="67"/>
    </row>
    <row r="4" spans="1:6" ht="21">
      <c r="B4" s="3011" t="s">
        <v>1189</v>
      </c>
    </row>
    <row r="6" spans="1:6">
      <c r="A6" s="35" t="s">
        <v>1157</v>
      </c>
    </row>
    <row r="7" spans="1:6" ht="15.75" thickBot="1"/>
    <row r="8" spans="1:6" customFormat="1" ht="45.75" thickBot="1">
      <c r="A8" s="2986" t="s">
        <v>1156</v>
      </c>
      <c r="B8" s="2985" t="s">
        <v>1151</v>
      </c>
      <c r="C8" s="2985" t="s">
        <v>1152</v>
      </c>
      <c r="D8" s="2985" t="s">
        <v>1153</v>
      </c>
      <c r="E8" s="2985" t="s">
        <v>1154</v>
      </c>
      <c r="F8" s="2984" t="s">
        <v>1155</v>
      </c>
    </row>
    <row r="9" spans="1:6" customFormat="1" ht="16.5" thickBot="1">
      <c r="A9" s="3003"/>
      <c r="B9" s="3004"/>
      <c r="C9" s="3004"/>
      <c r="D9" s="3004"/>
      <c r="E9" s="3004"/>
      <c r="F9" s="3004"/>
    </row>
    <row r="10" spans="1:6" customFormat="1" ht="16.5" thickBot="1">
      <c r="A10" s="3005"/>
      <c r="B10" s="3006"/>
      <c r="C10" s="3006"/>
      <c r="D10" s="3006"/>
      <c r="E10" s="3006"/>
      <c r="F10" s="3006"/>
    </row>
    <row r="11" spans="1:6" customFormat="1" ht="16.5" thickBot="1">
      <c r="A11" s="3005"/>
      <c r="B11" s="3006"/>
      <c r="C11" s="3006"/>
      <c r="D11" s="3006"/>
      <c r="E11" s="3006"/>
      <c r="F11" s="3006"/>
    </row>
    <row r="12" spans="1:6" customFormat="1" ht="16.5" thickBot="1">
      <c r="A12" s="3005"/>
      <c r="B12" s="3006"/>
      <c r="C12" s="3006"/>
      <c r="D12" s="3006"/>
      <c r="E12" s="3006"/>
      <c r="F12" s="3006"/>
    </row>
    <row r="13" spans="1:6" s="2987" customFormat="1" ht="15.75"/>
    <row r="14" spans="1:6">
      <c r="A14" s="35" t="s">
        <v>1158</v>
      </c>
    </row>
    <row r="15" spans="1:6" ht="7.5" customHeight="1"/>
    <row r="16" spans="1:6" ht="24" customHeight="1">
      <c r="A16" s="3057"/>
      <c r="B16" s="3058" t="s">
        <v>1159</v>
      </c>
      <c r="C16" s="3059">
        <f>'Financiación Inicial'!B6/1000</f>
        <v>0</v>
      </c>
      <c r="D16" s="3060" t="str">
        <f>"miles de "&amp;Parametros!$H$11</f>
        <v>miles de €</v>
      </c>
    </row>
    <row r="18" spans="1:6" ht="18.75">
      <c r="A18" s="35" t="s">
        <v>1160</v>
      </c>
      <c r="C18" s="3010" t="str">
        <f>IF(Isoc=0,"¡¡ATENCIÓN!!   Forma jurídica NO societaria","")</f>
        <v>¡¡ATENCIÓN!!   Forma jurídica NO societaria</v>
      </c>
    </row>
    <row r="19" spans="1:6" ht="15.75" thickBot="1"/>
    <row r="20" spans="1:6">
      <c r="A20" s="3387" t="s">
        <v>1161</v>
      </c>
      <c r="B20" s="3000">
        <f t="array" ref="B20:F20">Parametros!D$63:H$63</f>
        <v>46023</v>
      </c>
      <c r="C20" s="3012">
        <v>46388</v>
      </c>
      <c r="D20" s="3000">
        <v>46753</v>
      </c>
      <c r="E20" s="3012">
        <v>47119</v>
      </c>
      <c r="F20" s="3000">
        <v>47484</v>
      </c>
    </row>
    <row r="21" spans="1:6" ht="15.75" thickBot="1">
      <c r="A21" s="3388"/>
      <c r="B21" s="2988" t="s">
        <v>1162</v>
      </c>
      <c r="C21" s="2989" t="s">
        <v>1040</v>
      </c>
      <c r="D21" s="2990" t="s">
        <v>1040</v>
      </c>
      <c r="E21" s="2991" t="s">
        <v>1040</v>
      </c>
      <c r="F21" s="2990" t="s">
        <v>1040</v>
      </c>
    </row>
    <row r="22" spans="1:6" ht="21" customHeight="1" thickBot="1">
      <c r="A22" s="2997" t="s">
        <v>1163</v>
      </c>
      <c r="B22" s="3013">
        <f t="array" aca="1" ref="B22:F22" ca="1">'Datos Evaluación'!B39:F39</f>
        <v>27482.95454545454</v>
      </c>
      <c r="C22" s="3014">
        <f ca="1"/>
        <v>38675</v>
      </c>
      <c r="D22" s="3013">
        <f ca="1"/>
        <v>39835.25</v>
      </c>
      <c r="E22" s="3014">
        <f ca="1"/>
        <v>41030.307500000003</v>
      </c>
      <c r="F22" s="3013">
        <f ca="1"/>
        <v>42261.216725000006</v>
      </c>
    </row>
    <row r="23" spans="1:6" ht="21" customHeight="1" thickBot="1">
      <c r="A23" s="3009" t="s">
        <v>1164</v>
      </c>
      <c r="B23" s="3013">
        <f ca="1">'PPyGG anuales'!B11</f>
        <v>2748.295454545455</v>
      </c>
      <c r="C23" s="3014">
        <f ca="1">'PPyGG anuales'!D11</f>
        <v>3867.5</v>
      </c>
      <c r="D23" s="3013">
        <f ca="1">'PPyGG anuales'!G11</f>
        <v>3983.5250000000005</v>
      </c>
      <c r="E23" s="3014">
        <f ca="1">'PPyGG anuales'!J11</f>
        <v>4103.0307500000008</v>
      </c>
      <c r="F23" s="3013">
        <f ca="1">'PPyGG anuales'!M11</f>
        <v>4226.1216725000004</v>
      </c>
    </row>
    <row r="24" spans="1:6" ht="21" customHeight="1" thickBot="1">
      <c r="A24" s="2997" t="s">
        <v>1165</v>
      </c>
      <c r="B24" s="3013">
        <f ca="1">'PPyGG anuales'!B18</f>
        <v>20241.25</v>
      </c>
      <c r="C24" s="3014">
        <f ca="1">'PPyGG anuales'!D18</f>
        <v>21413.32909090909</v>
      </c>
      <c r="D24" s="3013">
        <f ca="1">'PPyGG anuales'!G18</f>
        <v>27181.112254545453</v>
      </c>
      <c r="E24" s="3014">
        <f ca="1">'PPyGG anuales'!J18</f>
        <v>27132.42264472727</v>
      </c>
      <c r="F24" s="3013">
        <f ca="1">'PPyGG anuales'!M18</f>
        <v>27556.507427516372</v>
      </c>
    </row>
    <row r="25" spans="1:6" ht="21" customHeight="1" thickBot="1">
      <c r="A25" s="2998" t="s">
        <v>1166</v>
      </c>
      <c r="B25" s="3013">
        <f t="array" ref="B25:F25" ca="1">B23:F23+B24:F24</f>
        <v>22989.545454545456</v>
      </c>
      <c r="C25" s="3014">
        <f ca="1"/>
        <v>25280.82909090909</v>
      </c>
      <c r="D25" s="3013">
        <f ca="1"/>
        <v>31164.637254545454</v>
      </c>
      <c r="E25" s="3014">
        <f ca="1"/>
        <v>31235.453394727272</v>
      </c>
      <c r="F25" s="3013">
        <f ca="1"/>
        <v>31782.629100016373</v>
      </c>
    </row>
    <row r="26" spans="1:6" ht="25.5" thickTop="1" thickBot="1">
      <c r="A26" s="2999" t="s">
        <v>1178</v>
      </c>
      <c r="B26" s="3013">
        <f t="array" ref="B26:F26" ca="1">B22:F22-B25:F25</f>
        <v>4493.4090909090846</v>
      </c>
      <c r="C26" s="3014">
        <f ca="1"/>
        <v>13394.17090909091</v>
      </c>
      <c r="D26" s="3013">
        <f ca="1"/>
        <v>8670.6127454545458</v>
      </c>
      <c r="E26" s="3014">
        <f ca="1"/>
        <v>9794.8541052727305</v>
      </c>
      <c r="F26" s="3013">
        <f ca="1"/>
        <v>10478.587624983633</v>
      </c>
    </row>
    <row r="27" spans="1:6" ht="21" customHeight="1" thickTop="1" thickBot="1">
      <c r="A27" s="2997" t="s">
        <v>1167</v>
      </c>
      <c r="B27" s="3007">
        <v>0</v>
      </c>
      <c r="C27" s="3008">
        <v>0</v>
      </c>
      <c r="D27" s="3007">
        <v>0</v>
      </c>
      <c r="E27" s="3008">
        <v>0</v>
      </c>
      <c r="F27" s="3007">
        <v>0</v>
      </c>
    </row>
    <row r="28" spans="1:6" ht="20.25" customHeight="1" thickBot="1">
      <c r="A28" s="2997" t="s">
        <v>1168</v>
      </c>
      <c r="B28" s="3013">
        <f t="array" ref="B28:F28" ca="1">B26:F26-B27:F27</f>
        <v>4493.4090909090846</v>
      </c>
      <c r="C28" s="3014">
        <f ca="1"/>
        <v>13394.17090909091</v>
      </c>
      <c r="D28" s="3013">
        <f ca="1"/>
        <v>8670.6127454545458</v>
      </c>
      <c r="E28" s="3014">
        <f ca="1"/>
        <v>9794.8541052727305</v>
      </c>
      <c r="F28" s="3013">
        <f ca="1"/>
        <v>10478.587624983633</v>
      </c>
    </row>
    <row r="29" spans="1:6" ht="20.25" customHeight="1" thickBot="1">
      <c r="A29" s="3001" t="s">
        <v>1169</v>
      </c>
      <c r="B29" s="3013">
        <f t="array" ref="B29:F29" ca="1">'P. Equilibrio'!D27:H27</f>
        <v>24337.743055555558</v>
      </c>
      <c r="C29" s="3014">
        <f ca="1"/>
        <v>26392.407323232324</v>
      </c>
      <c r="D29" s="3013">
        <f ca="1"/>
        <v>32879.049866161615</v>
      </c>
      <c r="E29" s="3014">
        <f ca="1"/>
        <v>32905.284720530304</v>
      </c>
      <c r="F29" s="3013">
        <f ca="1"/>
        <v>33459.234488198745</v>
      </c>
    </row>
    <row r="30" spans="1:6" ht="20.25" customHeight="1" thickBot="1">
      <c r="A30" s="3001" t="s">
        <v>1170</v>
      </c>
      <c r="B30" s="3013">
        <f t="array" ref="B30:F30" ca="1">'Datos Evaluación'!B44:F44</f>
        <v>1853.1922159090882</v>
      </c>
      <c r="C30" s="3014">
        <f ca="1"/>
        <v>6429.6983181818214</v>
      </c>
      <c r="D30" s="3013">
        <f ca="1"/>
        <v>956.69395618181989</v>
      </c>
      <c r="E30" s="3014">
        <f ca="1"/>
        <v>2232.7710694290854</v>
      </c>
      <c r="F30" s="3013">
        <f ca="1"/>
        <v>2378.613313016258</v>
      </c>
    </row>
    <row r="33" spans="1:6" ht="18.75">
      <c r="A33" s="898" t="s">
        <v>1171</v>
      </c>
      <c r="B33"/>
      <c r="C33" s="3010" t="str">
        <f>IF(Isoc=0,"¡¡ATENCIÓN!!   Forma jurídica NO societaria","")</f>
        <v>¡¡ATENCIÓN!!   Forma jurídica NO societaria</v>
      </c>
      <c r="D33"/>
      <c r="E33"/>
      <c r="F33"/>
    </row>
    <row r="34" spans="1:6" ht="16.5" thickBot="1">
      <c r="A34" s="2992"/>
      <c r="B34"/>
      <c r="C34"/>
      <c r="D34"/>
      <c r="E34"/>
      <c r="F34"/>
    </row>
    <row r="35" spans="1:6" ht="15.75" thickBot="1">
      <c r="A35" s="3389" t="s">
        <v>1161</v>
      </c>
      <c r="B35" s="3000">
        <f t="array" ref="B35:F35">Parametros!D$63:H$63</f>
        <v>46023</v>
      </c>
      <c r="C35" s="3012">
        <v>46388</v>
      </c>
      <c r="D35" s="3000">
        <v>46753</v>
      </c>
      <c r="E35" s="3012">
        <v>47119</v>
      </c>
      <c r="F35" s="3000">
        <v>47484</v>
      </c>
    </row>
    <row r="36" spans="1:6" ht="15.75" thickBot="1">
      <c r="A36" s="3389"/>
      <c r="B36" s="2988" t="s">
        <v>1162</v>
      </c>
      <c r="C36" s="2989" t="s">
        <v>1040</v>
      </c>
      <c r="D36" s="2990" t="s">
        <v>1040</v>
      </c>
      <c r="E36" s="2991" t="s">
        <v>1040</v>
      </c>
      <c r="F36" s="2990" t="s">
        <v>1040</v>
      </c>
    </row>
    <row r="37" spans="1:6" ht="27" customHeight="1" thickBot="1">
      <c r="A37" s="3039" t="s">
        <v>1182</v>
      </c>
      <c r="B37" s="3040">
        <f t="array" ref="B37:F38" ca="1">'Datos Evaluación'!B49:F50</f>
        <v>1.1458023149841698</v>
      </c>
      <c r="C37" s="3041">
        <f ca="1"/>
        <v>1.4775507769661913</v>
      </c>
      <c r="D37" s="3040">
        <f ca="1"/>
        <v>0.70246549204548869</v>
      </c>
      <c r="E37" s="3041">
        <f ca="1"/>
        <v>0.67422609717371973</v>
      </c>
      <c r="F37" s="3040">
        <f ca="1"/>
        <v>0.61111600217354489</v>
      </c>
    </row>
    <row r="38" spans="1:6" ht="27" customHeight="1" thickBot="1">
      <c r="A38" s="3039" t="s">
        <v>1181</v>
      </c>
      <c r="B38" s="3040">
        <f ca="1"/>
        <v>0.50019907662508389</v>
      </c>
      <c r="C38" s="3041">
        <f ca="1"/>
        <v>0.97974303443701583</v>
      </c>
      <c r="D38" s="3040">
        <f ca="1"/>
        <v>0.4986264934439722</v>
      </c>
      <c r="E38" s="3041">
        <f ca="1"/>
        <v>0.50067401294656289</v>
      </c>
      <c r="F38" s="3040">
        <f ca="1"/>
        <v>0.47010851856397423</v>
      </c>
    </row>
    <row r="39" spans="1:6" ht="27" customHeight="1" thickBot="1">
      <c r="A39" s="3039" t="s">
        <v>1180</v>
      </c>
      <c r="B39" s="3042">
        <f ca="1">'PPyGG anuales'!B23*IF(Isoc=0,(1-'IRPF Prof y Autónomos'!K27),(1-Isoc))</f>
        <v>3768.5763766817436</v>
      </c>
      <c r="C39" s="3043">
        <f ca="1">'PPyGG anuales'!D23*IF(Isoc=0,(1-'IRPF Prof y Autónomos'!L27),(1-Isoc))</f>
        <v>10675.556367760071</v>
      </c>
      <c r="D39" s="3042">
        <f ca="1">'PPyGG anuales'!G23*IF(Isoc=0,(1-'IRPF Prof y Autónomos'!M27),(1-Isoc))</f>
        <v>7043.0022216016077</v>
      </c>
      <c r="E39" s="3043">
        <f ca="1">'PPyGG anuales'!J23*IF(Isoc=0,(1-'IRPF Prof y Autónomos'!N27),(1-Isoc))</f>
        <v>7883.1504566691383</v>
      </c>
      <c r="F39" s="3042">
        <f ca="1">'PPyGG anuales'!M23*IF(Isoc=0,(1-'IRPF Prof y Autónomos'!O27),(1-Isoc))</f>
        <v>8379.6448992553196</v>
      </c>
    </row>
    <row r="40" spans="1:6" ht="27" customHeight="1" thickBot="1">
      <c r="A40" s="3039" t="s">
        <v>1183</v>
      </c>
      <c r="B40" s="3042">
        <f ca="1">-SUM('Valoración Empresa'!B10:C12)</f>
        <v>0</v>
      </c>
      <c r="C40" s="3043">
        <f t="array" aca="1" ref="C40:F40" ca="1">-'Valoración Empresa'!D10:G10-'Valoración Empresa'!D11:G11-'Valoración Empresa'!D12:G12</f>
        <v>0</v>
      </c>
      <c r="D40" s="3042">
        <f ca="1"/>
        <v>0</v>
      </c>
      <c r="E40" s="3043">
        <f ca="1"/>
        <v>0</v>
      </c>
      <c r="F40" s="3042">
        <f ca="1"/>
        <v>0</v>
      </c>
    </row>
    <row r="41" spans="1:6" ht="27" customHeight="1" thickBot="1">
      <c r="A41" s="3039" t="s">
        <v>1185</v>
      </c>
      <c r="B41" s="3042">
        <f ca="1">SUM('Valoración Empresa'!B7:C9)</f>
        <v>1133.2062886363642</v>
      </c>
      <c r="C41" s="3043">
        <f t="array" ref="C41:F41" ca="1">'Valoración Empresa'!D7:G7+'Valoración Empresa'!D8:G8+'Valoración Empresa'!D9:G9</f>
        <v>7350.8751863636371</v>
      </c>
      <c r="D41" s="3042">
        <f ca="1"/>
        <v>3840.8030093181842</v>
      </c>
      <c r="E41" s="3043">
        <f ca="1"/>
        <v>4415.8366548159047</v>
      </c>
      <c r="F41" s="3042">
        <f ca="1"/>
        <v>4673.8204970472943</v>
      </c>
    </row>
    <row r="42" spans="1:6" ht="27" customHeight="1" thickBot="1">
      <c r="A42" s="3039" t="s">
        <v>1184</v>
      </c>
      <c r="B42" s="3042">
        <f ca="1">SUM('Valoración Empresa'!B14:C14)</f>
        <v>1133.2062886363642</v>
      </c>
      <c r="C42" s="3043">
        <f t="array" ref="C42:F42" ca="1">'Valoración Empresa'!D14:G14</f>
        <v>7350.8751863636371</v>
      </c>
      <c r="D42" s="3042">
        <f ca="1"/>
        <v>3840.8030093181842</v>
      </c>
      <c r="E42" s="3043">
        <f ca="1"/>
        <v>4415.8366548159047</v>
      </c>
      <c r="F42" s="3042">
        <f ca="1"/>
        <v>4673.8204970472943</v>
      </c>
    </row>
    <row r="43" spans="1:6" ht="27" customHeight="1" thickBot="1">
      <c r="A43" s="3044" t="s">
        <v>1195</v>
      </c>
      <c r="B43" s="3067">
        <f ca="1">B42/('Balances anuales'!F26+'Balances anuales'!F32)</f>
        <v>0.45869743154497367</v>
      </c>
      <c r="C43" s="3068">
        <f ca="1">C42/('Balances anuales'!H26+'Balances anuales'!H32)</f>
        <v>0.98253697812849861</v>
      </c>
      <c r="D43" s="3067">
        <f ca="1">D42/('Balances anuales'!J26+'Balances anuales'!J32)</f>
        <v>0.43095552231261952</v>
      </c>
      <c r="E43" s="3068">
        <f ca="1">E42/('Balances anuales'!L26+'Balances anuales'!L32)</f>
        <v>0.40714720907971597</v>
      </c>
      <c r="F43" s="3067">
        <f ca="1">F42/('Balances anuales'!N26+'Balances anuales'!N32)</f>
        <v>0.3605559672292768</v>
      </c>
    </row>
    <row r="46" spans="1:6" ht="15.75">
      <c r="A46" s="2992" t="s">
        <v>1186</v>
      </c>
      <c r="B46"/>
      <c r="C46" s="4" t="s">
        <v>1187</v>
      </c>
    </row>
    <row r="47" spans="1:6" ht="16.5" thickBot="1">
      <c r="A47" s="2992"/>
      <c r="B47"/>
    </row>
    <row r="48" spans="1:6" ht="19.5" thickBot="1">
      <c r="A48" s="3389" t="s">
        <v>1161</v>
      </c>
      <c r="B48" s="3000">
        <f>Parametros!H63</f>
        <v>47484</v>
      </c>
      <c r="D48" s="3010" t="str">
        <f>IF(Isoc=0,"¡¡ATENCIÓN!!   Forma jurídica NO societaria","")</f>
        <v>¡¡ATENCIÓN!!   Forma jurídica NO societaria</v>
      </c>
    </row>
    <row r="49" spans="1:6" ht="15.75" thickBot="1">
      <c r="A49" s="3389"/>
      <c r="B49" s="2988" t="s">
        <v>1040</v>
      </c>
      <c r="C49" s="3070"/>
    </row>
    <row r="50" spans="1:6" ht="19.5" customHeight="1" thickBot="1">
      <c r="A50" s="3072" t="str">
        <f>"Terminal Value ( "&amp;Parametros!$H$11&amp;" )"</f>
        <v>Terminal Value ( € )</v>
      </c>
      <c r="B50" s="3042">
        <f ca="1">'Valoración Empresa'!G29</f>
        <v>14666.597927173996</v>
      </c>
      <c r="C50" s="3071"/>
    </row>
    <row r="51" spans="1:6" ht="19.5" customHeight="1" thickBot="1">
      <c r="A51" s="3072" t="str">
        <f>"Enterprise Value ( "&amp;Parametros!$H$11&amp;" )"</f>
        <v>Enterprise Value ( € )</v>
      </c>
      <c r="B51" s="3042">
        <f ca="1">'Balances anuales'!N26+B52-'Balances anuales'!N22</f>
        <v>0</v>
      </c>
    </row>
    <row r="52" spans="1:6" ht="19.5" customHeight="1" thickBot="1">
      <c r="A52" s="3072" t="str">
        <f>"Deuda  ( "&amp;Parametros!$H$11&amp;" )"</f>
        <v>Deuda  ( € )</v>
      </c>
      <c r="B52" s="3042">
        <f ca="1">'Balances anuales'!N32+'Balances anuales'!N37</f>
        <v>3888.1533271491871</v>
      </c>
    </row>
    <row r="53" spans="1:6" ht="19.5" customHeight="1" thickBot="1">
      <c r="A53" s="3072" t="str">
        <f>"Equty Value ( "&amp;Parametros!$H$11&amp;" )"</f>
        <v>Equty Value ( € )</v>
      </c>
      <c r="B53" s="3042">
        <f ca="1">'Balances anuales'!N26</f>
        <v>12962.815545568885</v>
      </c>
    </row>
    <row r="54" spans="1:6" ht="19.5" customHeight="1" thickBot="1">
      <c r="A54" s="3072" t="str">
        <f>"Valor Actual ( "&amp;Parametros!$H$11&amp;" )"</f>
        <v>Valor Actual ( € )</v>
      </c>
      <c r="B54" s="3042">
        <f ca="1">'Valoración Empresa'!G29</f>
        <v>14666.597927173996</v>
      </c>
    </row>
    <row r="55" spans="1:6" ht="19.5" customHeight="1" thickBot="1">
      <c r="A55" s="3072" t="str">
        <f>"VAN ( "&amp;Parametros!$H$11&amp;" año "&amp;'Datos Básicos'!$B$15&amp;")"</f>
        <v>VAN ( € año 2026)</v>
      </c>
      <c r="B55" s="3045">
        <f ca="1">'Valoración Empresa'!G30</f>
        <v>26128.653892658094</v>
      </c>
    </row>
    <row r="56" spans="1:6" ht="19.5" customHeight="1" thickBot="1">
      <c r="A56" s="3039" t="s">
        <v>743</v>
      </c>
      <c r="B56" s="3046" t="str">
        <f ca="1">'Valoración Empresa'!G21</f>
        <v>N/D</v>
      </c>
    </row>
    <row r="57" spans="1:6" ht="19.5" customHeight="1" thickBot="1">
      <c r="A57" s="3039" t="s">
        <v>1200</v>
      </c>
      <c r="B57" s="3069">
        <f ca="1">'Valoración Empresa'!G19</f>
        <v>0</v>
      </c>
    </row>
    <row r="58" spans="1:6" ht="19.5" customHeight="1" thickBot="1">
      <c r="A58" s="3039" t="s">
        <v>1172</v>
      </c>
      <c r="B58" s="3046">
        <f ca="1">'Datos Evaluación'!F49</f>
        <v>0.61111600217354489</v>
      </c>
    </row>
    <row r="59" spans="1:6" ht="19.5" customHeight="1" thickBot="1">
      <c r="A59" s="3039" t="s">
        <v>1179</v>
      </c>
      <c r="B59" s="3046">
        <f>'Valoración Empresa'!B27</f>
        <v>0.13</v>
      </c>
    </row>
    <row r="62" spans="1:6" ht="18.75">
      <c r="A62" s="2992" t="str">
        <f>"3.4.- Capital Solicitado (En miles de "&amp;Moneda&amp;"):"</f>
        <v>3.4.- Capital Solicitado (En miles de Euros):</v>
      </c>
      <c r="B62"/>
      <c r="C62" s="3010"/>
      <c r="D62"/>
      <c r="E62"/>
    </row>
    <row r="63" spans="1:6" ht="4.5" customHeight="1" thickBot="1">
      <c r="A63" s="2992"/>
      <c r="B63"/>
      <c r="C63"/>
      <c r="D63"/>
      <c r="E63"/>
    </row>
    <row r="64" spans="1:6" ht="27.75" customHeight="1" thickBot="1">
      <c r="A64" s="2993" t="s">
        <v>1173</v>
      </c>
      <c r="B64" s="2994" t="s">
        <v>1174</v>
      </c>
      <c r="C64" s="2994" t="s">
        <v>1174</v>
      </c>
      <c r="D64" s="2994" t="s">
        <v>1174</v>
      </c>
      <c r="E64" s="2994" t="s">
        <v>1174</v>
      </c>
      <c r="F64" s="2995" t="s">
        <v>1175</v>
      </c>
    </row>
    <row r="65" spans="1:6" ht="22.5" customHeight="1" thickBot="1">
      <c r="A65" s="3001" t="s">
        <v>1176</v>
      </c>
      <c r="B65" s="2996"/>
      <c r="C65" s="2996"/>
      <c r="D65" s="2996"/>
      <c r="E65" s="3002"/>
      <c r="F65" s="3002">
        <f>SUM(B65:E65)</f>
        <v>0</v>
      </c>
    </row>
    <row r="67" spans="1:6">
      <c r="A67" s="2992" t="s">
        <v>1177</v>
      </c>
    </row>
    <row r="68" spans="1:6" ht="15.75" thickBot="1"/>
    <row r="69" spans="1:6" ht="27" customHeight="1">
      <c r="A69" s="3047" t="s">
        <v>1138</v>
      </c>
      <c r="B69" s="3048"/>
      <c r="C69" s="3049"/>
    </row>
    <row r="70" spans="1:6" ht="19.5" customHeight="1">
      <c r="A70" s="3050"/>
      <c r="B70" s="3051" t="str">
        <f>"Valoración Pre-Money ( "&amp;Parametros!$H$11&amp;" )"</f>
        <v>Valoración Pre-Money ( € )</v>
      </c>
      <c r="C70" s="3052">
        <f>C16*1000</f>
        <v>0</v>
      </c>
    </row>
    <row r="71" spans="1:6" ht="19.5" customHeight="1">
      <c r="A71" s="3050"/>
      <c r="B71" s="3051"/>
      <c r="C71" s="3052"/>
    </row>
    <row r="72" spans="1:6" ht="19.5" customHeight="1">
      <c r="A72" s="3050"/>
      <c r="B72" s="3051" t="str">
        <f>"Inversión prevista ( "&amp;Parametros!$H$11&amp;" )"</f>
        <v>Inversión prevista ( € )</v>
      </c>
      <c r="C72" s="3052">
        <f>+Financiación!D14</f>
        <v>3000</v>
      </c>
    </row>
    <row r="73" spans="1:6" ht="19.5" customHeight="1">
      <c r="A73" s="3050"/>
      <c r="B73" s="3051" t="s">
        <v>1140</v>
      </c>
      <c r="C73" s="3053">
        <f>IFERROR(C72/(C70+C72),"-")</f>
        <v>1</v>
      </c>
    </row>
    <row r="74" spans="1:6" ht="19.5" customHeight="1">
      <c r="A74" s="3050"/>
      <c r="B74" s="3051"/>
      <c r="C74" s="3052"/>
    </row>
    <row r="75" spans="1:6" ht="19.5" customHeight="1" thickBot="1">
      <c r="A75" s="3054"/>
      <c r="B75" s="3055" t="str">
        <f>"Valoración Post-Money ( "&amp;Parametros!$H$11&amp;" )"</f>
        <v>Valoración Post-Money ( € )</v>
      </c>
      <c r="C75" s="3056">
        <f>C70+C72</f>
        <v>3000</v>
      </c>
    </row>
  </sheetData>
  <sheetProtection sheet="1" objects="1" scenarios="1"/>
  <mergeCells count="3">
    <mergeCell ref="A20:A21"/>
    <mergeCell ref="A48:A49"/>
    <mergeCell ref="A35:A36"/>
  </mergeCells>
  <dataValidations count="1">
    <dataValidation allowBlank="1" showInputMessage="1" showErrorMessage="1" prompt="En esta hoja de gastos fijos para el año 0 se pueden modificar las etiquetas de las distintas partidas de gastos fijos y automáticamente se transladarán a las hojas de gastos fijos de los otros dos años." sqref="A1" xr:uid="{00000000-0002-0000-4B00-000000000000}"/>
  </dataValidations>
  <pageMargins left="0.7" right="0.7" top="0.75" bottom="0.75" header="0.3" footer="0.3"/>
  <pageSetup paperSize="9" scale="52" orientation="portrait" r:id="rId1"/>
  <legacyDrawing r:id="rId2"/>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theme="9" tint="-0.249977111117893"/>
  </sheetPr>
  <dimension ref="A2:J146"/>
  <sheetViews>
    <sheetView workbookViewId="0"/>
  </sheetViews>
  <sheetFormatPr baseColWidth="10" defaultRowHeight="15.75"/>
  <cols>
    <col min="1" max="1" width="30.25" customWidth="1"/>
    <col min="2" max="2" width="11.875" customWidth="1"/>
    <col min="3" max="10" width="10.25" customWidth="1"/>
  </cols>
  <sheetData>
    <row r="2" spans="1:10">
      <c r="A2" s="2785" t="s">
        <v>1084</v>
      </c>
    </row>
    <row r="7" spans="1:10">
      <c r="A7" s="2759" t="s">
        <v>1076</v>
      </c>
      <c r="B7" s="2760"/>
      <c r="C7" s="2760"/>
      <c r="D7" s="2760"/>
      <c r="E7" s="2760"/>
      <c r="F7" s="2760"/>
      <c r="G7" s="2760"/>
      <c r="H7" s="2760"/>
      <c r="I7" s="2760"/>
      <c r="J7" s="2760"/>
    </row>
    <row r="8" spans="1:10" ht="16.5" thickBot="1"/>
    <row r="9" spans="1:10">
      <c r="A9" s="2737" t="s">
        <v>1075</v>
      </c>
      <c r="B9" s="2071" t="str">
        <f>Parametros!B77</f>
        <v>Año 0:  2026</v>
      </c>
      <c r="C9" s="2071" t="str">
        <f>Parametros!C77</f>
        <v>Año 1:  2027</v>
      </c>
      <c r="D9" s="2072"/>
      <c r="E9" s="2073" t="str">
        <f>Parametros!D77</f>
        <v>Año 2:  2028</v>
      </c>
      <c r="F9" s="2074"/>
      <c r="G9" s="2071" t="str">
        <f>Parametros!E77</f>
        <v>Año 3:  2029</v>
      </c>
      <c r="H9" s="2072"/>
      <c r="I9" s="2073" t="str">
        <f>Parametros!F77</f>
        <v>Año 4:  2030</v>
      </c>
      <c r="J9" s="2075"/>
    </row>
    <row r="10" spans="1:10" ht="16.5" thickBot="1">
      <c r="A10" s="2076" t="s">
        <v>481</v>
      </c>
      <c r="B10" s="947" t="s">
        <v>14</v>
      </c>
      <c r="C10" s="948" t="s">
        <v>14</v>
      </c>
      <c r="D10" s="949" t="s">
        <v>324</v>
      </c>
      <c r="E10" s="950" t="s">
        <v>14</v>
      </c>
      <c r="F10" s="951" t="s">
        <v>324</v>
      </c>
      <c r="G10" s="948" t="s">
        <v>14</v>
      </c>
      <c r="H10" s="949" t="s">
        <v>324</v>
      </c>
      <c r="I10" s="950" t="s">
        <v>14</v>
      </c>
      <c r="J10" s="2077" t="s">
        <v>324</v>
      </c>
    </row>
    <row r="11" spans="1:10">
      <c r="A11" s="2738" t="str">
        <f t="array" ref="A11:A18">productos</f>
        <v>producto o servicio</v>
      </c>
      <c r="B11" s="2739">
        <f t="array" aca="1" ref="B11:B18" ca="1">'Prev.Ventas 0'!$N5:$N12</f>
        <v>7852.2727272727261</v>
      </c>
      <c r="C11" s="2739">
        <f t="array" aca="1" ref="C11:C18" ca="1">'Prev.Ventas 1'!$N5:$N12</f>
        <v>11050</v>
      </c>
      <c r="D11" s="2740">
        <f t="array" aca="1" ref="D11:D18" ca="1">IF(B11:B18=0,"",(C11:C18-B11:B18)/B11:B18)</f>
        <v>0.40723589001447197</v>
      </c>
      <c r="E11" s="2741">
        <f t="array" aca="1" ref="E11:E18" ca="1">'Prev.Ventas 2'!$N5:$N12</f>
        <v>11381.5</v>
      </c>
      <c r="F11" s="2740">
        <f t="array" aca="1" ref="F11:F18" ca="1">IF(C11:C18=0,"",(E11:E18-C11:C18)/C11:C18)</f>
        <v>0.03</v>
      </c>
      <c r="G11" s="2739">
        <f t="array" aca="1" ref="G11:G18" ca="1">'Prev.Ventas 3'!$N5:$N12</f>
        <v>11722.945</v>
      </c>
      <c r="H11" s="2740">
        <f t="array" aca="1" ref="H11:H18" ca="1">IF(E11:E18=0,"",(G11:G18-E11:E18)/E11:E18)</f>
        <v>2.9999999999999975E-2</v>
      </c>
      <c r="I11" s="2742">
        <f t="array" aca="1" ref="I11:I18" ca="1">'Prev.Ventas 4'!$N5:$N12</f>
        <v>12074.63335</v>
      </c>
      <c r="J11" s="2740">
        <f t="array" aca="1" ref="J11:J18" ca="1">IF(G11:G18=0,"",(I11:I18-G11:G18)/G11:G18)</f>
        <v>3.000000000000003E-2</v>
      </c>
    </row>
    <row r="12" spans="1:10">
      <c r="A12" s="417" t="str">
        <v/>
      </c>
      <c r="B12" s="2743">
        <f ca="1"/>
        <v>0</v>
      </c>
      <c r="C12" s="2743">
        <f ca="1"/>
        <v>0</v>
      </c>
      <c r="D12" s="2744" t="str">
        <f ca="1"/>
        <v/>
      </c>
      <c r="E12" s="2745">
        <f ca="1"/>
        <v>0</v>
      </c>
      <c r="F12" s="2744" t="str">
        <f ca="1"/>
        <v/>
      </c>
      <c r="G12" s="2743">
        <f ca="1"/>
        <v>0</v>
      </c>
      <c r="H12" s="2744" t="str">
        <f ca="1"/>
        <v/>
      </c>
      <c r="I12" s="2746">
        <f ca="1"/>
        <v>0</v>
      </c>
      <c r="J12" s="2744" t="str">
        <f ca="1"/>
        <v/>
      </c>
    </row>
    <row r="13" spans="1:10">
      <c r="A13" s="417" t="str">
        <v/>
      </c>
      <c r="B13" s="2743">
        <f ca="1"/>
        <v>0</v>
      </c>
      <c r="C13" s="2743">
        <f ca="1"/>
        <v>0</v>
      </c>
      <c r="D13" s="2744" t="str">
        <f ca="1"/>
        <v/>
      </c>
      <c r="E13" s="2745">
        <f ca="1"/>
        <v>0</v>
      </c>
      <c r="F13" s="2744" t="str">
        <f ca="1"/>
        <v/>
      </c>
      <c r="G13" s="2743">
        <f ca="1"/>
        <v>0</v>
      </c>
      <c r="H13" s="2744" t="str">
        <f ca="1"/>
        <v/>
      </c>
      <c r="I13" s="2746">
        <f ca="1"/>
        <v>0</v>
      </c>
      <c r="J13" s="2744" t="str">
        <f ca="1"/>
        <v/>
      </c>
    </row>
    <row r="14" spans="1:10">
      <c r="A14" s="417" t="str">
        <v/>
      </c>
      <c r="B14" s="2743">
        <f ca="1"/>
        <v>0</v>
      </c>
      <c r="C14" s="2743">
        <f ca="1"/>
        <v>0</v>
      </c>
      <c r="D14" s="2744" t="str">
        <f ca="1"/>
        <v/>
      </c>
      <c r="E14" s="2745">
        <f ca="1"/>
        <v>0</v>
      </c>
      <c r="F14" s="2744" t="str">
        <f ca="1"/>
        <v/>
      </c>
      <c r="G14" s="2743">
        <f ca="1"/>
        <v>0</v>
      </c>
      <c r="H14" s="2744" t="str">
        <f ca="1"/>
        <v/>
      </c>
      <c r="I14" s="2746">
        <f ca="1"/>
        <v>0</v>
      </c>
      <c r="J14" s="2744" t="str">
        <f ca="1"/>
        <v/>
      </c>
    </row>
    <row r="15" spans="1:10">
      <c r="A15" s="417" t="str">
        <v/>
      </c>
      <c r="B15" s="2743">
        <f ca="1"/>
        <v>0</v>
      </c>
      <c r="C15" s="2743">
        <f ca="1"/>
        <v>0</v>
      </c>
      <c r="D15" s="2744" t="str">
        <f ca="1"/>
        <v/>
      </c>
      <c r="E15" s="2745">
        <f ca="1"/>
        <v>0</v>
      </c>
      <c r="F15" s="2744" t="str">
        <f ca="1"/>
        <v/>
      </c>
      <c r="G15" s="2743">
        <f ca="1"/>
        <v>0</v>
      </c>
      <c r="H15" s="2744" t="str">
        <f ca="1"/>
        <v/>
      </c>
      <c r="I15" s="2746">
        <f ca="1"/>
        <v>0</v>
      </c>
      <c r="J15" s="2744" t="str">
        <f ca="1"/>
        <v/>
      </c>
    </row>
    <row r="16" spans="1:10">
      <c r="A16" s="417" t="str">
        <v/>
      </c>
      <c r="B16" s="2743">
        <f ca="1"/>
        <v>0</v>
      </c>
      <c r="C16" s="2743">
        <f ca="1"/>
        <v>0</v>
      </c>
      <c r="D16" s="2744" t="str">
        <f ca="1"/>
        <v/>
      </c>
      <c r="E16" s="2745">
        <f ca="1"/>
        <v>0</v>
      </c>
      <c r="F16" s="2744" t="str">
        <f ca="1"/>
        <v/>
      </c>
      <c r="G16" s="2743">
        <f ca="1"/>
        <v>0</v>
      </c>
      <c r="H16" s="2744" t="str">
        <f ca="1"/>
        <v/>
      </c>
      <c r="I16" s="2746">
        <f ca="1"/>
        <v>0</v>
      </c>
      <c r="J16" s="2744" t="str">
        <f ca="1"/>
        <v/>
      </c>
    </row>
    <row r="17" spans="1:10">
      <c r="A17" s="417" t="str">
        <v/>
      </c>
      <c r="B17" s="2743">
        <f ca="1"/>
        <v>0</v>
      </c>
      <c r="C17" s="2743">
        <f ca="1"/>
        <v>0</v>
      </c>
      <c r="D17" s="2744" t="str">
        <f ca="1"/>
        <v/>
      </c>
      <c r="E17" s="2745">
        <f ca="1"/>
        <v>0</v>
      </c>
      <c r="F17" s="2744" t="str">
        <f ca="1"/>
        <v/>
      </c>
      <c r="G17" s="2743">
        <f ca="1"/>
        <v>0</v>
      </c>
      <c r="H17" s="2744" t="str">
        <f ca="1"/>
        <v/>
      </c>
      <c r="I17" s="2746">
        <f ca="1"/>
        <v>0</v>
      </c>
      <c r="J17" s="2744" t="str">
        <f ca="1"/>
        <v/>
      </c>
    </row>
    <row r="18" spans="1:10" ht="16.5" thickBot="1">
      <c r="A18" s="2747" t="str">
        <v/>
      </c>
      <c r="B18" s="2748">
        <f ca="1"/>
        <v>0</v>
      </c>
      <c r="C18" s="2748">
        <f ca="1"/>
        <v>0</v>
      </c>
      <c r="D18" s="2749" t="str">
        <f ca="1"/>
        <v/>
      </c>
      <c r="E18" s="2750">
        <f ca="1"/>
        <v>0</v>
      </c>
      <c r="F18" s="2749" t="str">
        <f ca="1"/>
        <v/>
      </c>
      <c r="G18" s="2748">
        <f ca="1"/>
        <v>0</v>
      </c>
      <c r="H18" s="2749" t="str">
        <f ca="1"/>
        <v/>
      </c>
      <c r="I18" s="2751">
        <f ca="1"/>
        <v>0</v>
      </c>
      <c r="J18" s="2749" t="str">
        <f ca="1"/>
        <v/>
      </c>
    </row>
    <row r="21" spans="1:10" ht="16.5" thickBot="1"/>
    <row r="22" spans="1:10">
      <c r="A22" s="399" t="s">
        <v>479</v>
      </c>
      <c r="B22" s="2761" t="str">
        <f>B$9</f>
        <v>Año 0:  2026</v>
      </c>
      <c r="C22" s="2761" t="str">
        <f>C$9</f>
        <v>Año 1:  2027</v>
      </c>
      <c r="D22" s="2762"/>
      <c r="E22" s="2763" t="str">
        <f>E$9</f>
        <v>Año 2:  2028</v>
      </c>
      <c r="F22" s="2764"/>
      <c r="G22" s="2761" t="str">
        <f>G$9</f>
        <v>Año 3:  2029</v>
      </c>
      <c r="H22" s="2762"/>
      <c r="I22" s="2763" t="str">
        <f>I$9</f>
        <v>Año 4:  2030</v>
      </c>
      <c r="J22" s="2765"/>
    </row>
    <row r="23" spans="1:10" ht="16.5" thickBot="1">
      <c r="A23" s="2081" t="str">
        <f>"( "&amp;Moneda&amp;" )"</f>
        <v>( Euros )</v>
      </c>
      <c r="B23" s="947" t="s">
        <v>14</v>
      </c>
      <c r="C23" s="948" t="s">
        <v>14</v>
      </c>
      <c r="D23" s="949" t="s">
        <v>324</v>
      </c>
      <c r="E23" s="950" t="s">
        <v>14</v>
      </c>
      <c r="F23" s="951" t="s">
        <v>324</v>
      </c>
      <c r="G23" s="948" t="s">
        <v>14</v>
      </c>
      <c r="H23" s="949" t="s">
        <v>324</v>
      </c>
      <c r="I23" s="950" t="s">
        <v>14</v>
      </c>
      <c r="J23" s="2077" t="s">
        <v>324</v>
      </c>
    </row>
    <row r="24" spans="1:10">
      <c r="A24" s="2738" t="str">
        <f t="array" ref="A24:A31">productos</f>
        <v>producto o servicio</v>
      </c>
      <c r="B24" s="2752">
        <f t="array" aca="1" ref="B24:B31" ca="1">'Prev.Ventas 0'!$N17:$N24</f>
        <v>27482.95454545454</v>
      </c>
      <c r="C24" s="2739">
        <f t="array" aca="1" ref="C24:C31" ca="1">'Prev.Ventas 1'!$N17:$N24</f>
        <v>38675</v>
      </c>
      <c r="D24" s="2740">
        <f t="array" aca="1" ref="D24:D32" ca="1">IF(B24:B32=0,"",(C24:C32-B24:B32)/B24:B32)</f>
        <v>0.40723589001447202</v>
      </c>
      <c r="E24" s="2741">
        <f t="array" aca="1" ref="E24:E31" ca="1">'Prev.Ventas 2'!$N17:$N24</f>
        <v>39835.25</v>
      </c>
      <c r="F24" s="2740">
        <f t="array" aca="1" ref="F24:F32" ca="1">IF(C24:C32=0,"",(E24:E32-C24:C32)/C24:C32)</f>
        <v>0.03</v>
      </c>
      <c r="G24" s="2739">
        <f t="array" aca="1" ref="G24:G31" ca="1">'Prev.Ventas 3'!$N17:$N24</f>
        <v>41030.307500000003</v>
      </c>
      <c r="H24" s="2740">
        <f t="array" aca="1" ref="H24:H32" ca="1">IF(E24:E32=0,"",(G24:G32-E24:E32)/E24:E32)</f>
        <v>3.0000000000000065E-2</v>
      </c>
      <c r="I24" s="2742">
        <f t="array" aca="1" ref="I24:I31" ca="1">'Prev.Ventas 4'!$N17:$N24</f>
        <v>42261.216725000006</v>
      </c>
      <c r="J24" s="2740">
        <f t="array" aca="1" ref="J24:J32" ca="1">IF(G24:G32=0,"",(I24:I32-G24:G32)/G24:G32)</f>
        <v>3.0000000000000072E-2</v>
      </c>
    </row>
    <row r="25" spans="1:10">
      <c r="A25" s="417" t="str">
        <v/>
      </c>
      <c r="B25" s="2753">
        <f ca="1"/>
        <v>0</v>
      </c>
      <c r="C25" s="2743">
        <f ca="1"/>
        <v>0</v>
      </c>
      <c r="D25" s="2744" t="str">
        <f ca="1"/>
        <v/>
      </c>
      <c r="E25" s="2745">
        <f ca="1"/>
        <v>0</v>
      </c>
      <c r="F25" s="2744" t="str">
        <f ca="1"/>
        <v/>
      </c>
      <c r="G25" s="2743">
        <f ca="1"/>
        <v>0</v>
      </c>
      <c r="H25" s="2744" t="str">
        <f ca="1"/>
        <v/>
      </c>
      <c r="I25" s="2746">
        <f ca="1"/>
        <v>0</v>
      </c>
      <c r="J25" s="2744" t="str">
        <f ca="1"/>
        <v/>
      </c>
    </row>
    <row r="26" spans="1:10">
      <c r="A26" s="417" t="str">
        <v/>
      </c>
      <c r="B26" s="2753">
        <f ca="1"/>
        <v>0</v>
      </c>
      <c r="C26" s="2743">
        <f ca="1"/>
        <v>0</v>
      </c>
      <c r="D26" s="2744" t="str">
        <f ca="1"/>
        <v/>
      </c>
      <c r="E26" s="2745">
        <f ca="1"/>
        <v>0</v>
      </c>
      <c r="F26" s="2744" t="str">
        <f ca="1"/>
        <v/>
      </c>
      <c r="G26" s="2743">
        <f ca="1"/>
        <v>0</v>
      </c>
      <c r="H26" s="2744" t="str">
        <f ca="1"/>
        <v/>
      </c>
      <c r="I26" s="2746">
        <f ca="1"/>
        <v>0</v>
      </c>
      <c r="J26" s="2744" t="str">
        <f ca="1"/>
        <v/>
      </c>
    </row>
    <row r="27" spans="1:10">
      <c r="A27" s="417" t="str">
        <v/>
      </c>
      <c r="B27" s="2753">
        <f ca="1"/>
        <v>0</v>
      </c>
      <c r="C27" s="2743">
        <f ca="1"/>
        <v>0</v>
      </c>
      <c r="D27" s="2744" t="str">
        <f ca="1"/>
        <v/>
      </c>
      <c r="E27" s="2745">
        <f ca="1"/>
        <v>0</v>
      </c>
      <c r="F27" s="2744" t="str">
        <f ca="1"/>
        <v/>
      </c>
      <c r="G27" s="2743">
        <f ca="1"/>
        <v>0</v>
      </c>
      <c r="H27" s="2744" t="str">
        <f ca="1"/>
        <v/>
      </c>
      <c r="I27" s="2746">
        <f ca="1"/>
        <v>0</v>
      </c>
      <c r="J27" s="2744" t="str">
        <f ca="1"/>
        <v/>
      </c>
    </row>
    <row r="28" spans="1:10">
      <c r="A28" s="417" t="str">
        <v/>
      </c>
      <c r="B28" s="2753">
        <f ca="1"/>
        <v>0</v>
      </c>
      <c r="C28" s="2743">
        <f ca="1"/>
        <v>0</v>
      </c>
      <c r="D28" s="2744" t="str">
        <f ca="1"/>
        <v/>
      </c>
      <c r="E28" s="2745">
        <f ca="1"/>
        <v>0</v>
      </c>
      <c r="F28" s="2744" t="str">
        <f ca="1"/>
        <v/>
      </c>
      <c r="G28" s="2743">
        <f ca="1"/>
        <v>0</v>
      </c>
      <c r="H28" s="2744" t="str">
        <f ca="1"/>
        <v/>
      </c>
      <c r="I28" s="2746">
        <f ca="1"/>
        <v>0</v>
      </c>
      <c r="J28" s="2744" t="str">
        <f ca="1"/>
        <v/>
      </c>
    </row>
    <row r="29" spans="1:10">
      <c r="A29" s="417" t="str">
        <v/>
      </c>
      <c r="B29" s="2753">
        <f ca="1"/>
        <v>0</v>
      </c>
      <c r="C29" s="2743">
        <f ca="1"/>
        <v>0</v>
      </c>
      <c r="D29" s="2744" t="str">
        <f ca="1"/>
        <v/>
      </c>
      <c r="E29" s="2745">
        <f ca="1"/>
        <v>0</v>
      </c>
      <c r="F29" s="2744" t="str">
        <f ca="1"/>
        <v/>
      </c>
      <c r="G29" s="2743">
        <f ca="1"/>
        <v>0</v>
      </c>
      <c r="H29" s="2744" t="str">
        <f ca="1"/>
        <v/>
      </c>
      <c r="I29" s="2746">
        <f ca="1"/>
        <v>0</v>
      </c>
      <c r="J29" s="2744" t="str">
        <f ca="1"/>
        <v/>
      </c>
    </row>
    <row r="30" spans="1:10">
      <c r="A30" s="417" t="str">
        <v/>
      </c>
      <c r="B30" s="2753">
        <f ca="1"/>
        <v>0</v>
      </c>
      <c r="C30" s="2743">
        <f ca="1"/>
        <v>0</v>
      </c>
      <c r="D30" s="2744" t="str">
        <f ca="1"/>
        <v/>
      </c>
      <c r="E30" s="2745">
        <f ca="1"/>
        <v>0</v>
      </c>
      <c r="F30" s="2744" t="str">
        <f ca="1"/>
        <v/>
      </c>
      <c r="G30" s="2743">
        <f ca="1"/>
        <v>0</v>
      </c>
      <c r="H30" s="2744" t="str">
        <f ca="1"/>
        <v/>
      </c>
      <c r="I30" s="2746">
        <f ca="1"/>
        <v>0</v>
      </c>
      <c r="J30" s="2744" t="str">
        <f ca="1"/>
        <v/>
      </c>
    </row>
    <row r="31" spans="1:10" ht="16.5" thickBot="1">
      <c r="A31" s="2754" t="str">
        <v/>
      </c>
      <c r="B31" s="2755">
        <f ca="1"/>
        <v>0</v>
      </c>
      <c r="C31" s="2756">
        <f ca="1"/>
        <v>0</v>
      </c>
      <c r="D31" s="2749" t="str">
        <f ca="1"/>
        <v/>
      </c>
      <c r="E31" s="2757">
        <f ca="1"/>
        <v>0</v>
      </c>
      <c r="F31" s="2749" t="str">
        <f ca="1"/>
        <v/>
      </c>
      <c r="G31" s="2756">
        <f ca="1"/>
        <v>0</v>
      </c>
      <c r="H31" s="2749" t="str">
        <f ca="1"/>
        <v/>
      </c>
      <c r="I31" s="2758">
        <f ca="1"/>
        <v>0</v>
      </c>
      <c r="J31" s="2749" t="str">
        <f ca="1"/>
        <v/>
      </c>
    </row>
    <row r="32" spans="1:10" ht="16.5" thickBot="1">
      <c r="A32" s="2088" t="s">
        <v>15</v>
      </c>
      <c r="B32" s="2082">
        <f ca="1">B24+B25+B26+B27+B28+B29+B30+B31</f>
        <v>27482.95454545454</v>
      </c>
      <c r="C32" s="2083">
        <f ca="1">C24+C25+C26+C27+C28+C29+C30+C31</f>
        <v>38675</v>
      </c>
      <c r="D32" s="2084">
        <f ca="1"/>
        <v>0.40723589001447202</v>
      </c>
      <c r="E32" s="2085">
        <f ca="1">E24+E25+E26+E27+E28+E29+E30+E31</f>
        <v>39835.25</v>
      </c>
      <c r="F32" s="2086">
        <f ca="1"/>
        <v>0.03</v>
      </c>
      <c r="G32" s="2083">
        <f ca="1">G24+G25+G26+G27+G28+G29+G30+G31</f>
        <v>41030.307500000003</v>
      </c>
      <c r="H32" s="2084">
        <f ca="1"/>
        <v>3.0000000000000065E-2</v>
      </c>
      <c r="I32" s="2087">
        <f ca="1">I24+I25+I26+I27+I28+I29+I30+I31</f>
        <v>42261.216725000006</v>
      </c>
      <c r="J32" s="2084">
        <f ca="1"/>
        <v>3.0000000000000072E-2</v>
      </c>
    </row>
    <row r="35" spans="1:10">
      <c r="A35" s="2759" t="s">
        <v>1077</v>
      </c>
      <c r="B35" s="2760"/>
      <c r="C35" s="2760"/>
      <c r="D35" s="2760"/>
      <c r="E35" s="2760"/>
      <c r="F35" s="2760"/>
      <c r="G35" s="2760"/>
      <c r="H35" s="2760"/>
      <c r="I35" s="2760"/>
      <c r="J35" s="2760"/>
    </row>
    <row r="36" spans="1:10" ht="16.5" thickBot="1"/>
    <row r="37" spans="1:10" ht="30">
      <c r="A37" s="2108" t="s">
        <v>1078</v>
      </c>
      <c r="B37" s="2106" t="str">
        <f t="array" ref="B37:F37">anni</f>
        <v>Año 0:  2026</v>
      </c>
      <c r="C37" s="2106" t="str">
        <v>Año 1:  2027</v>
      </c>
      <c r="D37" s="2106" t="str">
        <v>Año 2:  2028</v>
      </c>
      <c r="E37" s="2106" t="str">
        <v>Año 3:  2029</v>
      </c>
      <c r="F37" s="2107" t="str">
        <v>Año 4:  2030</v>
      </c>
    </row>
    <row r="38" spans="1:10">
      <c r="A38" s="906" t="str">
        <f>CONCATENATE("EBITDA ( ",Parametros!$H$11," )")</f>
        <v>EBITDA ( € )</v>
      </c>
      <c r="B38" s="1809">
        <f t="array" ref="B38:F38" ca="1">'Datos Evaluación'!B42:F42</f>
        <v>4493.4090909090883</v>
      </c>
      <c r="C38" s="1809">
        <f ca="1"/>
        <v>13394.17090909091</v>
      </c>
      <c r="D38" s="1809">
        <f ca="1"/>
        <v>8670.6127454545458</v>
      </c>
      <c r="E38" s="1809">
        <f ca="1"/>
        <v>9794.8541052727342</v>
      </c>
      <c r="F38" s="1810">
        <f ca="1"/>
        <v>10478.587624983636</v>
      </c>
    </row>
    <row r="39" spans="1:10">
      <c r="A39" s="906" t="str">
        <f>CONCATENATE("Beneficios Netos previstos ( ",Parametros!$H$11," )")</f>
        <v>Beneficios Netos previstos ( € )</v>
      </c>
      <c r="B39" s="1809">
        <f t="array" ref="B39:F39" ca="1">'Datos Evaluación'!B43:F43</f>
        <v>-529.51246136363579</v>
      </c>
      <c r="C39" s="1809">
        <f ca="1"/>
        <v>5011.0376863636375</v>
      </c>
      <c r="D39" s="1809">
        <f ca="1"/>
        <v>1430.7703843181844</v>
      </c>
      <c r="E39" s="1809">
        <f ca="1"/>
        <v>1933.5030510659053</v>
      </c>
      <c r="F39" s="1810">
        <f ca="1"/>
        <v>2117.0168851847939</v>
      </c>
    </row>
    <row r="42" spans="1:10" ht="16.5" thickBot="1"/>
    <row r="43" spans="1:10" ht="27" thickBot="1">
      <c r="B43" s="2773" t="str">
        <f t="array" ref="B43:F43">CONCATENATE("Datos ",anni)</f>
        <v>Datos Año 0:  2026</v>
      </c>
      <c r="C43" s="2773" t="str">
        <v>Datos Año 1:  2027</v>
      </c>
      <c r="D43" s="2773" t="str">
        <v>Datos Año 2:  2028</v>
      </c>
      <c r="E43" s="2773" t="str">
        <v>Datos Año 3:  2029</v>
      </c>
      <c r="F43" s="2773" t="str">
        <v>Datos Año 4:  2030</v>
      </c>
    </row>
    <row r="44" spans="1:10" s="2769" customFormat="1" ht="15">
      <c r="A44" s="2780" t="s">
        <v>1023</v>
      </c>
      <c r="B44" s="2766">
        <f t="array" ref="B44:F45" ca="1">'P. Equilibrio'!D23:H24</f>
        <v>22490.277777777781</v>
      </c>
      <c r="C44" s="2767">
        <f ca="1"/>
        <v>23792.587878787879</v>
      </c>
      <c r="D44" s="2766">
        <f ca="1"/>
        <v>30201.23583838384</v>
      </c>
      <c r="E44" s="2766">
        <f ca="1"/>
        <v>30147.136271919189</v>
      </c>
      <c r="F44" s="2766">
        <f ca="1"/>
        <v>30618.3415861293</v>
      </c>
      <c r="G44" s="2777" t="str">
        <f>CONCATENATE(Parametros!$H$11," de venta al año")</f>
        <v>€ de venta al año</v>
      </c>
      <c r="H44" s="2768"/>
    </row>
    <row r="45" spans="1:10" s="2769" customFormat="1" thickBot="1">
      <c r="A45" s="2776" t="s">
        <v>226</v>
      </c>
      <c r="B45" s="2770">
        <f ca="1"/>
        <v>1874.189814814815</v>
      </c>
      <c r="C45" s="2771">
        <f ca="1"/>
        <v>1982.7156565656567</v>
      </c>
      <c r="D45" s="2770">
        <f ca="1"/>
        <v>2516.7696531986535</v>
      </c>
      <c r="E45" s="2770">
        <f ca="1"/>
        <v>2512.2613559932656</v>
      </c>
      <c r="F45" s="2770">
        <f ca="1"/>
        <v>2551.5284655107748</v>
      </c>
      <c r="G45" s="2778" t="str">
        <f>CONCATENATE(Parametros!$H$11," / mes de media")</f>
        <v>€ / mes de media</v>
      </c>
      <c r="H45" s="2772"/>
    </row>
    <row r="46" spans="1:10" s="2769" customFormat="1" thickBot="1">
      <c r="A46" s="2775"/>
      <c r="B46" s="2774"/>
      <c r="C46" s="2774"/>
      <c r="D46" s="2774"/>
      <c r="E46" s="2774"/>
      <c r="F46" s="2774"/>
      <c r="G46" s="2779"/>
      <c r="H46" s="2775"/>
    </row>
    <row r="47" spans="1:10" s="2769" customFormat="1" ht="15">
      <c r="A47" s="2780" t="s">
        <v>1022</v>
      </c>
      <c r="B47" s="2766">
        <f t="array" ref="B47:F48" ca="1">'P. Equilibrio'!D27:H28</f>
        <v>24337.743055555558</v>
      </c>
      <c r="C47" s="2767">
        <f ca="1"/>
        <v>26392.407323232324</v>
      </c>
      <c r="D47" s="2766">
        <f ca="1"/>
        <v>32879.049866161615</v>
      </c>
      <c r="E47" s="2766">
        <f ca="1"/>
        <v>32905.284720530304</v>
      </c>
      <c r="F47" s="2766">
        <f ca="1"/>
        <v>33459.234488198745</v>
      </c>
      <c r="G47" s="2777" t="str">
        <f t="array" ref="G47:G48">G44:G45</f>
        <v>€ de venta al año</v>
      </c>
      <c r="H47" s="2768"/>
    </row>
    <row r="48" spans="1:10" s="2769" customFormat="1" thickBot="1">
      <c r="A48" s="2776" t="s">
        <v>226</v>
      </c>
      <c r="B48" s="2770">
        <f ca="1"/>
        <v>2028.1452546296298</v>
      </c>
      <c r="C48" s="2771">
        <f ca="1"/>
        <v>2199.3672769360269</v>
      </c>
      <c r="D48" s="2770">
        <f ca="1"/>
        <v>2739.9208221801346</v>
      </c>
      <c r="E48" s="2770">
        <f ca="1"/>
        <v>2742.1070600441922</v>
      </c>
      <c r="F48" s="2770">
        <f ca="1"/>
        <v>2788.2695406832286</v>
      </c>
      <c r="G48" s="2778" t="str">
        <v>€ / mes de media</v>
      </c>
      <c r="H48" s="2772"/>
    </row>
    <row r="51" spans="1:10">
      <c r="A51" s="2759" t="s">
        <v>1079</v>
      </c>
      <c r="B51" s="2760"/>
      <c r="C51" s="2760"/>
      <c r="D51" s="2760"/>
      <c r="E51" s="2760"/>
      <c r="F51" s="2760"/>
      <c r="G51" s="2760"/>
      <c r="H51" s="2760"/>
      <c r="I51" s="2760"/>
      <c r="J51" s="2760"/>
    </row>
    <row r="53" spans="1:10" ht="23.25" thickBot="1">
      <c r="A53" s="67" t="s">
        <v>404</v>
      </c>
      <c r="B53" s="67"/>
      <c r="C53" s="98"/>
      <c r="D53" s="98"/>
      <c r="E53" s="98"/>
      <c r="F53" s="98"/>
    </row>
    <row r="54" spans="1:10" ht="30.75" thickBot="1">
      <c r="A54" s="1765" t="s">
        <v>137</v>
      </c>
      <c r="B54" s="393" t="str">
        <f>+Parametros!B77</f>
        <v>Año 0:  2026</v>
      </c>
      <c r="C54" s="402" t="str">
        <f>+Parametros!C77</f>
        <v>Año 1:  2027</v>
      </c>
      <c r="D54" s="402" t="str">
        <f>+Parametros!D77</f>
        <v>Año 2:  2028</v>
      </c>
      <c r="E54" s="402" t="str">
        <f>+Parametros!E77</f>
        <v>Año 3:  2029</v>
      </c>
      <c r="F54" s="2736" t="str">
        <f>+Parametros!F77</f>
        <v>Año 4:  2030</v>
      </c>
    </row>
    <row r="55" spans="1:10">
      <c r="A55" s="70" t="str">
        <f t="array" ref="A55:A62">'Precios-CV'!$A$19:$A$26</f>
        <v>producto o servicio</v>
      </c>
      <c r="B55" s="3084">
        <f t="array" ref="B55:B62">'Precios-CV'!B7:B14</f>
        <v>3.5</v>
      </c>
      <c r="C55" s="3084">
        <f t="array" ref="C55:C62">'Precios-CV'!D7:D14</f>
        <v>3.5</v>
      </c>
      <c r="D55" s="3084">
        <f t="array" ref="D55:D62">'Precios-CV'!F7:F14</f>
        <v>3.5</v>
      </c>
      <c r="E55" s="3084">
        <f t="array" ref="E55:E62">'Precios-CV'!H7:H14</f>
        <v>3.5</v>
      </c>
      <c r="F55" s="3084">
        <f t="array" ref="F55:F62">'Precios-CV'!J7:J14</f>
        <v>3.5</v>
      </c>
    </row>
    <row r="56" spans="1:10">
      <c r="A56" s="1362" t="str">
        <v/>
      </c>
      <c r="B56" s="3085">
        <v>0</v>
      </c>
      <c r="C56" s="3085">
        <v>0</v>
      </c>
      <c r="D56" s="3085">
        <v>0</v>
      </c>
      <c r="E56" s="3085">
        <v>0</v>
      </c>
      <c r="F56" s="3085">
        <v>0</v>
      </c>
    </row>
    <row r="57" spans="1:10">
      <c r="A57" s="1362" t="str">
        <v/>
      </c>
      <c r="B57" s="3085">
        <v>0</v>
      </c>
      <c r="C57" s="3085">
        <v>0</v>
      </c>
      <c r="D57" s="3085">
        <v>0</v>
      </c>
      <c r="E57" s="3085">
        <v>0</v>
      </c>
      <c r="F57" s="3085">
        <v>0</v>
      </c>
    </row>
    <row r="58" spans="1:10">
      <c r="A58" s="1362" t="str">
        <v/>
      </c>
      <c r="B58" s="3085">
        <v>0</v>
      </c>
      <c r="C58" s="3085">
        <v>0</v>
      </c>
      <c r="D58" s="3085">
        <v>0</v>
      </c>
      <c r="E58" s="3085">
        <v>0</v>
      </c>
      <c r="F58" s="3085">
        <v>0</v>
      </c>
    </row>
    <row r="59" spans="1:10">
      <c r="A59" s="1362" t="str">
        <v/>
      </c>
      <c r="B59" s="3085">
        <v>0</v>
      </c>
      <c r="C59" s="3085">
        <v>0</v>
      </c>
      <c r="D59" s="3085">
        <v>0</v>
      </c>
      <c r="E59" s="3085">
        <v>0</v>
      </c>
      <c r="F59" s="3085">
        <v>0</v>
      </c>
    </row>
    <row r="60" spans="1:10">
      <c r="A60" s="1362" t="str">
        <v/>
      </c>
      <c r="B60" s="3085">
        <v>0</v>
      </c>
      <c r="C60" s="3085">
        <v>0</v>
      </c>
      <c r="D60" s="3085">
        <v>0</v>
      </c>
      <c r="E60" s="3085">
        <v>0</v>
      </c>
      <c r="F60" s="3085">
        <v>0</v>
      </c>
    </row>
    <row r="61" spans="1:10">
      <c r="A61" s="1362" t="str">
        <v/>
      </c>
      <c r="B61" s="3085">
        <v>0</v>
      </c>
      <c r="C61" s="3085">
        <v>0</v>
      </c>
      <c r="D61" s="3085">
        <v>0</v>
      </c>
      <c r="E61" s="3085">
        <v>0</v>
      </c>
      <c r="F61" s="3085">
        <v>0</v>
      </c>
    </row>
    <row r="62" spans="1:10" ht="16.5" thickBot="1">
      <c r="A62" s="71" t="str">
        <v/>
      </c>
      <c r="B62" s="3086">
        <v>0</v>
      </c>
      <c r="C62" s="3086">
        <v>0</v>
      </c>
      <c r="D62" s="3086">
        <v>0</v>
      </c>
      <c r="E62" s="3086">
        <v>0</v>
      </c>
      <c r="F62" s="3086">
        <v>0</v>
      </c>
    </row>
    <row r="66" spans="1:10">
      <c r="A66" s="2759" t="s">
        <v>1080</v>
      </c>
      <c r="B66" s="2760"/>
      <c r="C66" s="2760"/>
      <c r="D66" s="2760"/>
      <c r="E66" s="2760"/>
      <c r="F66" s="2760"/>
      <c r="G66" s="2760"/>
      <c r="H66" s="2760"/>
      <c r="I66" s="2760"/>
      <c r="J66" s="2760"/>
    </row>
    <row r="68" spans="1:10" ht="16.5" thickBot="1"/>
    <row r="69" spans="1:10" ht="36">
      <c r="A69" s="2108" t="s">
        <v>932</v>
      </c>
      <c r="B69" s="2106" t="str">
        <f t="array" ref="B69:F69">anni</f>
        <v>Año 0:  2026</v>
      </c>
      <c r="C69" s="2106" t="str">
        <v>Año 1:  2027</v>
      </c>
      <c r="D69" s="2106" t="str">
        <v>Año 2:  2028</v>
      </c>
      <c r="E69" s="2106" t="str">
        <v>Año 3:  2029</v>
      </c>
      <c r="F69" s="2107" t="str">
        <v>Año 4:  2030</v>
      </c>
    </row>
    <row r="70" spans="1:10">
      <c r="A70" s="906" t="str">
        <f>CONCATENATE("Ventas Previstas ( ",Parametros!$H$11," )")</f>
        <v>Ventas Previstas ( € )</v>
      </c>
      <c r="B70" s="901">
        <f t="array" ref="B70:F76" ca="1">'Datos Evaluación'!B39:F45</f>
        <v>27482.95454545454</v>
      </c>
      <c r="C70" s="901">
        <f ca="1"/>
        <v>38675</v>
      </c>
      <c r="D70" s="901">
        <f ca="1"/>
        <v>39835.25</v>
      </c>
      <c r="E70" s="901">
        <f ca="1"/>
        <v>41030.307500000003</v>
      </c>
      <c r="F70" s="903">
        <f ca="1"/>
        <v>42261.216725000006</v>
      </c>
    </row>
    <row r="71" spans="1:10">
      <c r="A71" s="906" t="str">
        <f>CONCATENATE("Gastos de Explotación ( ",Parametros!$H$11," )")</f>
        <v>Gastos de Explotación ( € )</v>
      </c>
      <c r="B71" s="901">
        <f ca="1"/>
        <v>22989.545454545456</v>
      </c>
      <c r="C71" s="901">
        <f ca="1"/>
        <v>25280.82909090909</v>
      </c>
      <c r="D71" s="901">
        <f ca="1"/>
        <v>31164.637254545454</v>
      </c>
      <c r="E71" s="901">
        <f ca="1"/>
        <v>31235.453394727272</v>
      </c>
      <c r="F71" s="903">
        <f ca="1"/>
        <v>31782.629100016373</v>
      </c>
    </row>
    <row r="72" spans="1:10">
      <c r="A72" s="906" t="str">
        <f>CONCATENATE("Resultados financieros ( ",Parametros!$H$11," )")</f>
        <v>Resultados financieros ( € )</v>
      </c>
      <c r="B72" s="2733">
        <f ca="1"/>
        <v>-1662.71875</v>
      </c>
      <c r="C72" s="2733">
        <f ca="1"/>
        <v>-2339.8375000000001</v>
      </c>
      <c r="D72" s="2733">
        <f ca="1"/>
        <v>-2410.0326249999998</v>
      </c>
      <c r="E72" s="2733">
        <f ca="1"/>
        <v>-2482.3336037499998</v>
      </c>
      <c r="F72" s="2733">
        <f ca="1"/>
        <v>-2556.8036118625</v>
      </c>
    </row>
    <row r="73" spans="1:10">
      <c r="A73" s="906" t="str">
        <f>CONCATENATE("EBITDA ( ",Parametros!$H$11," )")</f>
        <v>EBITDA ( € )</v>
      </c>
      <c r="B73" s="1809">
        <f ca="1"/>
        <v>4493.4090909090883</v>
      </c>
      <c r="C73" s="1809">
        <f ca="1"/>
        <v>13394.17090909091</v>
      </c>
      <c r="D73" s="1809">
        <f ca="1"/>
        <v>8670.6127454545458</v>
      </c>
      <c r="E73" s="1809">
        <f ca="1"/>
        <v>9794.8541052727342</v>
      </c>
      <c r="F73" s="1810">
        <f ca="1"/>
        <v>10478.587624983636</v>
      </c>
    </row>
    <row r="74" spans="1:10">
      <c r="A74" s="906" t="str">
        <f>CONCATENATE("Beneficios Netos previstos ( ",Parametros!$H$11," )")</f>
        <v>Beneficios Netos previstos ( € )</v>
      </c>
      <c r="B74" s="1809">
        <f ca="1"/>
        <v>-529.51246136363579</v>
      </c>
      <c r="C74" s="1809">
        <f ca="1"/>
        <v>5011.0376863636375</v>
      </c>
      <c r="D74" s="1809">
        <f ca="1"/>
        <v>1430.7703843181844</v>
      </c>
      <c r="E74" s="1809">
        <f ca="1"/>
        <v>1933.5030510659053</v>
      </c>
      <c r="F74" s="1810">
        <f ca="1"/>
        <v>2117.0168851847939</v>
      </c>
    </row>
    <row r="75" spans="1:10">
      <c r="A75" s="906" t="str">
        <f>CONCATENATE("Flujos de caja previstos ( ",Parametros!$H$11," )")</f>
        <v>Flujos de caja previstos ( € )</v>
      </c>
      <c r="B75" s="2679">
        <f ca="1"/>
        <v>1853.1922159090882</v>
      </c>
      <c r="C75" s="2679">
        <f ca="1"/>
        <v>6429.6983181818214</v>
      </c>
      <c r="D75" s="2679">
        <f ca="1"/>
        <v>956.69395618181989</v>
      </c>
      <c r="E75" s="2679">
        <f ca="1"/>
        <v>2232.7710694290854</v>
      </c>
      <c r="F75" s="2680">
        <f ca="1"/>
        <v>2378.613313016258</v>
      </c>
    </row>
    <row r="76" spans="1:10">
      <c r="A76" s="906" t="str">
        <f>CONCATENATE("Variación N.O.F. ( ",Parametros!$H$11," )")</f>
        <v>Variación N.O.F. ( € )</v>
      </c>
      <c r="B76" s="2679">
        <f ca="1"/>
        <v>0</v>
      </c>
      <c r="C76" s="2679">
        <f ca="1"/>
        <v>0</v>
      </c>
      <c r="D76" s="2679">
        <f ca="1"/>
        <v>0</v>
      </c>
      <c r="E76" s="2679">
        <f ca="1"/>
        <v>0</v>
      </c>
      <c r="F76" s="2680">
        <f ca="1"/>
        <v>0</v>
      </c>
    </row>
    <row r="77" spans="1:10">
      <c r="A77" s="906"/>
      <c r="B77" s="904"/>
      <c r="C77" s="904"/>
      <c r="D77" s="904"/>
      <c r="E77" s="904"/>
      <c r="F77" s="905"/>
    </row>
    <row r="78" spans="1:10">
      <c r="A78" s="906" t="s">
        <v>150</v>
      </c>
      <c r="B78" s="1505">
        <f t="array" ref="B78:F82">'Datos Evaluación'!B47:F51</f>
        <v>1</v>
      </c>
      <c r="C78" s="1505">
        <v>1</v>
      </c>
      <c r="D78" s="1505">
        <v>1</v>
      </c>
      <c r="E78" s="1505">
        <v>1</v>
      </c>
      <c r="F78" s="1506">
        <v>1</v>
      </c>
    </row>
    <row r="79" spans="1:10">
      <c r="A79" s="906" t="s">
        <v>267</v>
      </c>
      <c r="B79" s="1508">
        <f ca="1"/>
        <v>0.89999999999999991</v>
      </c>
      <c r="C79" s="1508">
        <f ca="1"/>
        <v>0.9</v>
      </c>
      <c r="D79" s="1508">
        <f ca="1"/>
        <v>0.89999999999999991</v>
      </c>
      <c r="E79" s="1508">
        <f ca="1"/>
        <v>0.9</v>
      </c>
      <c r="F79" s="1509">
        <f ca="1"/>
        <v>0.9</v>
      </c>
    </row>
    <row r="80" spans="1:10">
      <c r="A80" s="906" t="s">
        <v>484</v>
      </c>
      <c r="B80" s="1508">
        <f ca="1"/>
        <v>1.1458023149841698</v>
      </c>
      <c r="C80" s="1508">
        <f ca="1"/>
        <v>1.4775507769661913</v>
      </c>
      <c r="D80" s="1508">
        <f ca="1"/>
        <v>0.70246549204548869</v>
      </c>
      <c r="E80" s="1510">
        <f ca="1"/>
        <v>0.67422609717371973</v>
      </c>
      <c r="F80" s="1511">
        <f ca="1"/>
        <v>0.61111600217354489</v>
      </c>
    </row>
    <row r="81" spans="1:10">
      <c r="A81" s="906" t="s">
        <v>1115</v>
      </c>
      <c r="B81" s="1508">
        <f ca="1"/>
        <v>0.50019907662508389</v>
      </c>
      <c r="C81" s="1508">
        <f ca="1"/>
        <v>0.97974303443701583</v>
      </c>
      <c r="D81" s="1508">
        <f ca="1"/>
        <v>0.4986264934439722</v>
      </c>
      <c r="E81" s="1510">
        <f ca="1"/>
        <v>0.50067401294656289</v>
      </c>
      <c r="F81" s="1511">
        <f ca="1"/>
        <v>0.47010851856397423</v>
      </c>
    </row>
    <row r="82" spans="1:10" ht="16.5" thickBot="1">
      <c r="A82" s="907" t="s">
        <v>147</v>
      </c>
      <c r="B82" s="1512">
        <f ca="1"/>
        <v>1.2219926679878508</v>
      </c>
      <c r="C82" s="1512">
        <f ca="1"/>
        <v>1.6255062373639664</v>
      </c>
      <c r="D82" s="1512">
        <f ca="1"/>
        <v>1.3189940376337828</v>
      </c>
      <c r="E82" s="1512">
        <f ca="1"/>
        <v>1.3610018255106386</v>
      </c>
      <c r="F82" s="1513">
        <f ca="1"/>
        <v>1.3802581895599844</v>
      </c>
    </row>
    <row r="85" spans="1:10">
      <c r="A85" s="2759" t="s">
        <v>1081</v>
      </c>
      <c r="B85" s="2760"/>
      <c r="C85" s="2760"/>
      <c r="D85" s="2760"/>
      <c r="E85" s="2760"/>
      <c r="F85" s="2760"/>
      <c r="G85" s="2760"/>
      <c r="H85" s="2760"/>
      <c r="I85" s="2760"/>
      <c r="J85" s="2760"/>
    </row>
    <row r="86" spans="1:10" ht="16.5" thickBot="1"/>
    <row r="87" spans="1:10" ht="29.25" thickBot="1">
      <c r="A87" s="16" t="s">
        <v>933</v>
      </c>
      <c r="B87" s="2155" t="str">
        <f t="array" ref="B87:F87">anni</f>
        <v>Año 0:  2026</v>
      </c>
      <c r="C87" s="2156" t="str">
        <v>Año 1:  2027</v>
      </c>
      <c r="D87" s="2155" t="str">
        <v>Año 2:  2028</v>
      </c>
      <c r="E87" s="2156" t="str">
        <v>Año 3:  2029</v>
      </c>
      <c r="F87" s="2155" t="str">
        <v>Año 4:  2030</v>
      </c>
    </row>
    <row r="88" spans="1:10">
      <c r="A88" s="244" t="str">
        <f t="array" ref="A88:A95">catlaborales</f>
        <v>Socios/as gestores/as</v>
      </c>
      <c r="B88" s="2661">
        <f t="array" ref="B88:F95">'Resumen Gastos Fijos'!B5:F12</f>
        <v>18000</v>
      </c>
      <c r="C88" s="2662">
        <v>18720</v>
      </c>
      <c r="D88" s="2661">
        <v>19468.8</v>
      </c>
      <c r="E88" s="2662">
        <v>20247.551999999996</v>
      </c>
      <c r="F88" s="2661">
        <v>21057.454080000007</v>
      </c>
    </row>
    <row r="89" spans="1:10">
      <c r="A89" s="244" t="str">
        <v>Otros personas en RETA</v>
      </c>
      <c r="B89" s="2661">
        <v>0</v>
      </c>
      <c r="C89" s="2662">
        <v>0</v>
      </c>
      <c r="D89" s="2661">
        <v>0</v>
      </c>
      <c r="E89" s="2662">
        <v>0</v>
      </c>
      <c r="F89" s="2661">
        <v>0</v>
      </c>
    </row>
    <row r="90" spans="1:10">
      <c r="A90" s="244" t="str">
        <v>empleado</v>
      </c>
      <c r="B90" s="2661">
        <v>0</v>
      </c>
      <c r="C90" s="2662">
        <v>0</v>
      </c>
      <c r="D90" s="2661">
        <v>0</v>
      </c>
      <c r="E90" s="2662">
        <v>0</v>
      </c>
      <c r="F90" s="2661">
        <v>0</v>
      </c>
    </row>
    <row r="91" spans="1:10">
      <c r="A91" s="244" t="str">
        <v>encargado</v>
      </c>
      <c r="B91" s="2661">
        <v>0</v>
      </c>
      <c r="C91" s="2662">
        <v>0</v>
      </c>
      <c r="D91" s="2661">
        <v>0</v>
      </c>
      <c r="E91" s="2662">
        <v>0</v>
      </c>
      <c r="F91" s="2661">
        <v>0</v>
      </c>
    </row>
    <row r="92" spans="1:10">
      <c r="A92" s="245" t="str">
        <v/>
      </c>
      <c r="B92" s="2661">
        <v>0</v>
      </c>
      <c r="C92" s="2662">
        <v>0</v>
      </c>
      <c r="D92" s="2661">
        <v>0</v>
      </c>
      <c r="E92" s="2662">
        <v>0</v>
      </c>
      <c r="F92" s="2661">
        <v>0</v>
      </c>
    </row>
    <row r="93" spans="1:10">
      <c r="A93" s="244" t="str">
        <v/>
      </c>
      <c r="B93" s="2661">
        <v>0</v>
      </c>
      <c r="C93" s="2662">
        <v>0</v>
      </c>
      <c r="D93" s="2661">
        <v>0</v>
      </c>
      <c r="E93" s="2662">
        <v>0</v>
      </c>
      <c r="F93" s="2661">
        <v>0</v>
      </c>
    </row>
    <row r="94" spans="1:10">
      <c r="A94" s="244" t="str">
        <v/>
      </c>
      <c r="B94" s="2661">
        <v>0</v>
      </c>
      <c r="C94" s="2662">
        <v>0</v>
      </c>
      <c r="D94" s="2661">
        <v>0</v>
      </c>
      <c r="E94" s="2662">
        <v>0</v>
      </c>
      <c r="F94" s="2661">
        <v>0</v>
      </c>
    </row>
    <row r="95" spans="1:10" ht="16.5" thickBot="1">
      <c r="A95" s="244" t="str">
        <v/>
      </c>
      <c r="B95" s="2661">
        <v>0</v>
      </c>
      <c r="C95" s="2662">
        <v>0</v>
      </c>
      <c r="D95" s="2661">
        <v>0</v>
      </c>
      <c r="E95" s="2662">
        <v>0</v>
      </c>
      <c r="F95" s="2661">
        <v>0</v>
      </c>
    </row>
    <row r="96" spans="1:10" ht="16.5" thickBot="1">
      <c r="A96" s="2781" t="s">
        <v>383</v>
      </c>
      <c r="B96" s="2782">
        <f>SUM(B88:B92)</f>
        <v>18000</v>
      </c>
      <c r="C96" s="2783">
        <f>SUM(C88:C92)</f>
        <v>18720</v>
      </c>
      <c r="D96" s="2782">
        <f>SUM(D88:D92)</f>
        <v>19468.8</v>
      </c>
      <c r="E96" s="2783">
        <f>SUM(E88:E92)</f>
        <v>20247.551999999996</v>
      </c>
      <c r="F96" s="2782">
        <f>SUM(F88:F92)</f>
        <v>21057.454080000007</v>
      </c>
    </row>
    <row r="97" spans="1:6" ht="16.5" thickBot="1">
      <c r="A97" s="249"/>
      <c r="B97" s="255"/>
      <c r="C97" s="255"/>
      <c r="D97" s="255"/>
      <c r="E97" s="255"/>
      <c r="F97" s="1797"/>
    </row>
    <row r="98" spans="1:6" ht="29.25" thickBot="1">
      <c r="A98" s="16" t="s">
        <v>390</v>
      </c>
      <c r="B98" s="2155" t="str">
        <f t="array" ref="B98:F98">anni</f>
        <v>Año 0:  2026</v>
      </c>
      <c r="C98" s="2156" t="str">
        <v>Año 1:  2027</v>
      </c>
      <c r="D98" s="2155" t="str">
        <v>Año 2:  2028</v>
      </c>
      <c r="E98" s="2156" t="str">
        <v>Año 3:  2029</v>
      </c>
      <c r="F98" s="2155" t="str">
        <v>Año 4:  2030</v>
      </c>
    </row>
    <row r="99" spans="1:6">
      <c r="A99" s="244" t="s">
        <v>156</v>
      </c>
      <c r="B99" s="3089">
        <f t="array" ref="B99:F100">'Resumen Gastos Fijos'!B16:F17</f>
        <v>1032</v>
      </c>
      <c r="C99" s="3090">
        <v>1032</v>
      </c>
      <c r="D99" s="3089">
        <f ca="1"/>
        <v>4680</v>
      </c>
      <c r="E99" s="3090">
        <f ca="1"/>
        <v>4680</v>
      </c>
      <c r="F99" s="3089">
        <f ca="1"/>
        <v>4680</v>
      </c>
    </row>
    <row r="100" spans="1:6" ht="16.5" thickBot="1">
      <c r="A100" s="247" t="s">
        <v>81</v>
      </c>
      <c r="B100" s="3091">
        <v>0</v>
      </c>
      <c r="C100" s="3092">
        <v>0</v>
      </c>
      <c r="D100" s="3091">
        <v>0</v>
      </c>
      <c r="E100" s="3092">
        <v>0</v>
      </c>
      <c r="F100" s="3091">
        <v>0</v>
      </c>
    </row>
    <row r="101" spans="1:6" ht="16.5" thickBot="1">
      <c r="A101" s="2781" t="s">
        <v>384</v>
      </c>
      <c r="B101" s="2782">
        <f>SUM(B99:B100)</f>
        <v>1032</v>
      </c>
      <c r="C101" s="2783">
        <f>SUM(C99:C100)</f>
        <v>1032</v>
      </c>
      <c r="D101" s="2782">
        <f ca="1">SUM(D99:D100)</f>
        <v>4680</v>
      </c>
      <c r="E101" s="2783">
        <f ca="1">SUM(E99:E100)</f>
        <v>4680</v>
      </c>
      <c r="F101" s="2782">
        <f ca="1">SUM(F99:F100)</f>
        <v>4680</v>
      </c>
    </row>
    <row r="102" spans="1:6" ht="16.5" thickBot="1"/>
    <row r="103" spans="1:6" ht="16.5" thickBot="1">
      <c r="A103" s="2781" t="s">
        <v>1082</v>
      </c>
      <c r="B103" s="3087">
        <f t="array" ref="B103:F103">'Resumen Gastos Fijos'!B23:F23</f>
        <v>0</v>
      </c>
      <c r="C103" s="3088">
        <v>0</v>
      </c>
      <c r="D103" s="3087">
        <v>0</v>
      </c>
      <c r="E103" s="3088">
        <v>0</v>
      </c>
      <c r="F103" s="3087">
        <v>0</v>
      </c>
    </row>
    <row r="104" spans="1:6" ht="16.5" thickBot="1"/>
    <row r="105" spans="1:6" ht="16.5" thickBot="1">
      <c r="A105" s="143" t="s">
        <v>152</v>
      </c>
      <c r="B105" s="426">
        <f t="array" ref="B105:F105">'Resumen Gastos Fijos'!B25:F25</f>
        <v>19032</v>
      </c>
      <c r="C105" s="426">
        <v>19752</v>
      </c>
      <c r="D105" s="426">
        <f ca="1"/>
        <v>24148.799999999999</v>
      </c>
      <c r="E105" s="426">
        <f ca="1"/>
        <v>24927.551999999996</v>
      </c>
      <c r="F105" s="426">
        <f ca="1"/>
        <v>25737.454080000007</v>
      </c>
    </row>
    <row r="107" spans="1:6" ht="16.5" thickBot="1"/>
    <row r="108" spans="1:6" ht="29.25" thickBot="1">
      <c r="A108" s="2154" t="s">
        <v>90</v>
      </c>
      <c r="B108" s="2155" t="str">
        <f t="array" ref="B108:F108">anni</f>
        <v>Año 0:  2026</v>
      </c>
      <c r="C108" s="2156" t="str">
        <v>Año 1:  2027</v>
      </c>
      <c r="D108" s="2155" t="str">
        <v>Año 2:  2028</v>
      </c>
      <c r="E108" s="2156" t="str">
        <v>Año 3:  2029</v>
      </c>
      <c r="F108" s="2155" t="str">
        <v>Año 4:  2030</v>
      </c>
    </row>
    <row r="109" spans="1:6">
      <c r="A109" s="244" t="str">
        <f t="array" ref="A109:F127">'Resumen Gastos Fijos'!A29:F48</f>
        <v>Tributos: IAE, IBI, ...</v>
      </c>
      <c r="B109" s="2663">
        <v>0</v>
      </c>
      <c r="C109" s="2664">
        <v>0</v>
      </c>
      <c r="D109" s="2663">
        <v>0</v>
      </c>
      <c r="E109" s="2664">
        <v>0</v>
      </c>
      <c r="F109" s="2663">
        <v>0</v>
      </c>
    </row>
    <row r="110" spans="1:6">
      <c r="A110" s="244" t="str">
        <v>Otras gastos fijos ( SIN IVA )</v>
      </c>
      <c r="B110" s="2661">
        <v>0</v>
      </c>
      <c r="C110" s="2662">
        <v>0</v>
      </c>
      <c r="D110" s="2661">
        <v>0</v>
      </c>
      <c r="E110" s="2662">
        <v>0</v>
      </c>
      <c r="F110" s="2661">
        <v>0</v>
      </c>
    </row>
    <row r="111" spans="1:6">
      <c r="A111" s="244" t="str">
        <v>Primas de Seguros</v>
      </c>
      <c r="B111" s="2661">
        <v>0</v>
      </c>
      <c r="C111" s="2662">
        <v>0</v>
      </c>
      <c r="D111" s="2661">
        <v>0</v>
      </c>
      <c r="E111" s="2662">
        <v>0</v>
      </c>
      <c r="F111" s="2661">
        <v>0</v>
      </c>
    </row>
    <row r="112" spans="1:6">
      <c r="A112" s="244" t="str">
        <v>Colegio / asociación profesional</v>
      </c>
      <c r="B112" s="2661">
        <v>0</v>
      </c>
      <c r="C112" s="2662">
        <v>0</v>
      </c>
      <c r="D112" s="2661">
        <v>0</v>
      </c>
      <c r="E112" s="2662">
        <v>0</v>
      </c>
      <c r="F112" s="2661">
        <v>0</v>
      </c>
    </row>
    <row r="113" spans="1:6">
      <c r="A113" s="244" t="str">
        <v>Suministro de Electricidad</v>
      </c>
      <c r="B113" s="2661">
        <v>0</v>
      </c>
      <c r="C113" s="2662">
        <v>0</v>
      </c>
      <c r="D113" s="2661">
        <v>0</v>
      </c>
      <c r="E113" s="2662">
        <v>0</v>
      </c>
      <c r="F113" s="2661">
        <v>0</v>
      </c>
    </row>
    <row r="114" spans="1:6">
      <c r="A114" s="244" t="str">
        <v>Cuotas periódicas de software</v>
      </c>
      <c r="B114" s="2661">
        <v>0</v>
      </c>
      <c r="C114" s="2662">
        <v>0</v>
      </c>
      <c r="D114" s="2661">
        <v>0</v>
      </c>
      <c r="E114" s="2662">
        <v>0</v>
      </c>
      <c r="F114" s="2661">
        <v>0</v>
      </c>
    </row>
    <row r="115" spans="1:6">
      <c r="A115" s="244" t="str">
        <v>Agua, saneamiento y basura</v>
      </c>
      <c r="B115" s="2661">
        <v>0</v>
      </c>
      <c r="C115" s="2662">
        <v>0</v>
      </c>
      <c r="D115" s="2661">
        <v>0</v>
      </c>
      <c r="E115" s="2662">
        <v>0</v>
      </c>
      <c r="F115" s="2661">
        <v>0</v>
      </c>
    </row>
    <row r="116" spans="1:6">
      <c r="A116" s="244" t="str">
        <v>Otros suministros (gas, etc.)</v>
      </c>
      <c r="B116" s="2661">
        <v>0</v>
      </c>
      <c r="C116" s="2662">
        <v>0</v>
      </c>
      <c r="D116" s="2661">
        <v>0</v>
      </c>
      <c r="E116" s="2662">
        <v>0</v>
      </c>
      <c r="F116" s="2661">
        <v>0</v>
      </c>
    </row>
    <row r="117" spans="1:6">
      <c r="A117" s="244" t="str">
        <v>Telefonía / Internet / Comunicaciones</v>
      </c>
      <c r="B117" s="2661">
        <v>0</v>
      </c>
      <c r="C117" s="2662">
        <v>0</v>
      </c>
      <c r="D117" s="2661">
        <v>0</v>
      </c>
      <c r="E117" s="2662">
        <v>0</v>
      </c>
      <c r="F117" s="2661">
        <v>0</v>
      </c>
    </row>
    <row r="118" spans="1:6">
      <c r="A118" s="244" t="str">
        <v>Alojamiento y servicios web</v>
      </c>
      <c r="B118" s="2661">
        <v>0</v>
      </c>
      <c r="C118" s="2662">
        <v>0</v>
      </c>
      <c r="D118" s="2661">
        <v>0</v>
      </c>
      <c r="E118" s="2662">
        <v>0</v>
      </c>
      <c r="F118" s="2661">
        <v>0</v>
      </c>
    </row>
    <row r="119" spans="1:6">
      <c r="A119" s="244" t="str">
        <v>Alarma / Compañía de seguridad</v>
      </c>
      <c r="B119" s="2661">
        <v>0</v>
      </c>
      <c r="C119" s="2662">
        <v>0</v>
      </c>
      <c r="D119" s="2661">
        <v>0</v>
      </c>
      <c r="E119" s="2662">
        <v>0</v>
      </c>
      <c r="F119" s="2661">
        <v>0</v>
      </c>
    </row>
    <row r="120" spans="1:6">
      <c r="A120" s="244" t="str">
        <v>Material de oficina / papelería</v>
      </c>
      <c r="B120" s="2661">
        <v>0</v>
      </c>
      <c r="C120" s="2662">
        <v>0</v>
      </c>
      <c r="D120" s="2661">
        <v>0</v>
      </c>
      <c r="E120" s="2662">
        <v>0</v>
      </c>
      <c r="F120" s="2661">
        <v>0</v>
      </c>
    </row>
    <row r="121" spans="1:6">
      <c r="A121" s="244" t="str">
        <v>Congresos / Ferias / Viajes</v>
      </c>
      <c r="B121" s="2661">
        <v>0</v>
      </c>
      <c r="C121" s="2662">
        <v>0</v>
      </c>
      <c r="D121" s="2661">
        <v>0</v>
      </c>
      <c r="E121" s="2662">
        <v>0</v>
      </c>
      <c r="F121" s="2661">
        <v>0</v>
      </c>
    </row>
    <row r="122" spans="1:6">
      <c r="A122" s="1749" t="str">
        <v>Transporte y desplazamientos</v>
      </c>
      <c r="B122" s="2661">
        <v>0</v>
      </c>
      <c r="C122" s="2662">
        <v>0</v>
      </c>
      <c r="D122" s="2661">
        <v>0</v>
      </c>
      <c r="E122" s="2662">
        <v>0</v>
      </c>
      <c r="F122" s="2661">
        <v>0</v>
      </c>
    </row>
    <row r="123" spans="1:6">
      <c r="A123" s="1749" t="str">
        <v>Asesoría y profesionales independientes</v>
      </c>
      <c r="B123" s="2661">
        <v>0</v>
      </c>
      <c r="C123" s="2662">
        <v>0</v>
      </c>
      <c r="D123" s="2661">
        <v>0</v>
      </c>
      <c r="E123" s="2662">
        <v>0</v>
      </c>
      <c r="F123" s="2661">
        <v>0</v>
      </c>
    </row>
    <row r="124" spans="1:6">
      <c r="A124" s="1749" t="str">
        <v>Arrendamientos / alquileres</v>
      </c>
      <c r="B124" s="2661">
        <v>0</v>
      </c>
      <c r="C124" s="2662">
        <v>0</v>
      </c>
      <c r="D124" s="2661">
        <v>0</v>
      </c>
      <c r="E124" s="2662">
        <v>0</v>
      </c>
      <c r="F124" s="2661">
        <v>0</v>
      </c>
    </row>
    <row r="125" spans="1:6">
      <c r="A125" s="244" t="str">
        <v>Gastos Marketing online variables</v>
      </c>
      <c r="B125" s="2661">
        <f ca="1"/>
        <v>549.65909090909088</v>
      </c>
      <c r="C125" s="2662">
        <f ca="1"/>
        <v>773.50000000000034</v>
      </c>
      <c r="D125" s="2661">
        <f ca="1"/>
        <v>796.70499999999959</v>
      </c>
      <c r="E125" s="2662">
        <f ca="1"/>
        <v>820.60615000000018</v>
      </c>
      <c r="F125" s="2661">
        <f ca="1"/>
        <v>845.22433450000017</v>
      </c>
    </row>
    <row r="126" spans="1:6">
      <c r="A126" s="244" t="str">
        <v>Gastos Marketing online fijos</v>
      </c>
      <c r="B126" s="2661">
        <v>0</v>
      </c>
      <c r="C126" s="2662">
        <v>0</v>
      </c>
      <c r="D126" s="2661">
        <v>0</v>
      </c>
      <c r="E126" s="2662">
        <v>0</v>
      </c>
      <c r="F126" s="2661">
        <v>0</v>
      </c>
    </row>
    <row r="127" spans="1:6" ht="16.5" thickBot="1">
      <c r="A127" s="244" t="str">
        <v>Gastos Marketing off-line variables</v>
      </c>
      <c r="B127" s="2661">
        <f ca="1"/>
        <v>549.65909090909088</v>
      </c>
      <c r="C127" s="2662">
        <f ca="1"/>
        <v>773.50000000000034</v>
      </c>
      <c r="D127" s="2661">
        <f ca="1"/>
        <v>796.70499999999959</v>
      </c>
      <c r="E127" s="2662">
        <f ca="1"/>
        <v>820.60615000000018</v>
      </c>
      <c r="F127" s="2661">
        <f ca="1"/>
        <v>845.22433450000017</v>
      </c>
    </row>
    <row r="128" spans="1:6" ht="16.5" thickBot="1">
      <c r="A128" s="256" t="s">
        <v>153</v>
      </c>
      <c r="B128" s="426">
        <f ca="1">SUM(B109:B127)</f>
        <v>1099.3181818181818</v>
      </c>
      <c r="C128" s="1796">
        <f ca="1">SUM(C109:C127)</f>
        <v>1547.0000000000007</v>
      </c>
      <c r="D128" s="426">
        <f ca="1">SUM(D109:D127)</f>
        <v>1593.4099999999992</v>
      </c>
      <c r="E128" s="1796">
        <f ca="1">SUM(E109:E127)</f>
        <v>1641.2123000000004</v>
      </c>
      <c r="F128" s="426">
        <f ca="1">SUM(F109:F127)</f>
        <v>1690.4486690000003</v>
      </c>
    </row>
    <row r="129" spans="1:10" ht="16.5" thickBot="1">
      <c r="A129" s="1802"/>
      <c r="B129" s="35"/>
      <c r="C129" s="35"/>
      <c r="D129" s="35"/>
      <c r="E129" s="35"/>
      <c r="F129" s="35"/>
    </row>
    <row r="130" spans="1:10" ht="16.5" thickBot="1">
      <c r="A130" s="143" t="s">
        <v>319</v>
      </c>
      <c r="B130" s="426">
        <f t="array" ref="B130:F130" ca="1">B105:F105+B128:F128</f>
        <v>20131.31818181818</v>
      </c>
      <c r="C130" s="426">
        <f ca="1"/>
        <v>21299</v>
      </c>
      <c r="D130" s="426">
        <f ca="1"/>
        <v>25742.21</v>
      </c>
      <c r="E130" s="426">
        <f ca="1"/>
        <v>26568.764299999995</v>
      </c>
      <c r="F130" s="426">
        <f ca="1"/>
        <v>27427.902749000008</v>
      </c>
    </row>
    <row r="133" spans="1:10">
      <c r="A133" s="2759" t="s">
        <v>1083</v>
      </c>
      <c r="B133" s="2760"/>
      <c r="C133" s="2760"/>
      <c r="D133" s="2760"/>
      <c r="E133" s="2760"/>
      <c r="F133" s="2760"/>
      <c r="G133" s="2760"/>
      <c r="H133" s="2760"/>
      <c r="I133" s="2760"/>
      <c r="J133" s="2760"/>
    </row>
    <row r="135" spans="1:10" ht="23.25" thickBot="1">
      <c r="A135" s="2784" t="s">
        <v>900</v>
      </c>
      <c r="B135" s="60"/>
      <c r="C135" s="61"/>
      <c r="D135" s="61"/>
      <c r="E135" s="61"/>
      <c r="F135" s="61"/>
      <c r="G135" s="61"/>
      <c r="H135" s="61"/>
      <c r="I135" s="941"/>
      <c r="J135" s="61"/>
    </row>
    <row r="136" spans="1:10">
      <c r="A136" s="2080" t="s">
        <v>326</v>
      </c>
      <c r="B136" s="2071" t="str">
        <f>B$9</f>
        <v>Año 0:  2026</v>
      </c>
      <c r="C136" s="2071" t="str">
        <f>C$9</f>
        <v>Año 1:  2027</v>
      </c>
      <c r="D136" s="2072"/>
      <c r="E136" s="2073" t="str">
        <f>E$9</f>
        <v>Año 2:  2028</v>
      </c>
      <c r="F136" s="2074"/>
      <c r="G136" s="2071" t="str">
        <f>G$9</f>
        <v>Año 3:  2029</v>
      </c>
      <c r="H136" s="2072"/>
      <c r="I136" s="2073" t="str">
        <f>I$9</f>
        <v>Año 4:  2030</v>
      </c>
      <c r="J136" s="2075"/>
    </row>
    <row r="137" spans="1:10" ht="16.5" thickBot="1">
      <c r="A137" s="2081" t="str">
        <f>"( "&amp;Moneda&amp;" )"</f>
        <v>( Euros )</v>
      </c>
      <c r="B137" s="947" t="s">
        <v>325</v>
      </c>
      <c r="C137" s="948" t="s">
        <v>325</v>
      </c>
      <c r="D137" s="949" t="s">
        <v>324</v>
      </c>
      <c r="E137" s="950" t="s">
        <v>325</v>
      </c>
      <c r="F137" s="951" t="s">
        <v>324</v>
      </c>
      <c r="G137" s="948" t="s">
        <v>325</v>
      </c>
      <c r="H137" s="949" t="s">
        <v>324</v>
      </c>
      <c r="I137" s="950" t="s">
        <v>325</v>
      </c>
      <c r="J137" s="2077" t="s">
        <v>324</v>
      </c>
    </row>
    <row r="138" spans="1:10">
      <c r="A138" s="2078" t="str">
        <f t="array" ref="A138:A145">productos</f>
        <v>producto o servicio</v>
      </c>
      <c r="B138" s="2632">
        <f t="array" aca="1" ref="B138:J146" ca="1">'Resumen Ventas 5 años'!B34:J42</f>
        <v>2748.295454545455</v>
      </c>
      <c r="C138" s="2620">
        <f ca="1"/>
        <v>3867.5</v>
      </c>
      <c r="D138" s="943">
        <f ca="1"/>
        <v>0.40723589001447158</v>
      </c>
      <c r="E138" s="2623">
        <f ca="1"/>
        <v>3983.5250000000005</v>
      </c>
      <c r="F138" s="943">
        <f ca="1"/>
        <v>3.0000000000000141E-2</v>
      </c>
      <c r="G138" s="2620">
        <f ca="1"/>
        <v>4103.0307500000008</v>
      </c>
      <c r="H138" s="943">
        <f ca="1"/>
        <v>3.0000000000000061E-2</v>
      </c>
      <c r="I138" s="2626">
        <f ca="1"/>
        <v>4226.1216725000004</v>
      </c>
      <c r="J138" s="943">
        <f ca="1"/>
        <v>2.9999999999999891E-2</v>
      </c>
    </row>
    <row r="139" spans="1:10">
      <c r="A139" s="1521" t="str">
        <v/>
      </c>
      <c r="B139" s="2633">
        <f ca="1"/>
        <v>0</v>
      </c>
      <c r="C139" s="2621">
        <f ca="1"/>
        <v>0</v>
      </c>
      <c r="D139" s="944" t="str">
        <f ca="1"/>
        <v/>
      </c>
      <c r="E139" s="2624">
        <f ca="1"/>
        <v>0</v>
      </c>
      <c r="F139" s="944" t="str">
        <f ca="1"/>
        <v/>
      </c>
      <c r="G139" s="2621">
        <f ca="1"/>
        <v>0</v>
      </c>
      <c r="H139" s="944" t="str">
        <f ca="1"/>
        <v/>
      </c>
      <c r="I139" s="2627">
        <f ca="1"/>
        <v>0</v>
      </c>
      <c r="J139" s="944" t="str">
        <f ca="1"/>
        <v/>
      </c>
    </row>
    <row r="140" spans="1:10">
      <c r="A140" s="1521" t="str">
        <v/>
      </c>
      <c r="B140" s="2633">
        <f ca="1"/>
        <v>0</v>
      </c>
      <c r="C140" s="2621">
        <f ca="1"/>
        <v>0</v>
      </c>
      <c r="D140" s="944" t="str">
        <f ca="1"/>
        <v/>
      </c>
      <c r="E140" s="2624">
        <f ca="1"/>
        <v>0</v>
      </c>
      <c r="F140" s="944" t="str">
        <f ca="1"/>
        <v/>
      </c>
      <c r="G140" s="2621">
        <f ca="1"/>
        <v>0</v>
      </c>
      <c r="H140" s="944" t="str">
        <f ca="1"/>
        <v/>
      </c>
      <c r="I140" s="2627">
        <f ca="1"/>
        <v>0</v>
      </c>
      <c r="J140" s="944" t="str">
        <f ca="1"/>
        <v/>
      </c>
    </row>
    <row r="141" spans="1:10">
      <c r="A141" s="1521" t="str">
        <v/>
      </c>
      <c r="B141" s="2633">
        <f ca="1"/>
        <v>0</v>
      </c>
      <c r="C141" s="2621">
        <f ca="1"/>
        <v>0</v>
      </c>
      <c r="D141" s="944" t="str">
        <f ca="1"/>
        <v/>
      </c>
      <c r="E141" s="2624">
        <f ca="1"/>
        <v>0</v>
      </c>
      <c r="F141" s="944" t="str">
        <f ca="1"/>
        <v/>
      </c>
      <c r="G141" s="2621">
        <f ca="1"/>
        <v>0</v>
      </c>
      <c r="H141" s="944" t="str">
        <f ca="1"/>
        <v/>
      </c>
      <c r="I141" s="2627">
        <f ca="1"/>
        <v>0</v>
      </c>
      <c r="J141" s="944" t="str">
        <f ca="1"/>
        <v/>
      </c>
    </row>
    <row r="142" spans="1:10">
      <c r="A142" s="1521" t="str">
        <v/>
      </c>
      <c r="B142" s="2633">
        <f ca="1"/>
        <v>0</v>
      </c>
      <c r="C142" s="2621">
        <f ca="1"/>
        <v>0</v>
      </c>
      <c r="D142" s="944" t="str">
        <f ca="1"/>
        <v/>
      </c>
      <c r="E142" s="2624">
        <f ca="1"/>
        <v>0</v>
      </c>
      <c r="F142" s="944" t="str">
        <f ca="1"/>
        <v/>
      </c>
      <c r="G142" s="2621">
        <f ca="1"/>
        <v>0</v>
      </c>
      <c r="H142" s="944" t="str">
        <f ca="1"/>
        <v/>
      </c>
      <c r="I142" s="2627">
        <f ca="1"/>
        <v>0</v>
      </c>
      <c r="J142" s="944" t="str">
        <f ca="1"/>
        <v/>
      </c>
    </row>
    <row r="143" spans="1:10">
      <c r="A143" s="1521" t="str">
        <v/>
      </c>
      <c r="B143" s="2633">
        <f ca="1"/>
        <v>0</v>
      </c>
      <c r="C143" s="2621">
        <f ca="1"/>
        <v>0</v>
      </c>
      <c r="D143" s="944" t="str">
        <f ca="1"/>
        <v/>
      </c>
      <c r="E143" s="2624">
        <f ca="1"/>
        <v>0</v>
      </c>
      <c r="F143" s="944" t="str">
        <f ca="1"/>
        <v/>
      </c>
      <c r="G143" s="2621">
        <f ca="1"/>
        <v>0</v>
      </c>
      <c r="H143" s="944" t="str">
        <f ca="1"/>
        <v/>
      </c>
      <c r="I143" s="2627">
        <f ca="1"/>
        <v>0</v>
      </c>
      <c r="J143" s="944" t="str">
        <f ca="1"/>
        <v/>
      </c>
    </row>
    <row r="144" spans="1:10">
      <c r="A144" s="1521" t="str">
        <v/>
      </c>
      <c r="B144" s="2633">
        <f ca="1"/>
        <v>0</v>
      </c>
      <c r="C144" s="2621">
        <f ca="1"/>
        <v>0</v>
      </c>
      <c r="D144" s="944" t="str">
        <f ca="1"/>
        <v/>
      </c>
      <c r="E144" s="2624">
        <f ca="1"/>
        <v>0</v>
      </c>
      <c r="F144" s="944" t="str">
        <f ca="1"/>
        <v/>
      </c>
      <c r="G144" s="2621">
        <f ca="1"/>
        <v>0</v>
      </c>
      <c r="H144" s="944" t="str">
        <f ca="1"/>
        <v/>
      </c>
      <c r="I144" s="2627">
        <f ca="1"/>
        <v>0</v>
      </c>
      <c r="J144" s="944" t="str">
        <f ca="1"/>
        <v/>
      </c>
    </row>
    <row r="145" spans="1:10" ht="16.5" thickBot="1">
      <c r="A145" s="1522" t="str">
        <v/>
      </c>
      <c r="B145" s="2634">
        <f ca="1"/>
        <v>0</v>
      </c>
      <c r="C145" s="2630">
        <f ca="1"/>
        <v>0</v>
      </c>
      <c r="D145" s="2079" t="str">
        <f ca="1"/>
        <v/>
      </c>
      <c r="E145" s="2631">
        <f ca="1"/>
        <v>0</v>
      </c>
      <c r="F145" s="2079" t="str">
        <f ca="1"/>
        <v/>
      </c>
      <c r="G145" s="2630">
        <f ca="1"/>
        <v>0</v>
      </c>
      <c r="H145" s="2079" t="str">
        <f ca="1"/>
        <v/>
      </c>
      <c r="I145" s="2629">
        <f ca="1"/>
        <v>0</v>
      </c>
      <c r="J145" s="2079" t="str">
        <f ca="1"/>
        <v/>
      </c>
    </row>
    <row r="146" spans="1:10" ht="16.5" thickBot="1">
      <c r="A146" s="2088" t="s">
        <v>15</v>
      </c>
      <c r="B146" s="2082">
        <f ca="1"/>
        <v>2748.295454545455</v>
      </c>
      <c r="C146" s="2083">
        <f ca="1"/>
        <v>3867.5</v>
      </c>
      <c r="D146" s="2084">
        <f ca="1"/>
        <v>0.40723589001447158</v>
      </c>
      <c r="E146" s="2085">
        <f ca="1"/>
        <v>3983.5250000000005</v>
      </c>
      <c r="F146" s="2086">
        <f ca="1"/>
        <v>3.0000000000000141E-2</v>
      </c>
      <c r="G146" s="2083">
        <f ca="1"/>
        <v>4103.0307500000008</v>
      </c>
      <c r="H146" s="2084">
        <f ca="1"/>
        <v>3.0000000000000061E-2</v>
      </c>
      <c r="I146" s="2087">
        <f ca="1"/>
        <v>4226.1216725000004</v>
      </c>
      <c r="J146" s="2084">
        <f ca="1"/>
        <v>2.9999999999999891E-2</v>
      </c>
    </row>
  </sheetData>
  <sheetProtection sheet="1" objects="1" scenarios="1"/>
  <pageMargins left="0.70866141732283472" right="0.70866141732283472" top="0.74803149606299213" bottom="0.74803149606299213" header="0.31496062992125984" footer="0.31496062992125984"/>
  <pageSetup paperSize="9" scale="98" orientation="landscape" r:id="rId1"/>
  <rowBreaks count="5" manualBreakCount="5">
    <brk id="49" max="16383" man="1"/>
    <brk id="64" max="16383" man="1"/>
    <brk id="84" max="16383" man="1"/>
    <brk id="107" max="16383" man="1"/>
    <brk id="132"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29"/>
  <sheetViews>
    <sheetView workbookViewId="0"/>
  </sheetViews>
  <sheetFormatPr baseColWidth="10" defaultRowHeight="15.75"/>
  <cols>
    <col min="1" max="1" width="37.5" style="1" customWidth="1"/>
    <col min="2" max="2" width="9.75" style="1" customWidth="1"/>
    <col min="3" max="6" width="9.75" customWidth="1"/>
  </cols>
  <sheetData>
    <row r="1" spans="1:7" ht="22.5">
      <c r="A1" s="406" t="s">
        <v>613</v>
      </c>
    </row>
    <row r="2" spans="1:7" ht="22.5">
      <c r="A2" s="406" t="str">
        <f>'Datos Básicos'!B9</f>
        <v>nombre empresa</v>
      </c>
    </row>
    <row r="3" spans="1:7" ht="22.5">
      <c r="A3" s="406"/>
    </row>
    <row r="4" spans="1:7" ht="16.5" thickBot="1"/>
    <row r="5" spans="1:7" ht="30.75" customHeight="1" thickBot="1">
      <c r="A5" s="1613" t="s">
        <v>613</v>
      </c>
      <c r="B5" s="1614" t="str">
        <f t="array" ref="B5:F5">anni</f>
        <v>Año 0:  2026</v>
      </c>
      <c r="C5" s="557" t="str">
        <v>Año 1:  2027</v>
      </c>
      <c r="D5" s="557" t="str">
        <v>Año 2:  2028</v>
      </c>
      <c r="E5" s="557" t="str">
        <v>Año 3:  2029</v>
      </c>
      <c r="F5" s="557" t="str">
        <v>Año 4:  2030</v>
      </c>
    </row>
    <row r="6" spans="1:7" ht="16.5" thickBot="1"/>
    <row r="7" spans="1:7" ht="32.25" customHeight="1" thickBot="1">
      <c r="A7" s="1631" t="s">
        <v>611</v>
      </c>
      <c r="B7" s="2724" t="str">
        <f t="array" ref="B7:F7">B$5:F$5</f>
        <v>Año 0:  2026</v>
      </c>
      <c r="C7" s="2724" t="str">
        <v>Año 1:  2027</v>
      </c>
      <c r="D7" s="2724" t="str">
        <v>Año 2:  2028</v>
      </c>
      <c r="E7" s="2724" t="str">
        <v>Año 3:  2029</v>
      </c>
      <c r="F7" s="2724" t="str">
        <v>Año 4:  2030</v>
      </c>
    </row>
    <row r="8" spans="1:7" ht="18">
      <c r="A8" s="2295" t="s">
        <v>616</v>
      </c>
      <c r="B8" s="2409">
        <f>IF(Isoc&lt;&gt;0,'Datos Básicos'!C78,0)*IF(Parametros!$C$46&gt;0,0,1)</f>
        <v>0</v>
      </c>
      <c r="C8" s="2409">
        <v>0</v>
      </c>
      <c r="D8" s="2409">
        <v>0</v>
      </c>
      <c r="E8" s="2409">
        <v>0</v>
      </c>
      <c r="F8" s="2410">
        <v>0</v>
      </c>
      <c r="G8" s="2426" t="s">
        <v>1008</v>
      </c>
    </row>
    <row r="9" spans="1:7" ht="18">
      <c r="A9" s="2295" t="s">
        <v>617</v>
      </c>
      <c r="B9" s="2409">
        <f>IF(Isoc&lt;&gt;0,'Datos Básicos'!C79,0)*IF(Parametros!$C$46&gt;0,0,1)</f>
        <v>0</v>
      </c>
      <c r="C9" s="2409">
        <v>0</v>
      </c>
      <c r="D9" s="2409">
        <v>0</v>
      </c>
      <c r="E9" s="2409">
        <v>0</v>
      </c>
      <c r="F9" s="2410">
        <v>0</v>
      </c>
      <c r="G9" s="2426" t="s">
        <v>1009</v>
      </c>
    </row>
    <row r="10" spans="1:7" ht="18">
      <c r="A10" s="2295" t="s">
        <v>618</v>
      </c>
      <c r="B10" s="2409">
        <f>IF(Isoc&lt;&gt;0,'Datos Básicos'!C80,0)*IF(Parametros!$C$46&gt;0,0,1)</f>
        <v>0</v>
      </c>
      <c r="C10" s="2409">
        <v>0</v>
      </c>
      <c r="D10" s="2409">
        <v>0</v>
      </c>
      <c r="E10" s="2409">
        <v>0</v>
      </c>
      <c r="F10" s="2410">
        <v>0</v>
      </c>
      <c r="G10" s="2426" t="s">
        <v>1010</v>
      </c>
    </row>
    <row r="11" spans="1:7" ht="18.75" thickBot="1">
      <c r="A11" s="2287" t="s">
        <v>359</v>
      </c>
      <c r="B11" s="1617">
        <f>IF(OR(irpf&lt;&gt;0,MAX('Inv. Iniciales ANC'!C1:C63)&gt;0),0,ITP*('Financiación Inicial'!C8+'Financiación Inicial'!C7))*IF(Parametros!$C$46&gt;0,0,1)</f>
        <v>0</v>
      </c>
      <c r="C11" s="1617">
        <f t="array" ref="C11:F11">IF(irpf&lt;&gt;0,0,ITP*Financiación!E14:H14)</f>
        <v>0</v>
      </c>
      <c r="D11" s="1617">
        <v>0</v>
      </c>
      <c r="E11" s="1617">
        <v>0</v>
      </c>
      <c r="F11" s="1618">
        <v>0</v>
      </c>
      <c r="G11" s="2426" t="s">
        <v>1011</v>
      </c>
    </row>
    <row r="12" spans="1:7" ht="16.5" thickBot="1">
      <c r="A12" s="1619" t="s">
        <v>611</v>
      </c>
      <c r="B12" s="1620">
        <f>SUM(B7:B11)</f>
        <v>0</v>
      </c>
      <c r="C12" s="1620">
        <f>SUM(C7:C11)</f>
        <v>0</v>
      </c>
      <c r="D12" s="1620">
        <f>SUM(D7:D11)</f>
        <v>0</v>
      </c>
      <c r="E12" s="1620">
        <f>SUM(E7:E11)</f>
        <v>0</v>
      </c>
      <c r="F12" s="1621">
        <f>SUM(F7:F11)</f>
        <v>0</v>
      </c>
      <c r="G12" s="1979">
        <f>MAX(B12:F12)</f>
        <v>0</v>
      </c>
    </row>
    <row r="13" spans="1:7" ht="16.5" thickBot="1"/>
    <row r="14" spans="1:7" ht="31.5" customHeight="1" thickBot="1">
      <c r="A14" s="1631" t="s">
        <v>612</v>
      </c>
      <c r="B14" s="2724" t="str">
        <f t="array" ref="B14:F14">B$5:F$5</f>
        <v>Año 0:  2026</v>
      </c>
      <c r="C14" s="2724" t="str">
        <v>Año 1:  2027</v>
      </c>
      <c r="D14" s="2724" t="str">
        <v>Año 2:  2028</v>
      </c>
      <c r="E14" s="2724" t="str">
        <v>Año 3:  2029</v>
      </c>
      <c r="F14" s="2724" t="str">
        <v>Año 4:  2030</v>
      </c>
    </row>
    <row r="15" spans="1:7">
      <c r="A15" s="2295" t="s">
        <v>358</v>
      </c>
      <c r="B15" s="2411">
        <v>0</v>
      </c>
      <c r="C15" s="2411">
        <v>0</v>
      </c>
      <c r="D15" s="2411">
        <v>0</v>
      </c>
      <c r="E15" s="2411">
        <v>0</v>
      </c>
      <c r="F15" s="2412">
        <v>0</v>
      </c>
    </row>
    <row r="16" spans="1:7">
      <c r="A16" s="2295" t="s">
        <v>619</v>
      </c>
      <c r="B16" s="2411">
        <v>0</v>
      </c>
      <c r="C16" s="2411">
        <v>0</v>
      </c>
      <c r="D16" s="2411">
        <v>0</v>
      </c>
      <c r="E16" s="2411">
        <v>0</v>
      </c>
      <c r="F16" s="2412">
        <v>0</v>
      </c>
    </row>
    <row r="17" spans="1:7">
      <c r="A17" s="2296" t="s">
        <v>569</v>
      </c>
      <c r="B17" s="2413">
        <v>0</v>
      </c>
      <c r="C17" s="2413">
        <v>0</v>
      </c>
      <c r="D17" s="2413">
        <v>0</v>
      </c>
      <c r="E17" s="2413">
        <v>0</v>
      </c>
      <c r="F17" s="2414">
        <v>0</v>
      </c>
    </row>
    <row r="18" spans="1:7">
      <c r="A18" s="2300" t="s">
        <v>683</v>
      </c>
      <c r="B18" s="2413">
        <v>0</v>
      </c>
      <c r="C18" s="2413">
        <v>0</v>
      </c>
      <c r="D18" s="2413">
        <v>0</v>
      </c>
      <c r="E18" s="2413">
        <v>0</v>
      </c>
      <c r="F18" s="2414">
        <v>0</v>
      </c>
    </row>
    <row r="19" spans="1:7" ht="16.5" thickBot="1">
      <c r="A19" s="2300" t="s">
        <v>694</v>
      </c>
      <c r="B19" s="2415">
        <v>0</v>
      </c>
      <c r="C19" s="2415">
        <v>0</v>
      </c>
      <c r="D19" s="2415">
        <v>0</v>
      </c>
      <c r="E19" s="2415">
        <v>0</v>
      </c>
      <c r="F19" s="2416">
        <v>0</v>
      </c>
    </row>
    <row r="20" spans="1:7" ht="16.5" thickBot="1">
      <c r="A20" s="1619" t="s">
        <v>612</v>
      </c>
      <c r="B20" s="1622">
        <f>SUM(B15:B19)</f>
        <v>0</v>
      </c>
      <c r="C20" s="1622">
        <f>SUM(C14:C19)</f>
        <v>0</v>
      </c>
      <c r="D20" s="1622">
        <f>SUM(D14:D19)</f>
        <v>0</v>
      </c>
      <c r="E20" s="1622">
        <f>SUM(E14:E19)</f>
        <v>0</v>
      </c>
      <c r="F20" s="594">
        <f>SUM(F14:F19)</f>
        <v>0</v>
      </c>
      <c r="G20" s="1979">
        <f>MAX(B20:F20)</f>
        <v>0</v>
      </c>
    </row>
    <row r="21" spans="1:7" ht="16.5" thickBot="1">
      <c r="A21" s="1790"/>
      <c r="B21" s="1791"/>
      <c r="C21" s="1789"/>
      <c r="D21" s="1789"/>
      <c r="E21" s="1789"/>
      <c r="F21" s="1789"/>
    </row>
    <row r="22" spans="1:7" ht="18.75" customHeight="1" thickBot="1">
      <c r="A22" s="1631" t="s">
        <v>622</v>
      </c>
      <c r="B22" s="1632" t="s">
        <v>236</v>
      </c>
    </row>
    <row r="23" spans="1:7">
      <c r="A23" s="2297" t="s">
        <v>620</v>
      </c>
      <c r="B23" s="3104">
        <f>('Gastos Fijos Datos'!C32+'Gastos Fijos Datos'!C33)*'Gastos Fijos Datos'!$B$21</f>
        <v>0</v>
      </c>
    </row>
    <row r="24" spans="1:7">
      <c r="A24" s="2298" t="s">
        <v>361</v>
      </c>
      <c r="B24" s="2417">
        <v>0</v>
      </c>
    </row>
    <row r="25" spans="1:7" ht="16.5" thickBot="1">
      <c r="A25" s="2299" t="s">
        <v>972</v>
      </c>
      <c r="B25" s="2386">
        <f>+'Bal. Inicial Previo'!D16+'Bal. Inicial Previo'!D18</f>
        <v>0</v>
      </c>
      <c r="C25" s="2302" t="str">
        <f>IF(consolidacion," (Bal. Previo)","")</f>
        <v/>
      </c>
    </row>
    <row r="26" spans="1:7" ht="16.5" thickBot="1">
      <c r="A26" s="1619" t="s">
        <v>360</v>
      </c>
      <c r="B26" s="1633">
        <f>SUM(B23:B25)</f>
        <v>0</v>
      </c>
    </row>
    <row r="28" spans="1:7">
      <c r="A28" s="1980" t="s">
        <v>881</v>
      </c>
      <c r="B28" s="1980"/>
      <c r="C28" s="1980"/>
      <c r="D28" s="1980"/>
      <c r="E28" s="1980"/>
      <c r="F28" s="1980"/>
    </row>
    <row r="29" spans="1:7">
      <c r="A29" s="1980" t="s">
        <v>882</v>
      </c>
      <c r="B29" s="1980"/>
      <c r="C29" s="1980"/>
      <c r="D29" s="1980"/>
      <c r="E29" s="1980"/>
      <c r="F29" s="1980"/>
    </row>
  </sheetData>
  <sheetProtection sheet="1" objects="1" scenarios="1"/>
  <phoneticPr fontId="6" type="noConversion"/>
  <conditionalFormatting sqref="A28:F28">
    <cfRule type="expression" dxfId="45" priority="1" stopIfTrue="1">
      <formula>$G$12&lt;&gt;0</formula>
    </cfRule>
  </conditionalFormatting>
  <conditionalFormatting sqref="A29:F29">
    <cfRule type="expression" dxfId="44" priority="2" stopIfTrue="1">
      <formula>$G$20&lt;&gt;0</formula>
    </cfRule>
  </conditionalFormatting>
  <printOptions horizontalCentered="1"/>
  <pageMargins left="0.78740157480314965" right="0.78740157480314965" top="0.51181102362204722" bottom="0.51181102362204722" header="0" footer="0"/>
  <pageSetup paperSize="9" scale="88" orientation="portrait"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3">
    <pageSetUpPr fitToPage="1"/>
  </sheetPr>
  <dimension ref="A1:K66"/>
  <sheetViews>
    <sheetView workbookViewId="0"/>
  </sheetViews>
  <sheetFormatPr baseColWidth="10" defaultColWidth="11" defaultRowHeight="15"/>
  <cols>
    <col min="1" max="1" width="39.125" style="20" customWidth="1"/>
    <col min="2" max="2" width="16.25" style="20" customWidth="1"/>
    <col min="3" max="3" width="13.625" style="20" customWidth="1"/>
    <col min="4" max="6" width="13.625" style="21" customWidth="1"/>
    <col min="7" max="7" width="22.375" style="21" customWidth="1"/>
    <col min="8" max="8" width="17.25" style="21" customWidth="1"/>
    <col min="9" max="10" width="15.625" style="19" customWidth="1"/>
    <col min="11" max="16384" width="11" style="20"/>
  </cols>
  <sheetData>
    <row r="1" spans="1:10" ht="27">
      <c r="A1" s="25" t="s">
        <v>581</v>
      </c>
      <c r="B1" s="17"/>
      <c r="C1" s="17"/>
      <c r="D1" s="18"/>
      <c r="E1" s="18"/>
      <c r="F1" s="18"/>
      <c r="G1" s="18"/>
      <c r="H1" s="18"/>
    </row>
    <row r="2" spans="1:10" ht="27">
      <c r="A2" s="25" t="str">
        <f>'Datos Básicos'!B9</f>
        <v>nombre empresa</v>
      </c>
      <c r="B2" s="17"/>
      <c r="C2" s="17"/>
      <c r="D2" s="18"/>
      <c r="E2" s="18"/>
      <c r="F2" s="18"/>
      <c r="G2" s="18"/>
      <c r="H2" s="18"/>
    </row>
    <row r="3" spans="1:10" ht="25.5">
      <c r="A3" s="17"/>
      <c r="B3" s="17"/>
      <c r="C3" s="17"/>
      <c r="D3" s="17"/>
      <c r="E3" s="17"/>
      <c r="F3" s="17"/>
      <c r="G3" s="18"/>
      <c r="H3" s="18"/>
    </row>
    <row r="4" spans="1:10" ht="15.75" thickBot="1">
      <c r="F4" s="24"/>
    </row>
    <row r="5" spans="1:10" ht="26.25" thickBot="1">
      <c r="A5" s="2226" t="s">
        <v>578</v>
      </c>
      <c r="B5" s="2187"/>
      <c r="C5" s="2188"/>
      <c r="D5" s="2189"/>
      <c r="E5" s="2191"/>
      <c r="F5" s="19"/>
    </row>
    <row r="6" spans="1:10" ht="20.25" thickBot="1">
      <c r="A6" s="2227"/>
      <c r="B6" s="2228"/>
      <c r="C6" s="2229"/>
      <c r="D6" s="2230"/>
      <c r="E6" s="2231"/>
      <c r="F6" s="19"/>
      <c r="G6" s="2851" t="s">
        <v>1108</v>
      </c>
      <c r="H6" s="2852" t="s">
        <v>82</v>
      </c>
      <c r="I6" s="2853" t="s">
        <v>1112</v>
      </c>
    </row>
    <row r="7" spans="1:10" ht="18" customHeight="1">
      <c r="A7" s="2206" t="s">
        <v>293</v>
      </c>
      <c r="B7" s="1539">
        <f>SUM(B8:B9)</f>
        <v>0</v>
      </c>
      <c r="C7" s="26"/>
      <c r="D7" s="2423">
        <f ca="1">SUM(B8,B12:B14,B19)+'Inv. Iniciales ANC'!B65-'Inv. Iniciales ANC'!E65
+'Gastos Iniciales'!B12-SUM(Financiación!D14:D17)</f>
        <v>-3000</v>
      </c>
      <c r="E7" s="2207"/>
      <c r="F7" s="19"/>
      <c r="G7" s="2854">
        <f>SUM(G8:G9)</f>
        <v>0</v>
      </c>
      <c r="H7" s="2855">
        <f>SUM(H8:H9)</f>
        <v>0</v>
      </c>
      <c r="I7" s="2856">
        <f>G7+H7</f>
        <v>0</v>
      </c>
    </row>
    <row r="8" spans="1:10" ht="18" customHeight="1">
      <c r="A8" s="2211" t="s">
        <v>470</v>
      </c>
      <c r="B8" s="2398">
        <v>0</v>
      </c>
      <c r="C8" s="26"/>
      <c r="D8" s="19"/>
      <c r="E8" s="2207"/>
      <c r="F8" s="19"/>
      <c r="G8" s="2857">
        <v>0</v>
      </c>
      <c r="H8" s="2858">
        <f>B8</f>
        <v>0</v>
      </c>
      <c r="I8" s="2859">
        <f>G8+H8</f>
        <v>0</v>
      </c>
    </row>
    <row r="9" spans="1:10" ht="18" customHeight="1" thickBot="1">
      <c r="A9" s="2303" t="s">
        <v>973</v>
      </c>
      <c r="B9" s="2390">
        <f>+'Bal. Inicial Previo'!D23</f>
        <v>0</v>
      </c>
      <c r="C9" s="2392" t="str">
        <f>IF(consolidacion," (Bal. Previo)","")</f>
        <v/>
      </c>
      <c r="D9" s="19"/>
      <c r="E9" s="2207"/>
      <c r="F9" s="19"/>
      <c r="G9" s="2857">
        <f>'Bal. Inicial Previo'!D23</f>
        <v>0</v>
      </c>
      <c r="H9" s="2860">
        <v>0</v>
      </c>
      <c r="I9" s="2859">
        <f>G9+H9</f>
        <v>0</v>
      </c>
    </row>
    <row r="10" spans="1:10" ht="15.75" thickBot="1">
      <c r="A10" s="28"/>
      <c r="B10" s="27"/>
      <c r="C10" s="26"/>
      <c r="D10" s="19"/>
      <c r="E10" s="2207"/>
      <c r="F10" s="19"/>
      <c r="G10" s="2861"/>
      <c r="H10" s="2862"/>
      <c r="I10" s="2863"/>
      <c r="J10" s="20"/>
    </row>
    <row r="11" spans="1:10" ht="16.5" customHeight="1">
      <c r="A11" s="2206" t="s">
        <v>434</v>
      </c>
      <c r="B11" s="918">
        <f ca="1">SUM(B12:B16)</f>
        <v>0</v>
      </c>
      <c r="C11" s="172" t="str">
        <f>"tipo "&amp;'Datos Básicos'!$A$28</f>
        <v>tipo IVA</v>
      </c>
      <c r="D11" s="1540" t="s">
        <v>354</v>
      </c>
      <c r="E11" s="2208" t="s">
        <v>353</v>
      </c>
      <c r="G11" s="2854">
        <f ca="1">SUM(G12:G16)</f>
        <v>0</v>
      </c>
      <c r="H11" s="2855">
        <f>SUM(H12:H16)</f>
        <v>0</v>
      </c>
      <c r="I11" s="2856">
        <f t="shared" ref="I11:I16" ca="1" si="0">G11+H11</f>
        <v>0</v>
      </c>
    </row>
    <row r="12" spans="1:10" ht="19.5" customHeight="1">
      <c r="A12" s="2209" t="s">
        <v>274</v>
      </c>
      <c r="B12" s="2401">
        <v>0</v>
      </c>
      <c r="C12" s="2406">
        <f>'Datos Básicos'!$C$29</f>
        <v>0.21</v>
      </c>
      <c r="D12" s="2403">
        <v>0</v>
      </c>
      <c r="E12" s="2210">
        <f t="array" ref="E12:E14">IF(B12:B14*D12:D14&gt;0,D12:D14/B12:B14,0)</f>
        <v>0</v>
      </c>
      <c r="G12" s="2857">
        <v>0</v>
      </c>
      <c r="H12" s="2858">
        <f>B12</f>
        <v>0</v>
      </c>
      <c r="I12" s="2859">
        <f t="shared" si="0"/>
        <v>0</v>
      </c>
    </row>
    <row r="13" spans="1:10" ht="19.5" customHeight="1">
      <c r="A13" s="2211" t="s">
        <v>275</v>
      </c>
      <c r="B13" s="2402">
        <v>0</v>
      </c>
      <c r="C13" s="2407">
        <v>0.1</v>
      </c>
      <c r="D13" s="2404">
        <v>0</v>
      </c>
      <c r="E13" s="2212">
        <v>0</v>
      </c>
      <c r="G13" s="2857">
        <v>0</v>
      </c>
      <c r="H13" s="2858">
        <f>B13</f>
        <v>0</v>
      </c>
      <c r="I13" s="2859">
        <f t="shared" si="0"/>
        <v>0</v>
      </c>
    </row>
    <row r="14" spans="1:10" ht="19.5" customHeight="1" thickBot="1">
      <c r="A14" s="2211" t="s">
        <v>1019</v>
      </c>
      <c r="B14" s="2402">
        <v>0</v>
      </c>
      <c r="C14" s="2408">
        <v>0.04</v>
      </c>
      <c r="D14" s="2405">
        <v>0</v>
      </c>
      <c r="E14" s="2213">
        <v>0</v>
      </c>
      <c r="G14" s="2857">
        <v>0</v>
      </c>
      <c r="H14" s="2858">
        <f>B14</f>
        <v>0</v>
      </c>
      <c r="I14" s="2859">
        <f t="shared" si="0"/>
        <v>0</v>
      </c>
    </row>
    <row r="15" spans="1:10" ht="19.5" customHeight="1">
      <c r="A15" s="2214" t="s">
        <v>883</v>
      </c>
      <c r="B15" s="2388">
        <f ca="1">'Distr CV 0'!B87</f>
        <v>0</v>
      </c>
      <c r="C15" s="1976"/>
      <c r="D15" s="34"/>
      <c r="E15" s="2215"/>
      <c r="G15" s="2857">
        <f ca="1">B15</f>
        <v>0</v>
      </c>
      <c r="H15" s="2860">
        <v>0</v>
      </c>
      <c r="I15" s="2859">
        <f t="shared" ca="1" si="0"/>
        <v>0</v>
      </c>
    </row>
    <row r="16" spans="1:10" ht="20.25" customHeight="1" thickBot="1">
      <c r="A16" s="2304" t="s">
        <v>135</v>
      </c>
      <c r="B16" s="2389">
        <f>+'Bal. Inicial Previo'!D24+'Bal. Inicial Previo'!D30</f>
        <v>0</v>
      </c>
      <c r="C16" s="2301" t="str">
        <f>$C$9</f>
        <v/>
      </c>
      <c r="D16" s="20"/>
      <c r="E16" s="2207"/>
      <c r="F16" s="20"/>
      <c r="G16" s="2857">
        <f>'Bal. Inicial Previo'!D24+'Bal. Inicial Previo'!D30</f>
        <v>0</v>
      </c>
      <c r="H16" s="2860">
        <v>0</v>
      </c>
      <c r="I16" s="2859">
        <f t="shared" si="0"/>
        <v>0</v>
      </c>
      <c r="J16" s="20"/>
    </row>
    <row r="17" spans="1:10" ht="15.75" thickBot="1">
      <c r="A17" s="28"/>
      <c r="B17" s="27"/>
      <c r="C17" s="26"/>
      <c r="D17" s="19"/>
      <c r="E17" s="2207"/>
      <c r="G17" s="2864"/>
      <c r="H17" s="47"/>
      <c r="I17" s="2865"/>
      <c r="J17" s="20"/>
    </row>
    <row r="18" spans="1:10">
      <c r="A18" s="2206" t="s">
        <v>5</v>
      </c>
      <c r="B18" s="918">
        <f ca="1">SUM(B19:B24)-IF(irpf=0,B21,0)</f>
        <v>0</v>
      </c>
      <c r="C18" s="26"/>
      <c r="D18" s="19"/>
      <c r="E18" s="2207"/>
      <c r="G18" s="2854">
        <f>SUM(G19:G24)</f>
        <v>0</v>
      </c>
      <c r="H18" s="2855">
        <f ca="1">SUM(H19:H24)</f>
        <v>0</v>
      </c>
      <c r="I18" s="2856">
        <f t="shared" ref="I18:I23" ca="1" si="1">G18+H18</f>
        <v>0</v>
      </c>
      <c r="J18" s="20"/>
    </row>
    <row r="19" spans="1:10" s="34" customFormat="1" ht="18.75" customHeight="1">
      <c r="A19" s="2217" t="str">
        <f>'Datos Básicos'!A28&amp;" soportado de inversiones iniciales"</f>
        <v>IVA soportado de inversiones iniciales</v>
      </c>
      <c r="B19" s="1997">
        <f t="array" aca="1" ref="B19" ca="1">'Inv. Iniciales ANC'!G65  -Parametros!$F$33*(SUM(Leasing!D5:D5)-SUM(Leasing!D7:D7)*0)
 +Parametros!$F$33*('Gastos Iniciales'!B20+'Gastos Iniciales'!B12-'Gastos Iniciales'!B11)
+SUM((B12:B14-D12:D14)*C12:C14)
+'Distr CV 0'!B106</f>
        <v>0</v>
      </c>
      <c r="C19" s="1766" t="str">
        <f ca="1">IF(B19&lt;0,"ERROR: Los Leasing no pueden ser superiores a las inversiones.","")</f>
        <v/>
      </c>
      <c r="D19" s="33"/>
      <c r="E19" s="2218"/>
      <c r="F19" s="32"/>
      <c r="G19" s="2857">
        <v>0</v>
      </c>
      <c r="H19" s="2860">
        <f t="array" aca="1" ref="H19" ca="1">'Inv. Iniciales ANC'!G65 +Parametros!$F$33*('Gastos Iniciales'!B20+'Gastos Iniciales'!B12-'Gastos Iniciales'!B11)
+SUM((B12:B14-D12:D14)*C12:C14)
+'Distr CV 0'!B106</f>
        <v>0</v>
      </c>
      <c r="I19" s="2859">
        <f t="shared" ca="1" si="1"/>
        <v>0</v>
      </c>
      <c r="J19" s="33"/>
    </row>
    <row r="20" spans="1:10" s="34" customFormat="1" ht="18.75" customHeight="1">
      <c r="A20" s="2306" t="str">
        <f>'Datos Básicos'!A28&amp;" soportado pend. De devolución"</f>
        <v>IVA soportado pend. De devolución</v>
      </c>
      <c r="B20" s="2387">
        <f>'Bal. Inicial Previo'!D29</f>
        <v>0</v>
      </c>
      <c r="C20" s="2301" t="str">
        <f>$C$9</f>
        <v/>
      </c>
      <c r="D20" s="33"/>
      <c r="E20" s="2218"/>
      <c r="F20" s="32"/>
      <c r="G20" s="2857">
        <f>'Bal. Inicial Previo'!D29</f>
        <v>0</v>
      </c>
      <c r="H20" s="2860">
        <v>0</v>
      </c>
      <c r="I20" s="2859">
        <f t="shared" si="1"/>
        <v>0</v>
      </c>
      <c r="J20" s="33"/>
    </row>
    <row r="21" spans="1:10" s="34" customFormat="1" ht="18.75" customHeight="1">
      <c r="A21" s="2305" t="str">
        <f>"H.P. Retenciones a cuenta "&amp;'Datos Básicos'!$I$43</f>
        <v>H.P. Retenciones a cuenta I.R.P.F.</v>
      </c>
      <c r="B21" s="2387">
        <f>'Bal. Inicial Previo'!D27</f>
        <v>0</v>
      </c>
      <c r="C21" s="2301" t="str">
        <f>$C$9</f>
        <v/>
      </c>
      <c r="D21" s="33"/>
      <c r="E21" s="2218"/>
      <c r="F21" s="32"/>
      <c r="G21" s="2857">
        <f>'Bal. Inicial Previo'!D27</f>
        <v>0</v>
      </c>
      <c r="H21" s="2860">
        <v>0</v>
      </c>
      <c r="I21" s="2859">
        <f t="shared" si="1"/>
        <v>0</v>
      </c>
      <c r="J21" s="33"/>
    </row>
    <row r="22" spans="1:10" s="34" customFormat="1" ht="18.75" customHeight="1">
      <c r="A22" s="2305" t="str">
        <f>"Pagos a cuenta "&amp;IF(Isoc&lt;&gt;0,'Datos Básicos'!$I$43,'Datos Básicos'!$I$44)</f>
        <v>Pagos a cuenta I.S.</v>
      </c>
      <c r="B22" s="2388">
        <f>'Bal. Inicial Previo'!D28+'Bal. Inicial Previo'!D17</f>
        <v>0</v>
      </c>
      <c r="C22" s="2301" t="str">
        <f>$C$9</f>
        <v/>
      </c>
      <c r="D22" s="33"/>
      <c r="E22" s="2218"/>
      <c r="F22" s="32"/>
      <c r="G22" s="2857">
        <f>'Bal. Inicial Previo'!D28+'Bal. Inicial Previo'!D17</f>
        <v>0</v>
      </c>
      <c r="H22" s="2860">
        <v>0</v>
      </c>
      <c r="I22" s="2859">
        <f t="shared" si="1"/>
        <v>0</v>
      </c>
      <c r="J22" s="33"/>
    </row>
    <row r="23" spans="1:10" s="34" customFormat="1" ht="18.75" customHeight="1">
      <c r="A23" s="2305" t="s">
        <v>1062</v>
      </c>
      <c r="B23" s="2388">
        <f>Financiación!D19+'Bal. Inicial Previo'!D26</f>
        <v>0</v>
      </c>
      <c r="C23" s="2301"/>
      <c r="D23" s="33"/>
      <c r="E23" s="2218"/>
      <c r="F23" s="32"/>
      <c r="G23" s="2866">
        <f>'Bal. Inicial Previo'!D26</f>
        <v>0</v>
      </c>
      <c r="H23" s="2860">
        <f>Financiación!D19</f>
        <v>0</v>
      </c>
      <c r="I23" s="2859">
        <f t="shared" si="1"/>
        <v>0</v>
      </c>
      <c r="J23" s="33"/>
    </row>
    <row r="24" spans="1:10" s="34" customFormat="1" ht="18.75" customHeight="1" thickBot="1">
      <c r="A24" s="2304" t="s">
        <v>433</v>
      </c>
      <c r="B24" s="2389">
        <f>'Bal. Inicial Previo'!D25</f>
        <v>0</v>
      </c>
      <c r="C24" s="2301" t="str">
        <f>$C$9</f>
        <v/>
      </c>
      <c r="D24" s="33"/>
      <c r="E24" s="2218"/>
      <c r="F24" s="32"/>
      <c r="G24" s="2857">
        <f>'Bal. Inicial Previo'!D25</f>
        <v>0</v>
      </c>
      <c r="H24" s="2860">
        <v>0</v>
      </c>
      <c r="I24" s="2859">
        <f>G24+H24</f>
        <v>0</v>
      </c>
      <c r="J24" s="33"/>
    </row>
    <row r="25" spans="1:10" ht="15.75" thickBot="1">
      <c r="A25" s="28"/>
      <c r="B25" s="27"/>
      <c r="C25" s="26"/>
      <c r="D25" s="19"/>
      <c r="E25" s="2207"/>
      <c r="G25" s="2864"/>
      <c r="H25" s="47"/>
      <c r="I25" s="2865"/>
    </row>
    <row r="26" spans="1:10" ht="17.25" customHeight="1" thickBot="1">
      <c r="A26" s="2219" t="s">
        <v>64</v>
      </c>
      <c r="B26" s="1634">
        <f ca="1">'Financiación Inicial'!D32-(B7+B11+B18)
-(Amortizaciones!B19-Amortizaciones!C19)
-'Gastos Iniciales'!B26+'Gastos Iniciales'!B24</f>
        <v>3000</v>
      </c>
      <c r="C26" s="26"/>
      <c r="D26" s="19"/>
      <c r="E26" s="2207"/>
      <c r="G26" s="2867">
        <f ca="1">'Financiación Inicial'!B32-(G7+G11+G18)
-('Bal. Inicial Previo'!D16+'Bal. Inicial Previo'!D18)
-('Bal. Inicial Previo'!D10+'Bal. Inicial Previo'!D12+'Bal. Inicial Previo'!D14)</f>
        <v>0</v>
      </c>
      <c r="H26" s="2868">
        <f ca="1">'Financiación Inicial'!C32-(H7+H11+H18)
-'Gastos Iniciales'!B23
-(Amortizaciones!B19-Amortizaciones!C19-Amortizaciones!J19)</f>
        <v>3000</v>
      </c>
      <c r="I26" s="2869">
        <f ca="1">G26+H26</f>
        <v>3000</v>
      </c>
    </row>
    <row r="27" spans="1:10" ht="15.75" thickBot="1">
      <c r="A27" s="2220"/>
      <c r="B27" s="28"/>
      <c r="C27" s="26"/>
      <c r="D27" s="19"/>
      <c r="E27" s="2207"/>
      <c r="G27" s="2864"/>
      <c r="H27" s="47"/>
      <c r="I27" s="2865"/>
    </row>
    <row r="28" spans="1:10" s="34" customFormat="1" ht="20.25" customHeight="1" thickBot="1">
      <c r="A28" s="2221" t="s">
        <v>592</v>
      </c>
      <c r="B28" s="2222">
        <f ca="1">B7+'Inversiones AC'!B11+B18+B26</f>
        <v>3000</v>
      </c>
      <c r="C28" s="2223"/>
      <c r="D28" s="2224"/>
      <c r="E28" s="2225"/>
      <c r="F28" s="32"/>
      <c r="G28" s="2870">
        <f ca="1">G7+G11+G18+G26</f>
        <v>0</v>
      </c>
      <c r="H28" s="2222">
        <f ca="1">H7+H11+H18+H26</f>
        <v>3000</v>
      </c>
      <c r="I28" s="2869">
        <f ca="1">G28+H28</f>
        <v>3000</v>
      </c>
      <c r="J28" s="33"/>
    </row>
    <row r="29" spans="1:10">
      <c r="A29" s="23"/>
      <c r="B29" s="23"/>
      <c r="C29" s="23"/>
      <c r="D29" s="23"/>
    </row>
    <row r="30" spans="1:10" ht="18">
      <c r="A30" s="23"/>
      <c r="B30" s="1744" t="str">
        <f ca="1">IF(C30&lt;&gt;"","Incrementar financiación inicial en ","")</f>
        <v/>
      </c>
      <c r="C30" s="1323" t="str">
        <f ca="1">IF(I26-tesoreriasec+Financiación!D49&lt;-0.5,TEXT(tesoreriasec-I26-Financiación!D49,"#.##0 €")&amp;" déficit Financiación Inicial","")</f>
        <v/>
      </c>
      <c r="D30" s="23"/>
    </row>
    <row r="31" spans="1:10" ht="18">
      <c r="A31" s="23"/>
      <c r="B31" s="23"/>
      <c r="C31" s="1587" t="str">
        <f ca="1">IF(C30&lt;&gt;"","Tesorería de seguridad: "&amp;TEXT(tesoreriasec,"#.##0 €")&amp;" mínimo.","")</f>
        <v/>
      </c>
      <c r="D31" s="23"/>
    </row>
    <row r="32" spans="1:10">
      <c r="C32" s="23"/>
      <c r="D32" s="23"/>
    </row>
    <row r="33" spans="1:11" ht="15.75" thickBot="1">
      <c r="A33" s="23"/>
      <c r="B33" s="23"/>
      <c r="C33" s="23"/>
      <c r="D33" s="23"/>
    </row>
    <row r="34" spans="1:11" ht="26.25" thickBot="1">
      <c r="A34" s="2243" t="s">
        <v>579</v>
      </c>
      <c r="B34" s="2244"/>
      <c r="C34" s="2245"/>
      <c r="D34" s="2246"/>
      <c r="E34" s="2247"/>
      <c r="F34" s="2248"/>
      <c r="G34" s="32"/>
      <c r="I34" s="21"/>
      <c r="K34" s="19"/>
    </row>
    <row r="35" spans="1:11" s="34" customFormat="1" ht="38.25" customHeight="1" thickBot="1">
      <c r="A35" s="2164"/>
      <c r="B35" s="2241" t="str">
        <f t="array" ref="B35:F35">anni</f>
        <v>Año 0:  2026</v>
      </c>
      <c r="C35" s="2241" t="str">
        <v>Año 1:  2027</v>
      </c>
      <c r="D35" s="2241" t="str">
        <v>Año 2:  2028</v>
      </c>
      <c r="E35" s="2241" t="str">
        <v>Año 3:  2029</v>
      </c>
      <c r="F35" s="2242" t="str">
        <v>Año 4:  2030</v>
      </c>
      <c r="G35" s="32"/>
      <c r="H35" s="32"/>
      <c r="I35" s="33"/>
      <c r="J35" s="33"/>
    </row>
    <row r="36" spans="1:11" s="34" customFormat="1" ht="21" customHeight="1" thickBot="1">
      <c r="A36" s="2232" t="s">
        <v>447</v>
      </c>
      <c r="B36" s="704">
        <f>B7</f>
        <v>0</v>
      </c>
      <c r="C36" s="2399">
        <v>0</v>
      </c>
      <c r="D36" s="2399">
        <v>0</v>
      </c>
      <c r="E36" s="2399">
        <v>0</v>
      </c>
      <c r="F36" s="2400">
        <v>0</v>
      </c>
      <c r="G36" s="32"/>
      <c r="H36" s="32"/>
      <c r="I36" s="33"/>
      <c r="J36" s="33"/>
    </row>
    <row r="37" spans="1:11" ht="15.75" thickBot="1">
      <c r="A37" s="2234"/>
      <c r="B37" s="815"/>
      <c r="C37" s="669"/>
      <c r="D37" s="669"/>
      <c r="E37" s="669"/>
      <c r="F37" s="2235"/>
    </row>
    <row r="38" spans="1:11" ht="19.5" customHeight="1">
      <c r="A38" s="2236" t="s">
        <v>434</v>
      </c>
      <c r="B38" s="668"/>
      <c r="C38" s="668"/>
      <c r="D38" s="668"/>
      <c r="E38" s="668"/>
      <c r="F38" s="2237"/>
    </row>
    <row r="39" spans="1:11" s="34" customFormat="1" ht="20.25" customHeight="1">
      <c r="A39" s="2161" t="str">
        <f t="array" ref="A39:A41">A12:A14</f>
        <v>materias primas</v>
      </c>
      <c r="B39" s="704">
        <f>B12</f>
        <v>0</v>
      </c>
      <c r="C39" s="675">
        <f>IF(SUM(B$39:B$41)=0,0,('Balances anuales'!F$15/'Resumen Ventas 5 años'!B$27)*((12-mes0+1)*'Resumen Ventas 5 años'!C$27-12*'Resumen Ventas 5 años'!B$27)*B39/SUM(B$39:B$41)/12)*Parametros!$D$48</f>
        <v>0</v>
      </c>
      <c r="D39" s="675">
        <f>IF(SUM(B$39:C$41)=0,0,('Balances anuales'!H$15/'Resumen Ventas 5 años'!C$27)*('Resumen Ventas 5 años'!E$27-'Resumen Ventas 5 años'!C$27)*SUM($B39:C39)/SUM(B$39:C$41))*Parametros!$D$48</f>
        <v>0</v>
      </c>
      <c r="E39" s="675">
        <f>IF(SUM(B$39:D$41)=0,0,('Balances anuales'!J$15/'Resumen Ventas 5 años'!E$27)*('Resumen Ventas 5 años'!G$27-'Resumen Ventas 5 años'!E$27)*SUM($B39:D39)/SUM(B$39:D$41))*Parametros!$D$48</f>
        <v>0</v>
      </c>
      <c r="F39" s="2196">
        <f>IF(SUM(B$39:E$41)=0,0,('Balances anuales'!L$15/'Resumen Ventas 5 años'!G$27)*('Resumen Ventas 5 años'!I$27-'Resumen Ventas 5 años'!G$27)*SUM($B39:E39)/SUM(B$39:E$41))*Parametros!$D$48</f>
        <v>0</v>
      </c>
      <c r="G39" s="1352"/>
      <c r="H39" s="21"/>
      <c r="I39" s="33"/>
      <c r="J39" s="33"/>
    </row>
    <row r="40" spans="1:11" s="34" customFormat="1" ht="19.5" customHeight="1">
      <c r="A40" s="2161" t="str">
        <v>mercaderías</v>
      </c>
      <c r="B40" s="704">
        <f>B13</f>
        <v>0</v>
      </c>
      <c r="C40" s="675">
        <f>IF(SUM(B$39:B$41)=0,0,('Balances anuales'!F$15/'Resumen Ventas 5 años'!B$27)*((12-mes0+1)*'Resumen Ventas 5 años'!C$27-12*'Resumen Ventas 5 años'!B$27)*B40/SUM(B$39:B$41)/12)*Parametros!$D$48</f>
        <v>0</v>
      </c>
      <c r="D40" s="675">
        <f>IF(SUM(B$39:C$41)=0,0,('Balances anuales'!H$15/'Resumen Ventas 5 años'!C$27)*('Resumen Ventas 5 años'!E$27-'Resumen Ventas 5 años'!C$27)*SUM($B40:C40)/SUM(B$39:C$41))*Parametros!$D$48</f>
        <v>0</v>
      </c>
      <c r="E40" s="675">
        <f>IF(SUM(B$39:D$41)=0,0,('Balances anuales'!J$15/'Resumen Ventas 5 años'!E$27)*('Resumen Ventas 5 años'!G$27-'Resumen Ventas 5 años'!E$27)*SUM($B40:D40)/SUM(B$39:D$41))*Parametros!$D$48</f>
        <v>0</v>
      </c>
      <c r="F40" s="2196">
        <f>IF(SUM(B$39:E$41)=0,0,('Balances anuales'!L$15/'Resumen Ventas 5 años'!G$27)*('Resumen Ventas 5 años'!I$27-'Resumen Ventas 5 años'!G$27)*SUM($B40:E40)/SUM(B$39:E$41))*Parametros!$D$48</f>
        <v>0</v>
      </c>
      <c r="G40" s="32"/>
      <c r="H40" s="32"/>
      <c r="I40" s="33"/>
      <c r="J40" s="33"/>
    </row>
    <row r="41" spans="1:11" s="34" customFormat="1" ht="19.5" customHeight="1">
      <c r="A41" s="2161" t="str">
        <v>otros aprovisionamientos (embalajes, etc.)</v>
      </c>
      <c r="B41" s="704">
        <f>B14</f>
        <v>0</v>
      </c>
      <c r="C41" s="675">
        <f>IF(SUM(B$39:B$41)=0,0,('Balances anuales'!F$15/'Resumen Ventas 5 años'!B$27)*((12-mes0+1)*'Resumen Ventas 5 años'!C$27-12*'Resumen Ventas 5 años'!B$27)*B41/SUM(B$39:B$41)/12)*Parametros!$D$48</f>
        <v>0</v>
      </c>
      <c r="D41" s="675">
        <f>IF(SUM(B$39:C$41)=0,0,('Balances anuales'!H$15/'Resumen Ventas 5 años'!C$27)*('Resumen Ventas 5 años'!E$27-'Resumen Ventas 5 años'!C$27)*SUM($B41:C41)/SUM(B$39:C$41))*Parametros!$D$48</f>
        <v>0</v>
      </c>
      <c r="E41" s="675">
        <f>IF(SUM(B$39:D$41)=0,0,('Balances anuales'!J$15/'Resumen Ventas 5 años'!E$27)*('Resumen Ventas 5 años'!G$27-'Resumen Ventas 5 años'!E$27)*SUM($B41:D41)/SUM(B$39:D$41))*Parametros!$D$48</f>
        <v>0</v>
      </c>
      <c r="F41" s="2196">
        <f>IF(SUM(B$39:E$41)=0,0,('Balances anuales'!L$15/'Resumen Ventas 5 años'!G$27)*('Resumen Ventas 5 años'!I$27-'Resumen Ventas 5 años'!G$27)*SUM($B41:E41)/SUM(B$39:E$41))*Parametros!$D$48</f>
        <v>0</v>
      </c>
      <c r="G41" s="32"/>
      <c r="H41" s="32"/>
      <c r="I41" s="33"/>
      <c r="J41" s="33"/>
    </row>
    <row r="42" spans="1:11" s="34" customFormat="1" ht="19.5" customHeight="1">
      <c r="A42" s="2161" t="s">
        <v>889</v>
      </c>
      <c r="B42" s="704">
        <f ca="1">B15</f>
        <v>0</v>
      </c>
      <c r="C42" s="670">
        <f ca="1">SUM('Distr CV 1'!B85:M85)-B42</f>
        <v>0</v>
      </c>
      <c r="D42" s="670">
        <f ca="1">SUM('Distr CV 2'!B85:M85)-SUM('Distr CV 1'!B85:M85)</f>
        <v>0</v>
      </c>
      <c r="E42" s="670">
        <f ca="1">SUM('Distr CV 3'!B85:M85)-SUM('Distr CV 2'!B85:M85)</f>
        <v>0</v>
      </c>
      <c r="F42" s="2233">
        <f ca="1">SUM('Distr CV 4'!B85:M85)-SUM('Distr CV 3'!B85:M85)</f>
        <v>0</v>
      </c>
      <c r="G42" s="32"/>
      <c r="H42" s="32"/>
      <c r="I42" s="33"/>
      <c r="J42" s="33"/>
    </row>
    <row r="43" spans="1:11" s="34" customFormat="1" ht="19.5" customHeight="1">
      <c r="A43" s="2161" t="str">
        <f>'Datos Básicos'!A28&amp;" de inversiones activos corrientes"</f>
        <v>IVA de inversiones activos corrientes</v>
      </c>
      <c r="B43" s="704">
        <f t="array" ref="B43">+SUM(B12:B14*$C$12:$C$14)-SUM(D12:D14*$C$12:$C$14)</f>
        <v>0</v>
      </c>
      <c r="C43" s="737">
        <f t="array" ref="C43">SUM(C39:C41*$C$12:$C$14)</f>
        <v>0</v>
      </c>
      <c r="D43" s="737">
        <f t="array" ref="D43">SUM(D39:D41*$C$12:$C$14)</f>
        <v>0</v>
      </c>
      <c r="E43" s="737">
        <f t="array" ref="E43">SUM(E39:E41*$C$12:$C$14)</f>
        <v>0</v>
      </c>
      <c r="F43" s="737">
        <f t="array" ref="F43">SUM(F39:F41*$C$12:$C$14)</f>
        <v>0</v>
      </c>
      <c r="G43" s="32"/>
      <c r="H43" s="32"/>
      <c r="I43" s="33"/>
      <c r="J43" s="33"/>
    </row>
    <row r="44" spans="1:11" s="34" customFormat="1" ht="19.5" customHeight="1">
      <c r="A44" s="2169" t="str">
        <f>'Datos Básicos'!$A$28&amp;" soportado de inversiones"</f>
        <v>IVA soportado de inversiones</v>
      </c>
      <c r="B44" s="704">
        <f ca="1">B19</f>
        <v>0</v>
      </c>
      <c r="C44" s="704">
        <f t="array" ref="C44:F44">Parametros!$F$33*('Inv. Adicionales ANC'!C10:F10+'Inv. Adicionales ANC'!C20:F20+'Inv. Adicionales ANC'!C26:F26+'Inv. Adicionales ANC'!C31:F31+'Inv. Adicionales ANC'!C37:F37+'Inv. Adicionales ANC'!C43:F43+'Inv. Adicionales ANC'!C50:F50+'Inv. Adicionales ANC'!C55:F55+'Inv. Adicionales ANC'!C63:F63+'Gastos Iniciales'!C20:F20+'Gastos Iniciales'!C12:F20-'Gastos Iniciales'!C11:F20)
-Parametros!$F$33*(Leasing!E5:H5-Leasing!E7:H7*0)</f>
        <v>0</v>
      </c>
      <c r="D44" s="704">
        <v>0</v>
      </c>
      <c r="E44" s="704">
        <v>0</v>
      </c>
      <c r="F44" s="2193">
        <v>0</v>
      </c>
      <c r="G44" s="32"/>
      <c r="H44" s="32"/>
      <c r="I44" s="33"/>
      <c r="J44" s="33"/>
    </row>
    <row r="45" spans="1:11" s="34" customFormat="1" ht="19.5" customHeight="1" thickBot="1">
      <c r="A45" s="2216" t="s">
        <v>593</v>
      </c>
      <c r="B45" s="816">
        <f>+SUM(B7,B16,B20:B24)</f>
        <v>0</v>
      </c>
      <c r="C45" s="816"/>
      <c r="D45" s="816"/>
      <c r="E45" s="816"/>
      <c r="F45" s="2199"/>
      <c r="G45" s="32"/>
      <c r="H45" s="32"/>
      <c r="I45" s="33"/>
      <c r="J45" s="33"/>
    </row>
    <row r="46" spans="1:11" s="34" customFormat="1" ht="26.25" customHeight="1" thickBot="1">
      <c r="A46" s="2238" t="s">
        <v>15</v>
      </c>
      <c r="B46" s="2239">
        <f ca="1">B36+SUM(B39:B44)</f>
        <v>0</v>
      </c>
      <c r="C46" s="2239">
        <f ca="1">C36+SUM(C39:C44)</f>
        <v>0</v>
      </c>
      <c r="D46" s="2239">
        <f ca="1">D36+SUM(D39:D44)</f>
        <v>0</v>
      </c>
      <c r="E46" s="2239">
        <f ca="1">E36+SUM(E39:E44)</f>
        <v>0</v>
      </c>
      <c r="F46" s="2240">
        <f ca="1">F36+SUM(F39:F44)</f>
        <v>0</v>
      </c>
      <c r="G46" s="32"/>
      <c r="H46" s="32"/>
      <c r="I46" s="33"/>
      <c r="J46" s="33"/>
    </row>
    <row r="47" spans="1:11" s="34" customFormat="1">
      <c r="D47" s="32"/>
      <c r="E47" s="32"/>
      <c r="F47" s="32"/>
      <c r="G47" s="32"/>
      <c r="H47" s="32"/>
      <c r="I47" s="33"/>
      <c r="J47" s="33"/>
    </row>
    <row r="48" spans="1:11" s="34" customFormat="1" ht="23.25" customHeight="1">
      <c r="A48" s="1320" t="s">
        <v>472</v>
      </c>
      <c r="B48" s="1321">
        <f t="array" ref="B48:F48" ca="1">Financiación!D27:H27</f>
        <v>2000</v>
      </c>
      <c r="C48" s="1321">
        <f ca="1"/>
        <v>0</v>
      </c>
      <c r="D48" s="1321">
        <f ca="1"/>
        <v>0</v>
      </c>
      <c r="E48" s="1321">
        <f ca="1"/>
        <v>0</v>
      </c>
      <c r="F48" s="1321">
        <f ca="1"/>
        <v>0</v>
      </c>
      <c r="G48" s="1322">
        <f ca="1">MIN(B48:F48)-tesoreriasec</f>
        <v>-1000</v>
      </c>
      <c r="H48" s="32"/>
      <c r="I48" s="33"/>
      <c r="J48" s="33"/>
    </row>
    <row r="49" spans="1:10" s="34" customFormat="1">
      <c r="F49" s="32"/>
      <c r="G49" s="32"/>
      <c r="H49" s="32"/>
      <c r="I49" s="33"/>
      <c r="J49" s="33"/>
    </row>
    <row r="63" spans="1:10">
      <c r="A63" s="1806" t="str">
        <f>'Datos Básicos'!A50</f>
        <v>Tipo normal</v>
      </c>
      <c r="B63" s="1977">
        <f>'Datos Básicos'!B50</f>
        <v>0.21</v>
      </c>
    </row>
    <row r="64" spans="1:10">
      <c r="A64" s="1806" t="str">
        <f>'Datos Básicos'!A51</f>
        <v>Tipo reducido</v>
      </c>
      <c r="B64" s="1977">
        <f>'Datos Básicos'!B51</f>
        <v>0.1</v>
      </c>
    </row>
    <row r="65" spans="1:2">
      <c r="A65" s="1806" t="str">
        <f>'Datos Básicos'!A52</f>
        <v>Tipo superreducido</v>
      </c>
      <c r="B65" s="1977">
        <f>'Datos Básicos'!B52</f>
        <v>0.04</v>
      </c>
    </row>
    <row r="66" spans="1:2">
      <c r="A66" s="1806" t="str">
        <f>'Datos Básicos'!A53</f>
        <v>Tipo especial</v>
      </c>
      <c r="B66" s="1977">
        <f>'Datos Básicos'!B53</f>
        <v>0</v>
      </c>
    </row>
  </sheetData>
  <sheetProtection sheet="1" objects="1" scenarios="1"/>
  <phoneticPr fontId="6" type="noConversion"/>
  <conditionalFormatting sqref="A48">
    <cfRule type="expression" dxfId="43" priority="3" stopIfTrue="1">
      <formula>$G$48&lt;0.5</formula>
    </cfRule>
  </conditionalFormatting>
  <conditionalFormatting sqref="B48:F48">
    <cfRule type="cellIs" dxfId="42" priority="1" stopIfTrue="1" operator="lessThan">
      <formula>0</formula>
    </cfRule>
    <cfRule type="expression" dxfId="41" priority="2" stopIfTrue="1">
      <formula>$G$48&lt;0</formula>
    </cfRule>
  </conditionalFormatting>
  <dataValidations xWindow="394" yWindow="538" count="3">
    <dataValidation type="custom" allowBlank="1" showInputMessage="1" showErrorMessage="1" error="La aportación en especie no puede ser superior al importe." sqref="D12:D15" xr:uid="{00000000-0002-0000-0800-000000000000}">
      <formula1>OR(AND(D12&lt;=B12,D12&gt;0),D12=0)</formula1>
    </dataValidation>
    <dataValidation type="list" allowBlank="1" showInputMessage="1" showErrorMessage="1" sqref="C12:C14" xr:uid="{00000000-0002-0000-0800-000001000000}">
      <formula1>$B$63:$B$66</formula1>
    </dataValidation>
    <dataValidation type="decimal" operator="greaterThanOrEqual" allowBlank="1" showInputMessage="1" showErrorMessage="1" sqref="B12:B16 B20:B24" xr:uid="{00000000-0002-0000-0800-000002000000}">
      <formula1>0</formula1>
    </dataValidation>
  </dataValidations>
  <printOptions horizontalCentered="1"/>
  <pageMargins left="0.78740157480314965" right="0.65" top="0.74" bottom="0.47244094488188981" header="0.27559055118110237" footer="0.31496062992125984"/>
  <pageSetup paperSize="9" scale="74" orientation="portrait" horizontalDpi="300" verticalDpi="300" r:id="rId1"/>
  <headerFooter alignWithMargins="0">
    <oddFooter>&amp;C&amp;"Tahoma,Normal"&amp;10&amp;A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79</vt:i4>
      </vt:variant>
      <vt:variant>
        <vt:lpstr>Rangos con nombre</vt:lpstr>
      </vt:variant>
      <vt:variant>
        <vt:i4>66</vt:i4>
      </vt:variant>
    </vt:vector>
  </HeadingPairs>
  <TitlesOfParts>
    <vt:vector size="145" baseType="lpstr">
      <vt:lpstr>Índice</vt:lpstr>
      <vt:lpstr>Condiciones de Uso</vt:lpstr>
      <vt:lpstr>Datos Básicos</vt:lpstr>
      <vt:lpstr>Parametros</vt:lpstr>
      <vt:lpstr>Bal. Inicial Previo</vt:lpstr>
      <vt:lpstr>Inv. Iniciales ANC</vt:lpstr>
      <vt:lpstr>Inv. Adicionales ANC</vt:lpstr>
      <vt:lpstr>Gastos Iniciales</vt:lpstr>
      <vt:lpstr>Inversiones AC</vt:lpstr>
      <vt:lpstr>Financiación</vt:lpstr>
      <vt:lpstr>Financiación Inicial</vt:lpstr>
      <vt:lpstr>Préstamos</vt:lpstr>
      <vt:lpstr>Leasing</vt:lpstr>
      <vt:lpstr>Renting</vt:lpstr>
      <vt:lpstr>Plantilla</vt:lpstr>
      <vt:lpstr>RR.HH.</vt:lpstr>
      <vt:lpstr>Gastos de marketing</vt:lpstr>
      <vt:lpstr>Gastos Fijos Datos</vt:lpstr>
      <vt:lpstr>Precios-CV</vt:lpstr>
      <vt:lpstr>Politicas Cobros y Pagos</vt:lpstr>
      <vt:lpstr>Estimaciones Ventas</vt:lpstr>
      <vt:lpstr>Bal. Inicial Previo 00</vt:lpstr>
      <vt:lpstr>Prev.Ventas 0</vt:lpstr>
      <vt:lpstr>Prev.Ventas 1</vt:lpstr>
      <vt:lpstr>Prev.Ventas 2</vt:lpstr>
      <vt:lpstr>Prev.Ventas 3</vt:lpstr>
      <vt:lpstr>Prev.Ventas 4</vt:lpstr>
      <vt:lpstr>Produccion</vt:lpstr>
      <vt:lpstr>Distr CV 0</vt:lpstr>
      <vt:lpstr>Distr CV 1</vt:lpstr>
      <vt:lpstr>Distr CV 2</vt:lpstr>
      <vt:lpstr>Distr CV 3</vt:lpstr>
      <vt:lpstr>Distr CV 4</vt:lpstr>
      <vt:lpstr>Distr CV 5</vt:lpstr>
      <vt:lpstr>Resumen Ventas 5 años</vt:lpstr>
      <vt:lpstr>PyG 0</vt:lpstr>
      <vt:lpstr>PyG 1</vt:lpstr>
      <vt:lpstr>PyG 2</vt:lpstr>
      <vt:lpstr>PyG 3</vt:lpstr>
      <vt:lpstr>PyG 4</vt:lpstr>
      <vt:lpstr>Balances anuales</vt:lpstr>
      <vt:lpstr>Balances anuales (2)</vt:lpstr>
      <vt:lpstr>PPyGG anuales</vt:lpstr>
      <vt:lpstr>RETA 2026</vt:lpstr>
      <vt:lpstr>IRPF Prof y Autónomos</vt:lpstr>
      <vt:lpstr>Imp.Sociedades</vt:lpstr>
      <vt:lpstr>Cobros y pagos 0</vt:lpstr>
      <vt:lpstr>Cobros y pagos 1</vt:lpstr>
      <vt:lpstr>Cobros y pagos 2</vt:lpstr>
      <vt:lpstr>Cobros y pagos 3</vt:lpstr>
      <vt:lpstr>Cobros y pagos 4</vt:lpstr>
      <vt:lpstr>Ret IRPF</vt:lpstr>
      <vt:lpstr>G.F. 0</vt:lpstr>
      <vt:lpstr>G.F. 1</vt:lpstr>
      <vt:lpstr>G.F. 2</vt:lpstr>
      <vt:lpstr>G.F. 3</vt:lpstr>
      <vt:lpstr>G.F. 4</vt:lpstr>
      <vt:lpstr>IVA 0</vt:lpstr>
      <vt:lpstr>IVA 1</vt:lpstr>
      <vt:lpstr>IVA 2</vt:lpstr>
      <vt:lpstr>IVA 3</vt:lpstr>
      <vt:lpstr>IVA 4</vt:lpstr>
      <vt:lpstr>Resumen Gastos Fijos</vt:lpstr>
      <vt:lpstr>Amortizaciones</vt:lpstr>
      <vt:lpstr>Gastos Financieros</vt:lpstr>
      <vt:lpstr>Tesorería 0</vt:lpstr>
      <vt:lpstr>Tesorería 1</vt:lpstr>
      <vt:lpstr>Tesorería 2</vt:lpstr>
      <vt:lpstr>Tesorería 3</vt:lpstr>
      <vt:lpstr>Tesorería 4</vt:lpstr>
      <vt:lpstr>Otros cobros y pagos</vt:lpstr>
      <vt:lpstr>Resumen Tesorerias</vt:lpstr>
      <vt:lpstr>P. Equilibrio</vt:lpstr>
      <vt:lpstr>Ratios Básicos</vt:lpstr>
      <vt:lpstr>Viabilidad</vt:lpstr>
      <vt:lpstr>Valoración Empresa</vt:lpstr>
      <vt:lpstr>Datos Evaluación</vt:lpstr>
      <vt:lpstr>Ficha Inversores</vt:lpstr>
      <vt:lpstr>Tablas Plan de Negocio</vt:lpstr>
      <vt:lpstr>aa</vt:lpstr>
      <vt:lpstr>anni</vt:lpstr>
      <vt:lpstr>annivert</vt:lpstr>
      <vt:lpstr>Amortizaciones!Área_de_impresión</vt:lpstr>
      <vt:lpstr>'Balances anuales'!Área_de_impresión</vt:lpstr>
      <vt:lpstr>'Balances anuales (2)'!Área_de_impresión</vt:lpstr>
      <vt:lpstr>'Cobros y pagos 0'!Área_de_impresión</vt:lpstr>
      <vt:lpstr>'Cobros y pagos 1'!Área_de_impresión</vt:lpstr>
      <vt:lpstr>'Cobros y pagos 2'!Área_de_impresión</vt:lpstr>
      <vt:lpstr>'Cobros y pagos 3'!Área_de_impresión</vt:lpstr>
      <vt:lpstr>'Cobros y pagos 4'!Área_de_impresión</vt:lpstr>
      <vt:lpstr>'Condiciones de Uso'!Área_de_impresión</vt:lpstr>
      <vt:lpstr>'Datos Básicos'!Área_de_impresión</vt:lpstr>
      <vt:lpstr>'Datos Evaluación'!Área_de_impresión</vt:lpstr>
      <vt:lpstr>'Estimaciones Ventas'!Área_de_impresión</vt:lpstr>
      <vt:lpstr>'Ficha Inversores'!Área_de_impresión</vt:lpstr>
      <vt:lpstr>Financiación!Área_de_impresión</vt:lpstr>
      <vt:lpstr>'Financiación Inicial'!Área_de_impresión</vt:lpstr>
      <vt:lpstr>'Gastos Iniciales'!Área_de_impresión</vt:lpstr>
      <vt:lpstr>Índice!Área_de_impresión</vt:lpstr>
      <vt:lpstr>'Inv. Iniciales ANC'!Área_de_impresión</vt:lpstr>
      <vt:lpstr>'Inversiones AC'!Área_de_impresión</vt:lpstr>
      <vt:lpstr>'IRPF Prof y Autónomos'!Área_de_impresión</vt:lpstr>
      <vt:lpstr>Leasing!Área_de_impresión</vt:lpstr>
      <vt:lpstr>'P. Equilibrio'!Área_de_impresión</vt:lpstr>
      <vt:lpstr>Parametros!Área_de_impresión</vt:lpstr>
      <vt:lpstr>Plantilla!Área_de_impresión</vt:lpstr>
      <vt:lpstr>'Politicas Cobros y Pagos'!Área_de_impresión</vt:lpstr>
      <vt:lpstr>'Precios-CV'!Área_de_impresión</vt:lpstr>
      <vt:lpstr>Préstamos!Área_de_impresión</vt:lpstr>
      <vt:lpstr>'Ratios Básicos'!Área_de_impresión</vt:lpstr>
      <vt:lpstr>Renting!Área_de_impresión</vt:lpstr>
      <vt:lpstr>'Resumen Tesorerias'!Área_de_impresión</vt:lpstr>
      <vt:lpstr>'Resumen Ventas 5 años'!Área_de_impresión</vt:lpstr>
      <vt:lpstr>'RETA 2026'!Área_de_impresión</vt:lpstr>
      <vt:lpstr>RR.HH.!Área_de_impresión</vt:lpstr>
      <vt:lpstr>'Valoración Empresa'!Área_de_impresión</vt:lpstr>
      <vt:lpstr>catlaborales</vt:lpstr>
      <vt:lpstr>consolidacion</vt:lpstr>
      <vt:lpstr>euro</vt:lpstr>
      <vt:lpstr>finTemporada</vt:lpstr>
      <vt:lpstr>inflacion</vt:lpstr>
      <vt:lpstr>inicioTemporada</vt:lpstr>
      <vt:lpstr>inv_propia</vt:lpstr>
      <vt:lpstr>irpf</vt:lpstr>
      <vt:lpstr>Isoc</vt:lpstr>
      <vt:lpstr>ITP</vt:lpstr>
      <vt:lpstr>IVAcc</vt:lpstr>
      <vt:lpstr>IVAdev</vt:lpstr>
      <vt:lpstr>IVAmensual</vt:lpstr>
      <vt:lpstr>mes0</vt:lpstr>
      <vt:lpstr>meses</vt:lpstr>
      <vt:lpstr>mesesrampainicial</vt:lpstr>
      <vt:lpstr>Moneda</vt:lpstr>
      <vt:lpstr>morisidad</vt:lpstr>
      <vt:lpstr>periodicidad</vt:lpstr>
      <vt:lpstr>productos</vt:lpstr>
      <vt:lpstr>recmorosos</vt:lpstr>
      <vt:lpstr>resprevio</vt:lpstr>
      <vt:lpstr>ret_irpf</vt:lpstr>
      <vt:lpstr>tesoreriasec</vt:lpstr>
      <vt:lpstr>'Gastos Financieros'!Títulos_a_imprimir</vt:lpstr>
      <vt:lpstr>'Otros cobros y pagos'!Títulos_a_imprimir</vt:lpstr>
      <vt:lpstr>Plantilla!Títulos_a_imprimir</vt:lpstr>
      <vt:lpstr>'Politicas Cobros y Pagos'!Títulos_a_imprimir</vt:lpstr>
      <vt:lpstr>version</vt:lpstr>
    </vt:vector>
  </TitlesOfParts>
  <Company>Área de PYMES - Escuela de Organización Industrial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Financiero Previsional</dc:title>
  <dc:creator>Miguel Martínez</dc:creator>
  <cp:lastModifiedBy>Miguel Martínez Prieto</cp:lastModifiedBy>
  <cp:lastPrinted>2025-11-05T04:27:11Z</cp:lastPrinted>
  <dcterms:created xsi:type="dcterms:W3CDTF">1999-05-11T12:09:08Z</dcterms:created>
  <dcterms:modified xsi:type="dcterms:W3CDTF">2026-07-28T19:46:53Z</dcterms:modified>
</cp:coreProperties>
</file>